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5 Rendeletek\2020. évi rendeletek\2- ktgv. 2019.mód\"/>
    </mc:Choice>
  </mc:AlternateContent>
  <xr:revisionPtr revIDLastSave="0" documentId="13_ncr:1_{F5447F25-63D6-4E3C-A92D-4C79378FC3CE}" xr6:coauthVersionLast="45" xr6:coauthVersionMax="45" xr10:uidLastSave="{00000000-0000-0000-0000-000000000000}"/>
  <bookViews>
    <workbookView xWindow="-108" yWindow="-108" windowWidth="23256" windowHeight="12576" tabRatio="727" firstSheet="7" activeTab="13" xr2:uid="{00000000-000D-0000-FFFF-FFFF00000000}"/>
  </bookViews>
  <sheets>
    <sheet name="ÖSSZEFÜGGÉSEK" sheetId="75" state="hidden" r:id="rId1"/>
    <sheet name="1_2_Mindösszesen" sheetId="112" r:id="rId2"/>
    <sheet name="3_Mérleg szerinti" sheetId="174" r:id="rId3"/>
    <sheet name="4_Önkormányzat" sheetId="1" r:id="rId4"/>
    <sheet name="5_Hivatal" sheetId="111" r:id="rId5"/>
    <sheet name="6_Óvoda" sheetId="108" r:id="rId6"/>
    <sheet name="7_Bölcsöde" sheetId="139" r:id="rId7"/>
    <sheet name="8_KGMH" sheetId="140" r:id="rId8"/>
    <sheet name="9_Felhalmozás" sheetId="159" r:id="rId9"/>
    <sheet name="10_Létszám" sheetId="160" r:id="rId10"/>
    <sheet name="21_ kötelező önként" sheetId="181" r:id="rId11"/>
    <sheet name="11_Környezetvédelmi Alap" sheetId="165" r:id="rId12"/>
    <sheet name="12_Tartalék" sheetId="166" r:id="rId13"/>
    <sheet name="13_Önkormányzat COFOG" sheetId="169" r:id="rId14"/>
    <sheet name="14_PH COFOG" sheetId="170" r:id="rId15"/>
    <sheet name="15_Óvoda COFOG" sheetId="171" r:id="rId16"/>
    <sheet name="16_Bölcsöde COFOG" sheetId="172" r:id="rId17"/>
    <sheet name="17_KGMH COFOG" sheetId="173" r:id="rId18"/>
    <sheet name="18_ Közvetett támogatások" sheetId="176" r:id="rId19"/>
    <sheet name="19_Előirányzat felhasználás" sheetId="177" r:id="rId20"/>
    <sheet name="20_Gördülő" sheetId="180" r:id="rId21"/>
    <sheet name="ELLENŐRZÉS-1.sz.2.1.sz.2.2.sz." sheetId="76" state="hidden" r:id="rId22"/>
    <sheet name="5.sz.mell" sheetId="138" state="hidden" r:id="rId23"/>
    <sheet name="6.sz.mell" sheetId="134" state="hidden" r:id="rId24"/>
    <sheet name="7a.sz.mell" sheetId="63" state="hidden" r:id="rId25"/>
    <sheet name="7b.sz.mell" sheetId="64" state="hidden" r:id="rId26"/>
    <sheet name="8.sz.mell" sheetId="135" state="hidden" r:id="rId27"/>
    <sheet name="9.sz.mell" sheetId="136" state="hidden" r:id="rId28"/>
    <sheet name="5. sz. mell. " sheetId="71" state="hidden" r:id="rId29"/>
    <sheet name="6.1. sz. mell" sheetId="3" state="hidden" r:id="rId30"/>
    <sheet name="6.2. sz. mell" sheetId="113" state="hidden" r:id="rId31"/>
    <sheet name="6.3. sz. mell" sheetId="114" state="hidden" r:id="rId32"/>
    <sheet name="6.4. sz. mell" sheetId="115" state="hidden" r:id="rId33"/>
    <sheet name="7.1. sz. mell" sheetId="79" state="hidden" r:id="rId34"/>
    <sheet name="7.2. sz. mell" sheetId="116" state="hidden" r:id="rId35"/>
    <sheet name="7.3. sz. mell" sheetId="117" state="hidden" r:id="rId36"/>
    <sheet name="7.4. sz. mell" sheetId="118" state="hidden" r:id="rId37"/>
    <sheet name="8.1. sz. mell." sheetId="84" state="hidden" r:id="rId38"/>
    <sheet name="8.1.1. sz. mell." sheetId="119" state="hidden" r:id="rId39"/>
    <sheet name="8.1.2. sz. mell." sheetId="120" state="hidden" r:id="rId40"/>
    <sheet name="8.1.3. sz. mell." sheetId="121" state="hidden" r:id="rId41"/>
    <sheet name="8.2. sz. mell." sheetId="122" state="hidden" r:id="rId42"/>
    <sheet name="8.2.1. sz. mell." sheetId="123" state="hidden" r:id="rId43"/>
    <sheet name="8.2.2. sz. mell." sheetId="124" state="hidden" r:id="rId44"/>
    <sheet name="8.2.3. sz. mell." sheetId="125" state="hidden" r:id="rId45"/>
    <sheet name="8.3. sz. mell." sheetId="126" state="hidden" r:id="rId46"/>
    <sheet name="8.3.1. sz. mell." sheetId="127" state="hidden" r:id="rId47"/>
    <sheet name="8.3.2. sz. mell. " sheetId="128" state="hidden" r:id="rId48"/>
    <sheet name="8.3.3. sz. mell." sheetId="129" state="hidden" r:id="rId49"/>
    <sheet name="10.sz.mell" sheetId="137" state="hidden" r:id="rId50"/>
    <sheet name="pénzmaradvány" sheetId="107" state="hidden" r:id="rId51"/>
    <sheet name="1.tájékoztató" sheetId="95" state="hidden" r:id="rId52"/>
    <sheet name="2. tájékoztató tábla" sheetId="96" state="hidden" r:id="rId53"/>
    <sheet name="3. tájékoztató tábla" sheetId="97" state="hidden" r:id="rId54"/>
    <sheet name="4. tájékoztató tábla" sheetId="98" state="hidden" r:id="rId55"/>
    <sheet name="5. tájékoztató tábla" sheetId="99" state="hidden" r:id="rId56"/>
    <sheet name="6. tájékoztató tábla" sheetId="100" state="hidden" r:id="rId57"/>
    <sheet name="Működési bev.és kiad.mérlege" sheetId="73" state="hidden" r:id="rId58"/>
    <sheet name="Felhalm. bev.és kiad.mérlege" sheetId="61" state="hidden" r:id="rId59"/>
    <sheet name="vagyonkimutatás.források" sheetId="131" state="hidden" r:id="rId60"/>
    <sheet name="vagyonkimutatás.eszközök" sheetId="130" state="hidden" r:id="rId61"/>
    <sheet name="7.3. tájékoztató tábla" sheetId="103" state="hidden" r:id="rId62"/>
    <sheet name="7.4. tájékoztató tábla" sheetId="104" state="hidden" r:id="rId63"/>
    <sheet name="8. tájékoztató tábla" sheetId="105" state="hidden" r:id="rId64"/>
    <sheet name="pénzeszközök változása" sheetId="106" state="hidden" r:id="rId65"/>
    <sheet name="10. Teljesített kiadások_COFOG" sheetId="94" state="hidden" r:id="rId66"/>
    <sheet name="11. Teljesített bevételek_COFOG" sheetId="132" state="hidden" r:id="rId67"/>
  </sheets>
  <externalReferences>
    <externalReference r:id="rId68"/>
    <externalReference r:id="rId69"/>
  </externalReferences>
  <definedNames>
    <definedName name="_DiósiZsuzsanna">'1_2_Mindösszesen'!$F$7</definedName>
    <definedName name="_ftn1" localSheetId="61">'7.3. tájékoztató tábla'!$A$27</definedName>
    <definedName name="_ftnref1" localSheetId="61">'7.3. tájékoztató tábla'!$A$18</definedName>
    <definedName name="_xlnm.Print_Titles" localSheetId="29">'6.1. sz. mell'!$1:$6</definedName>
    <definedName name="_xlnm.Print_Titles" localSheetId="30">'6.2. sz. mell'!$1:$6</definedName>
    <definedName name="_xlnm.Print_Titles" localSheetId="31">'6.3. sz. mell'!$1:$6</definedName>
    <definedName name="_xlnm.Print_Titles" localSheetId="32">'6.4. sz. mell'!$1:$6</definedName>
    <definedName name="_xlnm.Print_Titles" localSheetId="33">'7.1. sz. mell'!$1:$6</definedName>
    <definedName name="_xlnm.Print_Titles" localSheetId="34">'7.2. sz. mell'!$1:$6</definedName>
    <definedName name="_xlnm.Print_Titles" localSheetId="35">'7.3. sz. mell'!$1:$6</definedName>
    <definedName name="_xlnm.Print_Titles" localSheetId="36">'7.4. sz. mell'!$1:$6</definedName>
    <definedName name="_xlnm.Print_Titles" localSheetId="37">'8.1. sz. mell.'!$1:$6</definedName>
    <definedName name="_xlnm.Print_Titles" localSheetId="38">'8.1.1. sz. mell.'!$1:$6</definedName>
    <definedName name="_xlnm.Print_Titles" localSheetId="39">'8.1.2. sz. mell.'!$1:$6</definedName>
    <definedName name="_xlnm.Print_Titles" localSheetId="40">'8.1.3. sz. mell.'!$1:$6</definedName>
    <definedName name="_xlnm.Print_Titles" localSheetId="41">'8.2. sz. mell.'!$1:$6</definedName>
    <definedName name="_xlnm.Print_Titles" localSheetId="42">'8.2.1. sz. mell.'!$1:$6</definedName>
    <definedName name="_xlnm.Print_Titles" localSheetId="43">'8.2.2. sz. mell.'!$1:$6</definedName>
    <definedName name="_xlnm.Print_Titles" localSheetId="44">'8.2.3. sz. mell.'!$1:$6</definedName>
    <definedName name="_xlnm.Print_Titles" localSheetId="45">'8.3. sz. mell.'!$1:$6</definedName>
    <definedName name="_xlnm.Print_Titles" localSheetId="46">'8.3.1. sz. mell.'!$1:$6</definedName>
    <definedName name="_xlnm.Print_Titles" localSheetId="47">'8.3.2. sz. mell. '!$1:$6</definedName>
    <definedName name="_xlnm.Print_Titles" localSheetId="48">'8.3.3. sz. mell.'!$1:$6</definedName>
    <definedName name="_xlnm.Print_Titles" localSheetId="60">vagyonkimutatás.eszközök!$2:$6</definedName>
    <definedName name="_xlnm.Print_Area" localSheetId="51">'1.tájékoztató'!$A$1:$E$145</definedName>
    <definedName name="_xlnm.Print_Area" localSheetId="1">'1_2_Mindösszesen'!$A$1:$G$147</definedName>
    <definedName name="_xlnm.Print_Area" localSheetId="13">'13_Önkormányzat COFOG'!$A$1:$AI$146</definedName>
    <definedName name="_xlnm.Print_Area" localSheetId="20">'20_Gördülő'!$A$1:$E$61</definedName>
    <definedName name="_xlnm.Print_Area" localSheetId="2">'3_Mérleg szerinti'!$A$1:$N$68</definedName>
    <definedName name="_xlnm.Print_Area" localSheetId="3">'4_Önkormányzat'!$A$1:$G$145</definedName>
    <definedName name="_xlnm.Print_Area" localSheetId="4">'5_Hivatal'!$A$1:$G$147</definedName>
    <definedName name="_xlnm.Print_Area" localSheetId="5">'6_Óvoda'!$A$1:$G$147</definedName>
    <definedName name="_xlnm.Print_Area" localSheetId="6">'7_Bölcsöde'!$A$1:$G$149</definedName>
    <definedName name="_xlnm.Print_Area" localSheetId="7">'8_KGMH'!$A$1:$G$150</definedName>
    <definedName name="_xlnm.Print_Area" localSheetId="57">'Működési bev.és kiad.mérlege'!$A$1:$J$32</definedName>
    <definedName name="OLE_LINK1" localSheetId="22">'5.sz.mell'!$A$1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1" i="177" l="1"/>
  <c r="J29" i="177"/>
  <c r="N24" i="177"/>
  <c r="M27" i="177"/>
  <c r="M26" i="177"/>
  <c r="N25" i="177"/>
  <c r="M25" i="177"/>
  <c r="M23" i="177"/>
  <c r="M4" i="177"/>
  <c r="N7" i="177"/>
  <c r="C15" i="177"/>
  <c r="B5" i="177"/>
  <c r="N3" i="177"/>
  <c r="N22" i="177" l="1"/>
  <c r="F14" i="181"/>
  <c r="F10" i="181"/>
  <c r="F11" i="181"/>
  <c r="F12" i="181"/>
  <c r="F13" i="181"/>
  <c r="F9" i="181"/>
  <c r="F111" i="169"/>
  <c r="I113" i="169"/>
  <c r="F109" i="169"/>
  <c r="C109" i="169" s="1"/>
  <c r="T96" i="169"/>
  <c r="G19" i="169"/>
  <c r="D97" i="172"/>
  <c r="D96" i="172"/>
  <c r="E95" i="171"/>
  <c r="E97" i="171"/>
  <c r="F41" i="171"/>
  <c r="F38" i="171"/>
  <c r="G104" i="170"/>
  <c r="D97" i="170"/>
  <c r="H111" i="173"/>
  <c r="H97" i="173"/>
  <c r="H96" i="173"/>
  <c r="H95" i="173"/>
  <c r="D36" i="174" l="1"/>
  <c r="E36" i="174"/>
  <c r="F36" i="174"/>
  <c r="G36" i="174"/>
  <c r="G4" i="166" l="1"/>
  <c r="G34" i="166" s="1"/>
  <c r="G31" i="159"/>
  <c r="G15" i="159"/>
  <c r="G24" i="159"/>
  <c r="G41" i="112"/>
  <c r="H41" i="112" s="1"/>
  <c r="G42" i="112"/>
  <c r="H42" i="112" s="1"/>
  <c r="G43" i="112"/>
  <c r="G44" i="112"/>
  <c r="H7" i="111"/>
  <c r="H8" i="111"/>
  <c r="H9" i="111"/>
  <c r="H10" i="111"/>
  <c r="H11" i="111"/>
  <c r="H12" i="111"/>
  <c r="H14" i="111"/>
  <c r="H15" i="111"/>
  <c r="H16" i="111"/>
  <c r="H17" i="111"/>
  <c r="H19" i="111"/>
  <c r="H21" i="111"/>
  <c r="H22" i="111"/>
  <c r="H23" i="111"/>
  <c r="H24" i="111"/>
  <c r="H25" i="111"/>
  <c r="H26" i="111"/>
  <c r="H29" i="111"/>
  <c r="H30" i="111"/>
  <c r="H31" i="111"/>
  <c r="H32" i="111"/>
  <c r="H33" i="111"/>
  <c r="H35" i="111"/>
  <c r="H36" i="111"/>
  <c r="H37" i="111"/>
  <c r="H38" i="111"/>
  <c r="H39" i="111"/>
  <c r="H40" i="111"/>
  <c r="H41" i="111"/>
  <c r="H42" i="111"/>
  <c r="H43" i="111"/>
  <c r="H44" i="111"/>
  <c r="H46" i="111"/>
  <c r="H47" i="111"/>
  <c r="H48" i="111"/>
  <c r="H49" i="111"/>
  <c r="H50" i="111"/>
  <c r="H52" i="111"/>
  <c r="H53" i="111"/>
  <c r="H54" i="111"/>
  <c r="H55" i="111"/>
  <c r="H57" i="111"/>
  <c r="H58" i="111"/>
  <c r="H59" i="111"/>
  <c r="H60" i="111"/>
  <c r="H63" i="111"/>
  <c r="H64" i="111"/>
  <c r="H65" i="111"/>
  <c r="H67" i="111"/>
  <c r="H68" i="111"/>
  <c r="H69" i="111"/>
  <c r="H70" i="111"/>
  <c r="H72" i="111"/>
  <c r="H73" i="111"/>
  <c r="H75" i="111"/>
  <c r="H76" i="111"/>
  <c r="H79" i="111"/>
  <c r="H80" i="111"/>
  <c r="H81" i="111"/>
  <c r="H82" i="111"/>
  <c r="H83" i="111"/>
  <c r="H86" i="111"/>
  <c r="H87" i="111"/>
  <c r="H88" i="111"/>
  <c r="H89" i="111"/>
  <c r="H90" i="111"/>
  <c r="H91" i="111"/>
  <c r="H92" i="111"/>
  <c r="H97" i="111"/>
  <c r="H99" i="111"/>
  <c r="H100" i="111"/>
  <c r="H101" i="111"/>
  <c r="H102" i="111"/>
  <c r="H104" i="111"/>
  <c r="H105" i="111"/>
  <c r="H106" i="111"/>
  <c r="H107" i="111"/>
  <c r="H111" i="111"/>
  <c r="H112" i="111"/>
  <c r="H113" i="111"/>
  <c r="H114" i="111"/>
  <c r="H115" i="111"/>
  <c r="H116" i="111"/>
  <c r="H117" i="111"/>
  <c r="H118" i="111"/>
  <c r="H119" i="111"/>
  <c r="H120" i="111"/>
  <c r="H121" i="111"/>
  <c r="H122" i="111"/>
  <c r="H124" i="111"/>
  <c r="H128" i="111"/>
  <c r="H129" i="111"/>
  <c r="H130" i="111"/>
  <c r="H132" i="111"/>
  <c r="H133" i="111"/>
  <c r="H134" i="111"/>
  <c r="H135" i="111"/>
  <c r="H137" i="111"/>
  <c r="H138" i="111"/>
  <c r="H139" i="111"/>
  <c r="H140" i="111"/>
  <c r="H142" i="111"/>
  <c r="H143" i="111"/>
  <c r="H144" i="111"/>
  <c r="H145" i="111"/>
  <c r="H7" i="108"/>
  <c r="H8" i="108"/>
  <c r="H9" i="108"/>
  <c r="H10" i="108"/>
  <c r="H11" i="108"/>
  <c r="H12" i="108"/>
  <c r="H14" i="108"/>
  <c r="H15" i="108"/>
  <c r="H16" i="108"/>
  <c r="H17" i="108"/>
  <c r="H18" i="108"/>
  <c r="H19" i="108"/>
  <c r="H21" i="108"/>
  <c r="H22" i="108"/>
  <c r="H23" i="108"/>
  <c r="H24" i="108"/>
  <c r="H25" i="108"/>
  <c r="H26" i="108"/>
  <c r="H29" i="108"/>
  <c r="H30" i="108"/>
  <c r="H31" i="108"/>
  <c r="H32" i="108"/>
  <c r="H33" i="108"/>
  <c r="H35" i="108"/>
  <c r="H36" i="108"/>
  <c r="H37" i="108"/>
  <c r="H38" i="108"/>
  <c r="H41" i="108"/>
  <c r="H42" i="108"/>
  <c r="H43" i="108"/>
  <c r="H44" i="108"/>
  <c r="H46" i="108"/>
  <c r="H47" i="108"/>
  <c r="H48" i="108"/>
  <c r="H49" i="108"/>
  <c r="H50" i="108"/>
  <c r="H52" i="108"/>
  <c r="H53" i="108"/>
  <c r="H54" i="108"/>
  <c r="H55" i="108"/>
  <c r="H57" i="108"/>
  <c r="H58" i="108"/>
  <c r="H59" i="108"/>
  <c r="H60" i="108"/>
  <c r="H63" i="108"/>
  <c r="H64" i="108"/>
  <c r="H65" i="108"/>
  <c r="H67" i="108"/>
  <c r="H68" i="108"/>
  <c r="H69" i="108"/>
  <c r="H70" i="108"/>
  <c r="H72" i="108"/>
  <c r="H73" i="108"/>
  <c r="H75" i="108"/>
  <c r="H76" i="108"/>
  <c r="H79" i="108"/>
  <c r="H80" i="108"/>
  <c r="H81" i="108"/>
  <c r="H82" i="108"/>
  <c r="H83" i="108"/>
  <c r="H86" i="108"/>
  <c r="H87" i="108"/>
  <c r="H88" i="108"/>
  <c r="H89" i="108"/>
  <c r="H90" i="108"/>
  <c r="H91" i="108"/>
  <c r="H92" i="108"/>
  <c r="H94" i="108"/>
  <c r="H95" i="108"/>
  <c r="H97" i="108"/>
  <c r="H98" i="108"/>
  <c r="H99" i="108"/>
  <c r="H100" i="108"/>
  <c r="H101" i="108"/>
  <c r="H102" i="108"/>
  <c r="H103" i="108"/>
  <c r="H104" i="108"/>
  <c r="H105" i="108"/>
  <c r="H106" i="108"/>
  <c r="H107" i="108"/>
  <c r="H108" i="108"/>
  <c r="H110" i="108"/>
  <c r="H111" i="108"/>
  <c r="H112" i="108"/>
  <c r="H113" i="108"/>
  <c r="H114" i="108"/>
  <c r="H115" i="108"/>
  <c r="H116" i="108"/>
  <c r="H117" i="108"/>
  <c r="H118" i="108"/>
  <c r="H119" i="108"/>
  <c r="H120" i="108"/>
  <c r="H121" i="108"/>
  <c r="H122" i="108"/>
  <c r="H124" i="108"/>
  <c r="H125" i="108"/>
  <c r="H128" i="108"/>
  <c r="H129" i="108"/>
  <c r="H130" i="108"/>
  <c r="H132" i="108"/>
  <c r="H133" i="108"/>
  <c r="H134" i="108"/>
  <c r="H135" i="108"/>
  <c r="H137" i="108"/>
  <c r="H138" i="108"/>
  <c r="H139" i="108"/>
  <c r="H140" i="108"/>
  <c r="H142" i="108"/>
  <c r="H143" i="108"/>
  <c r="H144" i="108"/>
  <c r="H145" i="108"/>
  <c r="H9" i="139"/>
  <c r="H10" i="139"/>
  <c r="H11" i="139"/>
  <c r="H12" i="139"/>
  <c r="H13" i="139"/>
  <c r="H14" i="139"/>
  <c r="H16" i="139"/>
  <c r="H17" i="139"/>
  <c r="H18" i="139"/>
  <c r="H19" i="139"/>
  <c r="H20" i="139"/>
  <c r="H21" i="139"/>
  <c r="H23" i="139"/>
  <c r="H24" i="139"/>
  <c r="H25" i="139"/>
  <c r="H26" i="139"/>
  <c r="H27" i="139"/>
  <c r="H28" i="139"/>
  <c r="H31" i="139"/>
  <c r="H32" i="139"/>
  <c r="H33" i="139"/>
  <c r="H34" i="139"/>
  <c r="H35" i="139"/>
  <c r="H37" i="139"/>
  <c r="H38" i="139"/>
  <c r="H39" i="139"/>
  <c r="H40" i="139"/>
  <c r="H41" i="139"/>
  <c r="H42" i="139"/>
  <c r="H43" i="139"/>
  <c r="H44" i="139"/>
  <c r="H45" i="139"/>
  <c r="H46" i="139"/>
  <c r="H48" i="139"/>
  <c r="H49" i="139"/>
  <c r="H50" i="139"/>
  <c r="H51" i="139"/>
  <c r="H52" i="139"/>
  <c r="H54" i="139"/>
  <c r="H55" i="139"/>
  <c r="H56" i="139"/>
  <c r="H57" i="139"/>
  <c r="H59" i="139"/>
  <c r="H60" i="139"/>
  <c r="H61" i="139"/>
  <c r="H62" i="139"/>
  <c r="H65" i="139"/>
  <c r="H66" i="139"/>
  <c r="H67" i="139"/>
  <c r="H69" i="139"/>
  <c r="H70" i="139"/>
  <c r="H71" i="139"/>
  <c r="H72" i="139"/>
  <c r="H74" i="139"/>
  <c r="H75" i="139"/>
  <c r="H77" i="139"/>
  <c r="H78" i="139"/>
  <c r="H81" i="139"/>
  <c r="H82" i="139"/>
  <c r="H83" i="139"/>
  <c r="H84" i="139"/>
  <c r="H85" i="139"/>
  <c r="H88" i="139"/>
  <c r="H89" i="139"/>
  <c r="H96" i="139"/>
  <c r="H97" i="139"/>
  <c r="H99" i="139"/>
  <c r="H101" i="139"/>
  <c r="H102" i="139"/>
  <c r="H103" i="139"/>
  <c r="H104" i="139"/>
  <c r="H105" i="139"/>
  <c r="H106" i="139"/>
  <c r="H107" i="139"/>
  <c r="H108" i="139"/>
  <c r="H109" i="139"/>
  <c r="H110" i="139"/>
  <c r="H112" i="139"/>
  <c r="H113" i="139"/>
  <c r="H114" i="139"/>
  <c r="H115" i="139"/>
  <c r="H116" i="139"/>
  <c r="H117" i="139"/>
  <c r="H118" i="139"/>
  <c r="H119" i="139"/>
  <c r="H120" i="139"/>
  <c r="H121" i="139"/>
  <c r="H122" i="139"/>
  <c r="H123" i="139"/>
  <c r="H124" i="139"/>
  <c r="H126" i="139"/>
  <c r="H127" i="139"/>
  <c r="H130" i="139"/>
  <c r="H131" i="139"/>
  <c r="H132" i="139"/>
  <c r="H134" i="139"/>
  <c r="H135" i="139"/>
  <c r="H136" i="139"/>
  <c r="H137" i="139"/>
  <c r="H139" i="139"/>
  <c r="H140" i="139"/>
  <c r="H141" i="139"/>
  <c r="H142" i="139"/>
  <c r="H144" i="139"/>
  <c r="H145" i="139"/>
  <c r="H146" i="139"/>
  <c r="H147" i="139"/>
  <c r="H9" i="140"/>
  <c r="H10" i="140"/>
  <c r="H11" i="140"/>
  <c r="H12" i="140"/>
  <c r="H13" i="140"/>
  <c r="H14" i="140"/>
  <c r="H16" i="140"/>
  <c r="H17" i="140"/>
  <c r="H18" i="140"/>
  <c r="H19" i="140"/>
  <c r="H20" i="140"/>
  <c r="H21" i="140"/>
  <c r="H23" i="140"/>
  <c r="H24" i="140"/>
  <c r="H25" i="140"/>
  <c r="H26" i="140"/>
  <c r="H27" i="140"/>
  <c r="H28" i="140"/>
  <c r="H31" i="140"/>
  <c r="H32" i="140"/>
  <c r="H33" i="140"/>
  <c r="H34" i="140"/>
  <c r="H35" i="140"/>
  <c r="H37" i="140"/>
  <c r="H38" i="140"/>
  <c r="H39" i="140"/>
  <c r="H40" i="140"/>
  <c r="H41" i="140"/>
  <c r="H42" i="140"/>
  <c r="H43" i="140"/>
  <c r="H44" i="140"/>
  <c r="H45" i="140"/>
  <c r="H46" i="140"/>
  <c r="H48" i="140"/>
  <c r="H49" i="140"/>
  <c r="H50" i="140"/>
  <c r="H51" i="140"/>
  <c r="H52" i="140"/>
  <c r="H54" i="140"/>
  <c r="H55" i="140"/>
  <c r="H56" i="140"/>
  <c r="H57" i="140"/>
  <c r="H59" i="140"/>
  <c r="H60" i="140"/>
  <c r="H61" i="140"/>
  <c r="H62" i="140"/>
  <c r="H65" i="140"/>
  <c r="H66" i="140"/>
  <c r="H67" i="140"/>
  <c r="H69" i="140"/>
  <c r="H70" i="140"/>
  <c r="H71" i="140"/>
  <c r="H72" i="140"/>
  <c r="H74" i="140"/>
  <c r="H75" i="140"/>
  <c r="H77" i="140"/>
  <c r="H78" i="140"/>
  <c r="H81" i="140"/>
  <c r="H82" i="140"/>
  <c r="H83" i="140"/>
  <c r="H84" i="140"/>
  <c r="H85" i="140"/>
  <c r="H88" i="140"/>
  <c r="H89" i="140"/>
  <c r="H90" i="140"/>
  <c r="H91" i="140"/>
  <c r="H92" i="140"/>
  <c r="H93" i="140"/>
  <c r="H94" i="140"/>
  <c r="H97" i="140"/>
  <c r="H99" i="140"/>
  <c r="H101" i="140"/>
  <c r="H102" i="140"/>
  <c r="H103" i="140"/>
  <c r="H104" i="140"/>
  <c r="H105" i="140"/>
  <c r="H106" i="140"/>
  <c r="H107" i="140"/>
  <c r="H108" i="140"/>
  <c r="H109" i="140"/>
  <c r="H110" i="140"/>
  <c r="H113" i="140"/>
  <c r="H114" i="140"/>
  <c r="H115" i="140"/>
  <c r="H116" i="140"/>
  <c r="H117" i="140"/>
  <c r="H118" i="140"/>
  <c r="H119" i="140"/>
  <c r="H120" i="140"/>
  <c r="H121" i="140"/>
  <c r="H122" i="140"/>
  <c r="H123" i="140"/>
  <c r="H124" i="140"/>
  <c r="H126" i="140"/>
  <c r="H130" i="140"/>
  <c r="H131" i="140"/>
  <c r="H132" i="140"/>
  <c r="H134" i="140"/>
  <c r="H135" i="140"/>
  <c r="H136" i="140"/>
  <c r="H137" i="140"/>
  <c r="H139" i="140"/>
  <c r="H140" i="140"/>
  <c r="H141" i="140"/>
  <c r="H142" i="140"/>
  <c r="H144" i="140"/>
  <c r="H145" i="140"/>
  <c r="H146" i="140"/>
  <c r="H147" i="140"/>
  <c r="H43" i="112"/>
  <c r="H44" i="112"/>
  <c r="H46" i="112"/>
  <c r="H48" i="112"/>
  <c r="H49" i="112"/>
  <c r="H50" i="112"/>
  <c r="H52" i="112"/>
  <c r="H54" i="112"/>
  <c r="H55" i="112"/>
  <c r="H57" i="112"/>
  <c r="H58" i="112"/>
  <c r="H60" i="112"/>
  <c r="H63" i="112"/>
  <c r="H64" i="112"/>
  <c r="H65" i="112"/>
  <c r="H66" i="112"/>
  <c r="H67" i="112"/>
  <c r="H68" i="112"/>
  <c r="H69" i="112"/>
  <c r="H70" i="112"/>
  <c r="H73" i="112"/>
  <c r="H76" i="112"/>
  <c r="H78" i="112"/>
  <c r="H79" i="112"/>
  <c r="H80" i="112"/>
  <c r="H81" i="112"/>
  <c r="H82" i="112"/>
  <c r="H83" i="112"/>
  <c r="H87" i="112"/>
  <c r="H88" i="112"/>
  <c r="H89" i="112"/>
  <c r="H90" i="112"/>
  <c r="H91" i="112"/>
  <c r="H129" i="112"/>
  <c r="G26" i="159" l="1"/>
  <c r="G33" i="159" l="1"/>
  <c r="G18" i="159"/>
  <c r="G12" i="159"/>
  <c r="H14" i="1"/>
  <c r="H15" i="1"/>
  <c r="H16" i="1"/>
  <c r="H17" i="1"/>
  <c r="H19" i="1"/>
  <c r="H21" i="1"/>
  <c r="H22" i="1"/>
  <c r="H23" i="1"/>
  <c r="H24" i="1"/>
  <c r="H25" i="1"/>
  <c r="H26" i="1"/>
  <c r="H29" i="1"/>
  <c r="H30" i="1"/>
  <c r="H31" i="1"/>
  <c r="H32" i="1"/>
  <c r="H33" i="1"/>
  <c r="H35" i="1"/>
  <c r="H36" i="1"/>
  <c r="H37" i="1"/>
  <c r="H38" i="1"/>
  <c r="H44" i="1"/>
  <c r="H46" i="1"/>
  <c r="H47" i="1"/>
  <c r="H48" i="1"/>
  <c r="H49" i="1"/>
  <c r="H50" i="1"/>
  <c r="H52" i="1"/>
  <c r="H53" i="1"/>
  <c r="H54" i="1"/>
  <c r="H55" i="1"/>
  <c r="H57" i="1"/>
  <c r="H58" i="1"/>
  <c r="H59" i="1"/>
  <c r="H60" i="1"/>
  <c r="H63" i="1"/>
  <c r="H64" i="1"/>
  <c r="H65" i="1"/>
  <c r="H67" i="1"/>
  <c r="H68" i="1"/>
  <c r="H69" i="1"/>
  <c r="H70" i="1"/>
  <c r="H73" i="1"/>
  <c r="H75" i="1"/>
  <c r="H76" i="1"/>
  <c r="H77" i="1"/>
  <c r="H79" i="1"/>
  <c r="H80" i="1"/>
  <c r="H81" i="1"/>
  <c r="H82" i="1"/>
  <c r="H83" i="1"/>
  <c r="H86" i="1"/>
  <c r="H87" i="1"/>
  <c r="H88" i="1"/>
  <c r="H89" i="1"/>
  <c r="H90" i="1"/>
  <c r="H97" i="1"/>
  <c r="H98" i="1"/>
  <c r="H99" i="1"/>
  <c r="H100" i="1"/>
  <c r="H102" i="1"/>
  <c r="H103" i="1"/>
  <c r="H104" i="1"/>
  <c r="H105" i="1"/>
  <c r="H109" i="1"/>
  <c r="H111" i="1"/>
  <c r="H113" i="1"/>
  <c r="H114" i="1"/>
  <c r="H115" i="1"/>
  <c r="H116" i="1"/>
  <c r="H117" i="1"/>
  <c r="H118" i="1"/>
  <c r="H119" i="1"/>
  <c r="H123" i="1"/>
  <c r="H126" i="1"/>
  <c r="H127" i="1"/>
  <c r="H128" i="1"/>
  <c r="H130" i="1"/>
  <c r="H131" i="1"/>
  <c r="H132" i="1"/>
  <c r="H133" i="1"/>
  <c r="H135" i="1"/>
  <c r="H136" i="1"/>
  <c r="H140" i="1"/>
  <c r="H141" i="1"/>
  <c r="H142" i="1"/>
  <c r="H143" i="1"/>
  <c r="H11" i="1"/>
  <c r="G143" i="140" l="1"/>
  <c r="G138" i="140"/>
  <c r="G133" i="140"/>
  <c r="G129" i="140"/>
  <c r="G127" i="140"/>
  <c r="G111" i="140"/>
  <c r="G100" i="140"/>
  <c r="G144" i="112"/>
  <c r="G143" i="112"/>
  <c r="G142" i="112"/>
  <c r="G141" i="112"/>
  <c r="G139" i="112"/>
  <c r="G137" i="112"/>
  <c r="G136" i="112"/>
  <c r="G134" i="112"/>
  <c r="G133" i="112"/>
  <c r="G132" i="112"/>
  <c r="G131" i="112"/>
  <c r="G128" i="112"/>
  <c r="G127" i="112"/>
  <c r="G123" i="112"/>
  <c r="G120" i="112"/>
  <c r="G119" i="112"/>
  <c r="G118" i="112"/>
  <c r="G117" i="112"/>
  <c r="G116" i="112"/>
  <c r="G115" i="112"/>
  <c r="G114" i="112"/>
  <c r="G113" i="112"/>
  <c r="G112" i="112"/>
  <c r="G111" i="112"/>
  <c r="G110" i="112"/>
  <c r="G106" i="112"/>
  <c r="G105" i="112"/>
  <c r="G104" i="112"/>
  <c r="G102" i="112"/>
  <c r="G101" i="112"/>
  <c r="G100" i="112"/>
  <c r="G99" i="112"/>
  <c r="G98" i="112"/>
  <c r="G96" i="112"/>
  <c r="G93" i="112"/>
  <c r="G75" i="112"/>
  <c r="G72" i="112"/>
  <c r="G62" i="112"/>
  <c r="G59" i="112"/>
  <c r="G56" i="112"/>
  <c r="G53" i="112"/>
  <c r="G47" i="112"/>
  <c r="G45" i="112" s="1"/>
  <c r="G39" i="112"/>
  <c r="G38" i="112"/>
  <c r="G37" i="112"/>
  <c r="G36" i="112"/>
  <c r="G35" i="112"/>
  <c r="G33" i="112"/>
  <c r="G32" i="112"/>
  <c r="G31" i="112"/>
  <c r="G30" i="112"/>
  <c r="G29" i="112"/>
  <c r="G26" i="112"/>
  <c r="G25" i="112"/>
  <c r="G24" i="112"/>
  <c r="G23" i="112"/>
  <c r="G22" i="112"/>
  <c r="G21" i="112"/>
  <c r="G19" i="112"/>
  <c r="G18" i="112"/>
  <c r="G17" i="112"/>
  <c r="G16" i="112"/>
  <c r="G15" i="112"/>
  <c r="G14" i="112"/>
  <c r="G11" i="112"/>
  <c r="G10" i="112"/>
  <c r="G9" i="112"/>
  <c r="G8" i="112"/>
  <c r="G7" i="112"/>
  <c r="G80" i="140"/>
  <c r="G73" i="140"/>
  <c r="G68" i="140"/>
  <c r="G64" i="140"/>
  <c r="G58" i="140"/>
  <c r="G53" i="140"/>
  <c r="G47" i="140"/>
  <c r="G36" i="140"/>
  <c r="G30" i="140"/>
  <c r="G22" i="140"/>
  <c r="G15" i="140"/>
  <c r="G8" i="140"/>
  <c r="G143" i="139"/>
  <c r="G138" i="139"/>
  <c r="G133" i="139"/>
  <c r="G129" i="139"/>
  <c r="G125" i="139"/>
  <c r="G111" i="139"/>
  <c r="G100" i="139"/>
  <c r="G80" i="139"/>
  <c r="G79" i="139"/>
  <c r="G76" i="139" s="1"/>
  <c r="G73" i="139"/>
  <c r="G68" i="139"/>
  <c r="G64" i="139"/>
  <c r="G58" i="139"/>
  <c r="G53" i="139"/>
  <c r="G47" i="139"/>
  <c r="G36" i="139"/>
  <c r="G30" i="139"/>
  <c r="G29" i="139" s="1"/>
  <c r="G22" i="139"/>
  <c r="G15" i="139"/>
  <c r="G8" i="139"/>
  <c r="G141" i="108"/>
  <c r="G136" i="108"/>
  <c r="G131" i="108"/>
  <c r="G127" i="108"/>
  <c r="G123" i="108"/>
  <c r="G109" i="108"/>
  <c r="G93" i="108"/>
  <c r="G78" i="108"/>
  <c r="G71" i="108"/>
  <c r="G66" i="108"/>
  <c r="G62" i="108"/>
  <c r="G56" i="108"/>
  <c r="G51" i="108"/>
  <c r="G45" i="108"/>
  <c r="G28" i="108"/>
  <c r="G20" i="108"/>
  <c r="G13" i="108"/>
  <c r="G6" i="108"/>
  <c r="G141" i="111"/>
  <c r="G136" i="111"/>
  <c r="G131" i="111"/>
  <c r="G127" i="111"/>
  <c r="G125" i="111"/>
  <c r="G123" i="111"/>
  <c r="G110" i="111"/>
  <c r="G109" i="111" s="1"/>
  <c r="G108" i="111"/>
  <c r="G98" i="111"/>
  <c r="G78" i="111"/>
  <c r="G71" i="111"/>
  <c r="G66" i="111"/>
  <c r="G62" i="111"/>
  <c r="G56" i="111"/>
  <c r="G51" i="111"/>
  <c r="G45" i="111"/>
  <c r="G34" i="111"/>
  <c r="G28" i="111"/>
  <c r="G20" i="111"/>
  <c r="G13" i="111"/>
  <c r="G6" i="111"/>
  <c r="G121" i="1"/>
  <c r="G107" i="1"/>
  <c r="G139" i="1"/>
  <c r="G138" i="1"/>
  <c r="G129" i="1"/>
  <c r="G125" i="1"/>
  <c r="G120" i="1"/>
  <c r="G78" i="1"/>
  <c r="G74" i="1"/>
  <c r="G72" i="1"/>
  <c r="G71" i="1"/>
  <c r="G66" i="1"/>
  <c r="G62" i="1"/>
  <c r="G56" i="1"/>
  <c r="G51" i="1"/>
  <c r="G45" i="1"/>
  <c r="G34" i="1"/>
  <c r="G28" i="1"/>
  <c r="G27" i="1"/>
  <c r="G20" i="1"/>
  <c r="G13" i="1"/>
  <c r="G12" i="1"/>
  <c r="G12" i="112" s="1"/>
  <c r="N67" i="174"/>
  <c r="N58" i="174"/>
  <c r="N48" i="174"/>
  <c r="N34" i="174"/>
  <c r="G58" i="174"/>
  <c r="G44" i="174"/>
  <c r="G48" i="174" s="1"/>
  <c r="G24" i="174"/>
  <c r="G16" i="174"/>
  <c r="G8" i="174"/>
  <c r="G146" i="108" l="1"/>
  <c r="G148" i="139"/>
  <c r="G148" i="140"/>
  <c r="G27" i="111"/>
  <c r="G146" i="111"/>
  <c r="G27" i="108"/>
  <c r="G126" i="108"/>
  <c r="G63" i="139"/>
  <c r="G28" i="112"/>
  <c r="G27" i="112" s="1"/>
  <c r="G107" i="112"/>
  <c r="G121" i="112"/>
  <c r="G140" i="112"/>
  <c r="G126" i="112"/>
  <c r="G86" i="139"/>
  <c r="G29" i="140"/>
  <c r="G130" i="112"/>
  <c r="G95" i="140"/>
  <c r="G125" i="140"/>
  <c r="N68" i="174"/>
  <c r="G34" i="174"/>
  <c r="G71" i="112"/>
  <c r="G51" i="112"/>
  <c r="G84" i="1"/>
  <c r="G108" i="112"/>
  <c r="G13" i="112"/>
  <c r="G6" i="112"/>
  <c r="G20" i="112"/>
  <c r="G124" i="112"/>
  <c r="G109" i="112"/>
  <c r="G63" i="140"/>
  <c r="G95" i="139"/>
  <c r="G61" i="111"/>
  <c r="G96" i="1"/>
  <c r="G6" i="1"/>
  <c r="G68" i="174"/>
  <c r="B50" i="180"/>
  <c r="E47" i="180"/>
  <c r="E46" i="180" s="1"/>
  <c r="M38" i="177"/>
  <c r="L29" i="177"/>
  <c r="M24" i="177"/>
  <c r="B16" i="177"/>
  <c r="M16" i="177"/>
  <c r="M3" i="177"/>
  <c r="B3" i="177" s="1"/>
  <c r="D111" i="170"/>
  <c r="G97" i="170"/>
  <c r="G94" i="170" s="1"/>
  <c r="D95" i="170"/>
  <c r="G95" i="170"/>
  <c r="D96" i="170"/>
  <c r="H79" i="170"/>
  <c r="AG139" i="169"/>
  <c r="AF138" i="169"/>
  <c r="E97" i="169"/>
  <c r="F95" i="169"/>
  <c r="I93" i="169"/>
  <c r="F73" i="169"/>
  <c r="C13" i="169"/>
  <c r="F15" i="181"/>
  <c r="F36" i="181"/>
  <c r="F76" i="181"/>
  <c r="G147" i="108" l="1"/>
  <c r="G87" i="139"/>
  <c r="G61" i="1"/>
  <c r="G128" i="139"/>
  <c r="G128" i="140"/>
  <c r="G122" i="112"/>
  <c r="G97" i="112"/>
  <c r="G85" i="1"/>
  <c r="L4" i="166"/>
  <c r="F4" i="166"/>
  <c r="F34" i="166" s="1"/>
  <c r="G149" i="140" l="1"/>
  <c r="G149" i="139"/>
  <c r="G150" i="139"/>
  <c r="F18" i="159"/>
  <c r="F96" i="140" l="1"/>
  <c r="H96" i="140" s="1"/>
  <c r="E112" i="140" l="1"/>
  <c r="F112" i="140" s="1"/>
  <c r="H112" i="140" s="1"/>
  <c r="F37" i="112" l="1"/>
  <c r="H37" i="112" s="1"/>
  <c r="F36" i="112"/>
  <c r="H36" i="112" s="1"/>
  <c r="F35" i="112"/>
  <c r="H35" i="112" s="1"/>
  <c r="F33" i="112"/>
  <c r="H33" i="112" s="1"/>
  <c r="F32" i="112"/>
  <c r="H32" i="112" s="1"/>
  <c r="F31" i="112"/>
  <c r="H31" i="112" s="1"/>
  <c r="F30" i="112"/>
  <c r="H30" i="112" s="1"/>
  <c r="F29" i="112"/>
  <c r="H29" i="112" s="1"/>
  <c r="F26" i="112"/>
  <c r="H26" i="112" s="1"/>
  <c r="F25" i="112"/>
  <c r="H25" i="112" s="1"/>
  <c r="F24" i="112"/>
  <c r="H24" i="112" s="1"/>
  <c r="F23" i="112"/>
  <c r="H23" i="112" s="1"/>
  <c r="F22" i="112"/>
  <c r="H22" i="112" s="1"/>
  <c r="F21" i="112"/>
  <c r="H21" i="112" s="1"/>
  <c r="F19" i="112"/>
  <c r="H19" i="112" s="1"/>
  <c r="F17" i="112"/>
  <c r="H17" i="112" s="1"/>
  <c r="F16" i="112"/>
  <c r="H16" i="112" s="1"/>
  <c r="F15" i="112"/>
  <c r="H15" i="112" s="1"/>
  <c r="F14" i="112"/>
  <c r="H14" i="112" s="1"/>
  <c r="F11" i="112"/>
  <c r="H11" i="112" s="1"/>
  <c r="F144" i="112" l="1"/>
  <c r="H144" i="112" s="1"/>
  <c r="F143" i="112"/>
  <c r="H143" i="112" s="1"/>
  <c r="F142" i="112"/>
  <c r="H142" i="112" s="1"/>
  <c r="F141" i="112"/>
  <c r="H141" i="112" s="1"/>
  <c r="F137" i="112"/>
  <c r="H137" i="112" s="1"/>
  <c r="F136" i="112"/>
  <c r="H136" i="112" s="1"/>
  <c r="F134" i="112"/>
  <c r="H134" i="112" s="1"/>
  <c r="F133" i="112"/>
  <c r="H133" i="112" s="1"/>
  <c r="F132" i="112"/>
  <c r="H132" i="112" s="1"/>
  <c r="F131" i="112"/>
  <c r="H131" i="112" s="1"/>
  <c r="F128" i="112"/>
  <c r="H128" i="112" s="1"/>
  <c r="F127" i="112"/>
  <c r="H127" i="112" s="1"/>
  <c r="F120" i="112"/>
  <c r="H120" i="112" s="1"/>
  <c r="F119" i="112"/>
  <c r="H119" i="112" s="1"/>
  <c r="F118" i="112"/>
  <c r="H118" i="112" s="1"/>
  <c r="F117" i="112"/>
  <c r="H117" i="112" s="1"/>
  <c r="F116" i="112"/>
  <c r="H116" i="112" s="1"/>
  <c r="F115" i="112"/>
  <c r="H115" i="112" s="1"/>
  <c r="F114" i="112"/>
  <c r="H114" i="112" s="1"/>
  <c r="F112" i="112"/>
  <c r="H112" i="112" s="1"/>
  <c r="F110" i="112"/>
  <c r="H110" i="112" s="1"/>
  <c r="F106" i="112"/>
  <c r="H106" i="112" s="1"/>
  <c r="F105" i="112"/>
  <c r="H105" i="112" s="1"/>
  <c r="F104" i="112"/>
  <c r="H104" i="112" s="1"/>
  <c r="F103" i="112"/>
  <c r="H103" i="112" s="1"/>
  <c r="F101" i="112"/>
  <c r="H101" i="112" s="1"/>
  <c r="F100" i="112"/>
  <c r="H100" i="112" s="1"/>
  <c r="F99" i="112"/>
  <c r="H99" i="112" s="1"/>
  <c r="F98" i="112"/>
  <c r="H98" i="112" s="1"/>
  <c r="F18" i="1" l="1"/>
  <c r="H18" i="1" s="1"/>
  <c r="F138" i="1" l="1"/>
  <c r="F12" i="159"/>
  <c r="F26" i="159"/>
  <c r="F7" i="159"/>
  <c r="F139" i="112" l="1"/>
  <c r="H139" i="112" s="1"/>
  <c r="H138" i="1"/>
  <c r="F120" i="1"/>
  <c r="F12" i="1"/>
  <c r="F139" i="1"/>
  <c r="H139" i="1" s="1"/>
  <c r="F129" i="1"/>
  <c r="H129" i="1" s="1"/>
  <c r="F125" i="1"/>
  <c r="H125" i="1" s="1"/>
  <c r="F110" i="1"/>
  <c r="F95" i="1"/>
  <c r="F108" i="111"/>
  <c r="H108" i="111" s="1"/>
  <c r="F103" i="111"/>
  <c r="H103" i="111" s="1"/>
  <c r="F12" i="112" l="1"/>
  <c r="H12" i="112" s="1"/>
  <c r="H12" i="1"/>
  <c r="F121" i="112"/>
  <c r="H121" i="112" s="1"/>
  <c r="H120" i="1"/>
  <c r="F111" i="112"/>
  <c r="H111" i="112" s="1"/>
  <c r="H110" i="1"/>
  <c r="F96" i="112"/>
  <c r="H96" i="112" s="1"/>
  <c r="H95" i="1"/>
  <c r="F112" i="1"/>
  <c r="H112" i="1" s="1"/>
  <c r="F18" i="111"/>
  <c r="H18" i="111" s="1"/>
  <c r="F110" i="111"/>
  <c r="H110" i="111" s="1"/>
  <c r="F125" i="111"/>
  <c r="H125" i="111" s="1"/>
  <c r="F18" i="112" l="1"/>
  <c r="H18" i="112" s="1"/>
  <c r="F113" i="112"/>
  <c r="H113" i="112" s="1"/>
  <c r="F143" i="140"/>
  <c r="H143" i="140" s="1"/>
  <c r="F138" i="140"/>
  <c r="H138" i="140" s="1"/>
  <c r="F133" i="140"/>
  <c r="H133" i="140" s="1"/>
  <c r="F129" i="140"/>
  <c r="H129" i="140" s="1"/>
  <c r="F127" i="140"/>
  <c r="F100" i="140"/>
  <c r="H100" i="140" s="1"/>
  <c r="F80" i="140"/>
  <c r="H80" i="140" s="1"/>
  <c r="F73" i="140"/>
  <c r="H73" i="140" s="1"/>
  <c r="F68" i="140"/>
  <c r="H68" i="140" s="1"/>
  <c r="F64" i="140"/>
  <c r="H64" i="140" s="1"/>
  <c r="F58" i="140"/>
  <c r="H58" i="140" s="1"/>
  <c r="F53" i="140"/>
  <c r="H53" i="140" s="1"/>
  <c r="F47" i="140"/>
  <c r="H47" i="140" s="1"/>
  <c r="F36" i="140"/>
  <c r="H36" i="140" s="1"/>
  <c r="F30" i="140"/>
  <c r="H30" i="140" s="1"/>
  <c r="F22" i="140"/>
  <c r="H22" i="140" s="1"/>
  <c r="F15" i="140"/>
  <c r="H15" i="140" s="1"/>
  <c r="F8" i="140"/>
  <c r="H8" i="140" s="1"/>
  <c r="F143" i="139"/>
  <c r="H143" i="139" s="1"/>
  <c r="F138" i="139"/>
  <c r="H138" i="139" s="1"/>
  <c r="F133" i="139"/>
  <c r="H133" i="139" s="1"/>
  <c r="F129" i="139"/>
  <c r="H129" i="139" s="1"/>
  <c r="F125" i="139"/>
  <c r="H125" i="139" s="1"/>
  <c r="F111" i="139"/>
  <c r="H111" i="139" s="1"/>
  <c r="F100" i="139"/>
  <c r="H100" i="139" s="1"/>
  <c r="F98" i="139"/>
  <c r="F80" i="139"/>
  <c r="H80" i="139" s="1"/>
  <c r="F79" i="139"/>
  <c r="F73" i="139"/>
  <c r="H73" i="139" s="1"/>
  <c r="F68" i="139"/>
  <c r="H68" i="139" s="1"/>
  <c r="F64" i="139"/>
  <c r="H64" i="139" s="1"/>
  <c r="F58" i="139"/>
  <c r="H58" i="139" s="1"/>
  <c r="F53" i="139"/>
  <c r="H53" i="139" s="1"/>
  <c r="F47" i="139"/>
  <c r="H47" i="139" s="1"/>
  <c r="F36" i="139"/>
  <c r="H36" i="139" s="1"/>
  <c r="F30" i="139"/>
  <c r="H30" i="139" s="1"/>
  <c r="F29" i="139"/>
  <c r="H29" i="139" s="1"/>
  <c r="F22" i="139"/>
  <c r="H22" i="139" s="1"/>
  <c r="F15" i="139"/>
  <c r="H15" i="139" s="1"/>
  <c r="F8" i="139"/>
  <c r="H8" i="139" s="1"/>
  <c r="F141" i="108"/>
  <c r="H141" i="108" s="1"/>
  <c r="F136" i="108"/>
  <c r="H136" i="108" s="1"/>
  <c r="F131" i="108"/>
  <c r="H131" i="108" s="1"/>
  <c r="F127" i="108"/>
  <c r="H127" i="108" s="1"/>
  <c r="F123" i="108"/>
  <c r="H123" i="108" s="1"/>
  <c r="F109" i="108"/>
  <c r="H109" i="108" s="1"/>
  <c r="F78" i="108"/>
  <c r="H78" i="108" s="1"/>
  <c r="F71" i="108"/>
  <c r="H71" i="108" s="1"/>
  <c r="F66" i="108"/>
  <c r="H66" i="108" s="1"/>
  <c r="F62" i="108"/>
  <c r="H62" i="108" s="1"/>
  <c r="F56" i="108"/>
  <c r="H56" i="108" s="1"/>
  <c r="F51" i="108"/>
  <c r="H51" i="108" s="1"/>
  <c r="F45" i="108"/>
  <c r="H45" i="108" s="1"/>
  <c r="F28" i="108"/>
  <c r="H28" i="108" s="1"/>
  <c r="F20" i="108"/>
  <c r="H20" i="108" s="1"/>
  <c r="F13" i="108"/>
  <c r="H13" i="108" s="1"/>
  <c r="F6" i="108"/>
  <c r="H6" i="108" s="1"/>
  <c r="F141" i="111"/>
  <c r="H141" i="111" s="1"/>
  <c r="F136" i="111"/>
  <c r="H136" i="111" s="1"/>
  <c r="F131" i="111"/>
  <c r="H131" i="111" s="1"/>
  <c r="F127" i="111"/>
  <c r="H127" i="111" s="1"/>
  <c r="F123" i="111"/>
  <c r="H123" i="111" s="1"/>
  <c r="F109" i="111"/>
  <c r="H109" i="111" s="1"/>
  <c r="F98" i="111"/>
  <c r="H98" i="111" s="1"/>
  <c r="F78" i="111"/>
  <c r="H78" i="111" s="1"/>
  <c r="F71" i="111"/>
  <c r="H71" i="111" s="1"/>
  <c r="F66" i="111"/>
  <c r="H66" i="111" s="1"/>
  <c r="F62" i="111"/>
  <c r="H62" i="111" s="1"/>
  <c r="F56" i="111"/>
  <c r="H56" i="111" s="1"/>
  <c r="F51" i="111"/>
  <c r="H51" i="111" s="1"/>
  <c r="F45" i="111"/>
  <c r="H45" i="111" s="1"/>
  <c r="F34" i="111"/>
  <c r="H34" i="111" s="1"/>
  <c r="F28" i="111"/>
  <c r="H28" i="111" s="1"/>
  <c r="F20" i="111"/>
  <c r="H20" i="111" s="1"/>
  <c r="F13" i="111"/>
  <c r="H13" i="111" s="1"/>
  <c r="F6" i="111"/>
  <c r="H6" i="111" s="1"/>
  <c r="F78" i="1"/>
  <c r="H78" i="1" s="1"/>
  <c r="F74" i="1"/>
  <c r="H74" i="1" s="1"/>
  <c r="F72" i="1"/>
  <c r="F66" i="1"/>
  <c r="H66" i="1" s="1"/>
  <c r="F62" i="1"/>
  <c r="H62" i="1" s="1"/>
  <c r="F56" i="1"/>
  <c r="H56" i="1" s="1"/>
  <c r="F51" i="1"/>
  <c r="H51" i="1" s="1"/>
  <c r="F45" i="1"/>
  <c r="H45" i="1" s="1"/>
  <c r="F34" i="1"/>
  <c r="H34" i="1" s="1"/>
  <c r="F28" i="1"/>
  <c r="H28" i="1" s="1"/>
  <c r="F20" i="1"/>
  <c r="H20" i="1" s="1"/>
  <c r="F13" i="1"/>
  <c r="H13" i="1" s="1"/>
  <c r="M67" i="174"/>
  <c r="M58" i="174"/>
  <c r="M48" i="174"/>
  <c r="M34" i="174"/>
  <c r="F58" i="174"/>
  <c r="F44" i="174"/>
  <c r="F48" i="174" s="1"/>
  <c r="F26" i="174"/>
  <c r="F24" i="174" s="1"/>
  <c r="F16" i="174"/>
  <c r="F10" i="174"/>
  <c r="F8" i="174" s="1"/>
  <c r="F34" i="174" s="1"/>
  <c r="F75" i="112"/>
  <c r="H75" i="112" s="1"/>
  <c r="F62" i="112"/>
  <c r="H62" i="112" s="1"/>
  <c r="F59" i="112"/>
  <c r="H59" i="112" s="1"/>
  <c r="F53" i="112"/>
  <c r="H53" i="112" s="1"/>
  <c r="F47" i="112"/>
  <c r="H47" i="112" s="1"/>
  <c r="F38" i="112"/>
  <c r="H38" i="112" s="1"/>
  <c r="F95" i="139" l="1"/>
  <c r="H95" i="139" s="1"/>
  <c r="H98" i="139"/>
  <c r="F125" i="140"/>
  <c r="H125" i="140" s="1"/>
  <c r="H127" i="140"/>
  <c r="F71" i="1"/>
  <c r="H71" i="1" s="1"/>
  <c r="H72" i="1"/>
  <c r="F76" i="139"/>
  <c r="H76" i="139" s="1"/>
  <c r="H79" i="139"/>
  <c r="F27" i="108"/>
  <c r="H27" i="108" s="1"/>
  <c r="F72" i="112"/>
  <c r="H72" i="112" s="1"/>
  <c r="F56" i="112"/>
  <c r="H56" i="112" s="1"/>
  <c r="F86" i="139"/>
  <c r="H86" i="139" s="1"/>
  <c r="F148" i="139"/>
  <c r="H148" i="139" s="1"/>
  <c r="F146" i="108"/>
  <c r="H146" i="108" s="1"/>
  <c r="F84" i="1"/>
  <c r="H84" i="1" s="1"/>
  <c r="F45" i="112"/>
  <c r="H45" i="112" s="1"/>
  <c r="F27" i="111"/>
  <c r="H27" i="111" s="1"/>
  <c r="F140" i="112"/>
  <c r="H140" i="112" s="1"/>
  <c r="F29" i="140"/>
  <c r="H29" i="140" s="1"/>
  <c r="F146" i="111"/>
  <c r="H146" i="111" s="1"/>
  <c r="F126" i="112"/>
  <c r="H126" i="112" s="1"/>
  <c r="F51" i="112"/>
  <c r="H51" i="112" s="1"/>
  <c r="F148" i="140"/>
  <c r="H148" i="140" s="1"/>
  <c r="F28" i="112"/>
  <c r="H28" i="112" s="1"/>
  <c r="F63" i="139"/>
  <c r="F128" i="139"/>
  <c r="F63" i="140"/>
  <c r="H63" i="140" s="1"/>
  <c r="M68" i="174"/>
  <c r="F71" i="112"/>
  <c r="H71" i="112" s="1"/>
  <c r="F130" i="112"/>
  <c r="H130" i="112" s="1"/>
  <c r="F124" i="112"/>
  <c r="H124" i="112" s="1"/>
  <c r="F111" i="140"/>
  <c r="H111" i="140" s="1"/>
  <c r="F61" i="111"/>
  <c r="H61" i="111" s="1"/>
  <c r="F27" i="1"/>
  <c r="H27" i="1" s="1"/>
  <c r="F13" i="112"/>
  <c r="H13" i="112" s="1"/>
  <c r="F20" i="112"/>
  <c r="H20" i="112" s="1"/>
  <c r="F68" i="174"/>
  <c r="E125" i="1"/>
  <c r="E59" i="112"/>
  <c r="D59" i="112"/>
  <c r="C59" i="112"/>
  <c r="C53" i="112"/>
  <c r="E47" i="112"/>
  <c r="D47" i="112"/>
  <c r="C47" i="112"/>
  <c r="E32" i="112"/>
  <c r="D32" i="112"/>
  <c r="C32" i="112"/>
  <c r="E33" i="112"/>
  <c r="E31" i="112"/>
  <c r="E30" i="112"/>
  <c r="E29" i="112"/>
  <c r="D33" i="112"/>
  <c r="D31" i="112"/>
  <c r="D30" i="112"/>
  <c r="D29" i="112"/>
  <c r="C33" i="112"/>
  <c r="C31" i="112"/>
  <c r="C30" i="112"/>
  <c r="C29" i="112"/>
  <c r="E19" i="112"/>
  <c r="D19" i="112"/>
  <c r="C19" i="112"/>
  <c r="E18" i="112"/>
  <c r="D18" i="112"/>
  <c r="C18" i="112"/>
  <c r="E14" i="112"/>
  <c r="D14" i="112"/>
  <c r="E12" i="112"/>
  <c r="D12" i="112"/>
  <c r="E11" i="112"/>
  <c r="D11" i="112"/>
  <c r="C11" i="112"/>
  <c r="D8" i="112"/>
  <c r="F149" i="139" l="1"/>
  <c r="H149" i="139" s="1"/>
  <c r="H128" i="139"/>
  <c r="F87" i="139"/>
  <c r="H87" i="139" s="1"/>
  <c r="H63" i="139"/>
  <c r="F27" i="112"/>
  <c r="H27" i="112" s="1"/>
  <c r="H79" i="171" l="1"/>
  <c r="F96" i="170"/>
  <c r="E95" i="170"/>
  <c r="C8" i="169" l="1"/>
  <c r="C9" i="169"/>
  <c r="C10" i="169"/>
  <c r="C11" i="169"/>
  <c r="C12" i="169"/>
  <c r="C15" i="169"/>
  <c r="C16" i="169"/>
  <c r="C17" i="169"/>
  <c r="C18" i="169"/>
  <c r="C19" i="169"/>
  <c r="C20" i="169"/>
  <c r="C22" i="169"/>
  <c r="C23" i="169"/>
  <c r="C24" i="169"/>
  <c r="C25" i="169"/>
  <c r="C27" i="169"/>
  <c r="C30" i="169"/>
  <c r="C31" i="169"/>
  <c r="C32" i="169"/>
  <c r="C33" i="169"/>
  <c r="C34" i="169"/>
  <c r="C36" i="169"/>
  <c r="C37" i="169"/>
  <c r="C38" i="169"/>
  <c r="C39" i="169"/>
  <c r="C40" i="169"/>
  <c r="C41" i="169"/>
  <c r="C42" i="169"/>
  <c r="C43" i="169"/>
  <c r="C44" i="169"/>
  <c r="C45" i="169"/>
  <c r="C47" i="169"/>
  <c r="C48" i="169"/>
  <c r="C49" i="169"/>
  <c r="C50" i="169"/>
  <c r="C51" i="169"/>
  <c r="C53" i="169"/>
  <c r="C54" i="169"/>
  <c r="C55" i="169"/>
  <c r="C56" i="169"/>
  <c r="C58" i="169"/>
  <c r="C59" i="169"/>
  <c r="C60" i="169"/>
  <c r="C61" i="169"/>
  <c r="C63" i="169"/>
  <c r="C64" i="169"/>
  <c r="C65" i="169"/>
  <c r="C66" i="169"/>
  <c r="C67" i="169"/>
  <c r="C68" i="169"/>
  <c r="C69" i="169"/>
  <c r="C70" i="169"/>
  <c r="C71" i="169"/>
  <c r="C74" i="169"/>
  <c r="C76" i="169"/>
  <c r="C77" i="169"/>
  <c r="C78" i="169"/>
  <c r="C79" i="169"/>
  <c r="C80" i="169"/>
  <c r="C81" i="169"/>
  <c r="C82" i="169"/>
  <c r="C83" i="169"/>
  <c r="C84" i="169"/>
  <c r="C16" i="181"/>
  <c r="C17" i="181"/>
  <c r="C18" i="181"/>
  <c r="C19" i="181"/>
  <c r="C20" i="181"/>
  <c r="C21" i="181"/>
  <c r="C23" i="181"/>
  <c r="C24" i="181"/>
  <c r="C25" i="181"/>
  <c r="C26" i="181"/>
  <c r="C27" i="181"/>
  <c r="C28" i="181"/>
  <c r="C30" i="181"/>
  <c r="C31" i="181"/>
  <c r="C32" i="181"/>
  <c r="C33" i="181"/>
  <c r="C34" i="181"/>
  <c r="C35" i="181"/>
  <c r="C37" i="181"/>
  <c r="C38" i="181"/>
  <c r="C39" i="181"/>
  <c r="C40" i="181"/>
  <c r="C41" i="181"/>
  <c r="C42" i="181"/>
  <c r="C43" i="181"/>
  <c r="C44" i="181"/>
  <c r="C45" i="181"/>
  <c r="C46" i="181"/>
  <c r="C48" i="181"/>
  <c r="C49" i="181"/>
  <c r="C50" i="181"/>
  <c r="C51" i="181"/>
  <c r="C52" i="181"/>
  <c r="C54" i="181"/>
  <c r="C55" i="181"/>
  <c r="C56" i="181"/>
  <c r="C57" i="181"/>
  <c r="C59" i="181"/>
  <c r="C60" i="181"/>
  <c r="C61" i="181"/>
  <c r="C62" i="181"/>
  <c r="C65" i="181"/>
  <c r="C66" i="181"/>
  <c r="C67" i="181"/>
  <c r="C69" i="181"/>
  <c r="C70" i="181"/>
  <c r="C71" i="181"/>
  <c r="C72" i="181"/>
  <c r="C74" i="181"/>
  <c r="C75" i="181"/>
  <c r="C77" i="181"/>
  <c r="C78" i="181"/>
  <c r="C79" i="181"/>
  <c r="C81" i="181"/>
  <c r="C82" i="181"/>
  <c r="C83" i="181"/>
  <c r="C84" i="181"/>
  <c r="C85" i="181"/>
  <c r="F22" i="181"/>
  <c r="F47" i="181"/>
  <c r="F58" i="181"/>
  <c r="F64" i="181"/>
  <c r="F73" i="181"/>
  <c r="E98" i="112"/>
  <c r="E99" i="112"/>
  <c r="E100" i="112"/>
  <c r="E101" i="112"/>
  <c r="E103" i="112"/>
  <c r="E104" i="112"/>
  <c r="E105" i="112"/>
  <c r="E106" i="112"/>
  <c r="E110" i="112"/>
  <c r="E112" i="112"/>
  <c r="E114" i="112"/>
  <c r="E115" i="112"/>
  <c r="E116" i="112"/>
  <c r="E117" i="112"/>
  <c r="E118" i="112"/>
  <c r="E119" i="112"/>
  <c r="E120" i="112"/>
  <c r="E121" i="112"/>
  <c r="E127" i="112"/>
  <c r="E128" i="112"/>
  <c r="E131" i="112"/>
  <c r="E132" i="112"/>
  <c r="E133" i="112"/>
  <c r="E134" i="112"/>
  <c r="E136" i="112"/>
  <c r="E137" i="112"/>
  <c r="E139" i="112"/>
  <c r="E141" i="112"/>
  <c r="E142" i="112"/>
  <c r="E143" i="112"/>
  <c r="E144" i="112"/>
  <c r="C14" i="169" l="1"/>
  <c r="F86" i="181"/>
  <c r="E8" i="112" l="1"/>
  <c r="E53" i="112"/>
  <c r="M26" i="159"/>
  <c r="M4" i="159"/>
  <c r="M33" i="159"/>
  <c r="H4" i="159"/>
  <c r="D5" i="166"/>
  <c r="D122" i="1" s="1"/>
  <c r="E5" i="166"/>
  <c r="E79" i="140"/>
  <c r="F79" i="140" s="1"/>
  <c r="G79" i="140" s="1"/>
  <c r="E98" i="140"/>
  <c r="F98" i="140" s="1"/>
  <c r="H98" i="140" s="1"/>
  <c r="E26" i="159"/>
  <c r="E35" i="159"/>
  <c r="D26" i="159"/>
  <c r="D110" i="1"/>
  <c r="D33" i="159"/>
  <c r="G76" i="140" l="1"/>
  <c r="H79" i="140"/>
  <c r="F76" i="140"/>
  <c r="E33" i="159"/>
  <c r="F33" i="159"/>
  <c r="F95" i="140"/>
  <c r="H95" i="140" s="1"/>
  <c r="E122" i="1"/>
  <c r="F122" i="1" s="1"/>
  <c r="H122" i="1" s="1"/>
  <c r="D4" i="166"/>
  <c r="M36" i="159"/>
  <c r="D77" i="112"/>
  <c r="D75" i="112"/>
  <c r="D72" i="112"/>
  <c r="D62" i="112"/>
  <c r="D56" i="112"/>
  <c r="D51" i="112"/>
  <c r="D45" i="112"/>
  <c r="D40" i="112"/>
  <c r="D39" i="112"/>
  <c r="D38" i="112"/>
  <c r="D37" i="112"/>
  <c r="D36" i="112"/>
  <c r="D26" i="112"/>
  <c r="D25" i="112"/>
  <c r="D24" i="112"/>
  <c r="D23" i="112"/>
  <c r="D22" i="112"/>
  <c r="D21" i="112"/>
  <c r="D13" i="112"/>
  <c r="D10" i="112"/>
  <c r="E10" i="112" s="1"/>
  <c r="D9" i="112"/>
  <c r="E9" i="112" s="1"/>
  <c r="D146" i="112"/>
  <c r="D145" i="112"/>
  <c r="D144" i="112"/>
  <c r="D143" i="112"/>
  <c r="D142" i="112"/>
  <c r="D141" i="112"/>
  <c r="D140" i="112"/>
  <c r="D139" i="112"/>
  <c r="D138" i="112"/>
  <c r="D137" i="112"/>
  <c r="D136" i="112"/>
  <c r="D135" i="112"/>
  <c r="D134" i="112"/>
  <c r="D133" i="112"/>
  <c r="D132" i="112"/>
  <c r="D131" i="112"/>
  <c r="D130" i="112"/>
  <c r="D129" i="112"/>
  <c r="D128" i="112"/>
  <c r="D127" i="112"/>
  <c r="D126" i="112"/>
  <c r="D125" i="112"/>
  <c r="D124" i="112"/>
  <c r="D123" i="112"/>
  <c r="D122" i="112"/>
  <c r="D121" i="112"/>
  <c r="D120" i="112"/>
  <c r="D119" i="112"/>
  <c r="D118" i="112"/>
  <c r="D117" i="112"/>
  <c r="D116" i="112"/>
  <c r="D115" i="112"/>
  <c r="D114" i="112"/>
  <c r="D113" i="112"/>
  <c r="D112" i="112"/>
  <c r="D111" i="112"/>
  <c r="D110" i="112"/>
  <c r="D109" i="112"/>
  <c r="D108" i="112"/>
  <c r="D107" i="112"/>
  <c r="D106" i="112"/>
  <c r="D105" i="112"/>
  <c r="D104" i="112"/>
  <c r="D103" i="112"/>
  <c r="D102" i="112"/>
  <c r="D101" i="112"/>
  <c r="D100" i="112"/>
  <c r="D99" i="112"/>
  <c r="D98" i="112"/>
  <c r="D97" i="112"/>
  <c r="D96" i="112"/>
  <c r="D95" i="112"/>
  <c r="D94" i="112"/>
  <c r="D93" i="112"/>
  <c r="G86" i="140" l="1"/>
  <c r="H76" i="140"/>
  <c r="F123" i="112"/>
  <c r="H123" i="112" s="1"/>
  <c r="F121" i="1"/>
  <c r="H121" i="1" s="1"/>
  <c r="E123" i="112"/>
  <c r="F128" i="140"/>
  <c r="F86" i="140"/>
  <c r="D20" i="112"/>
  <c r="D71" i="112"/>
  <c r="D92" i="112"/>
  <c r="D34" i="112"/>
  <c r="D147" i="112"/>
  <c r="D74" i="112"/>
  <c r="F149" i="140" l="1"/>
  <c r="H149" i="140" s="1"/>
  <c r="H128" i="140"/>
  <c r="G87" i="140"/>
  <c r="H86" i="140"/>
  <c r="F122" i="112"/>
  <c r="H122" i="112" s="1"/>
  <c r="F87" i="140"/>
  <c r="D84" i="112"/>
  <c r="E40" i="108"/>
  <c r="F40" i="108" s="1"/>
  <c r="E39" i="108"/>
  <c r="E101" i="1"/>
  <c r="E95" i="111"/>
  <c r="F95" i="111" s="1"/>
  <c r="G95" i="111" s="1"/>
  <c r="E94" i="111"/>
  <c r="F94" i="111" s="1"/>
  <c r="H94" i="111" s="1"/>
  <c r="E93" i="1"/>
  <c r="F93" i="1" s="1"/>
  <c r="G93" i="1" s="1"/>
  <c r="E8" i="1"/>
  <c r="F8" i="1" s="1"/>
  <c r="H8" i="1" s="1"/>
  <c r="E92" i="1"/>
  <c r="F92" i="1" s="1"/>
  <c r="H92" i="1" s="1"/>
  <c r="F40" i="112" l="1"/>
  <c r="G40" i="108"/>
  <c r="H95" i="111"/>
  <c r="G93" i="111"/>
  <c r="G150" i="140"/>
  <c r="H87" i="140"/>
  <c r="H93" i="1"/>
  <c r="G94" i="112"/>
  <c r="E39" i="112"/>
  <c r="F39" i="108"/>
  <c r="H39" i="108" s="1"/>
  <c r="F8" i="112"/>
  <c r="H8" i="112" s="1"/>
  <c r="F93" i="112"/>
  <c r="H93" i="112" s="1"/>
  <c r="F94" i="112"/>
  <c r="H94" i="112" s="1"/>
  <c r="E102" i="112"/>
  <c r="F101" i="1"/>
  <c r="H101" i="1" s="1"/>
  <c r="E94" i="112"/>
  <c r="E93" i="112"/>
  <c r="E11" i="159"/>
  <c r="F11" i="159" s="1"/>
  <c r="H40" i="108" l="1"/>
  <c r="G34" i="108"/>
  <c r="G40" i="112"/>
  <c r="G34" i="112" s="1"/>
  <c r="G61" i="112" s="1"/>
  <c r="G126" i="111"/>
  <c r="F4" i="159"/>
  <c r="F36" i="159" s="1"/>
  <c r="G11" i="159"/>
  <c r="G4" i="159" s="1"/>
  <c r="G36" i="159" s="1"/>
  <c r="F39" i="112"/>
  <c r="H39" i="112" s="1"/>
  <c r="F34" i="108"/>
  <c r="F61" i="108" s="1"/>
  <c r="F102" i="112"/>
  <c r="H102" i="112" s="1"/>
  <c r="B10" i="165"/>
  <c r="D7" i="159"/>
  <c r="D127" i="140"/>
  <c r="D125" i="140" s="1"/>
  <c r="D143" i="140"/>
  <c r="D138" i="140"/>
  <c r="D133" i="140"/>
  <c r="D129" i="140"/>
  <c r="D111" i="140"/>
  <c r="D100" i="140"/>
  <c r="D95" i="140" s="1"/>
  <c r="D80" i="140"/>
  <c r="D76" i="140"/>
  <c r="D73" i="140"/>
  <c r="D68" i="140"/>
  <c r="D64" i="140"/>
  <c r="D58" i="140"/>
  <c r="D53" i="140"/>
  <c r="D47" i="140"/>
  <c r="D36" i="140"/>
  <c r="D30" i="140"/>
  <c r="D29" i="140" s="1"/>
  <c r="D22" i="140"/>
  <c r="D15" i="140"/>
  <c r="D8" i="140"/>
  <c r="D143" i="139"/>
  <c r="D138" i="139"/>
  <c r="D133" i="139"/>
  <c r="D129" i="139"/>
  <c r="D125" i="139"/>
  <c r="D111" i="139"/>
  <c r="D100" i="139"/>
  <c r="D98" i="139"/>
  <c r="D80" i="139"/>
  <c r="D79" i="139"/>
  <c r="D76" i="139" s="1"/>
  <c r="D73" i="139"/>
  <c r="D68" i="139"/>
  <c r="D64" i="139"/>
  <c r="D58" i="139"/>
  <c r="D53" i="139"/>
  <c r="D47" i="139"/>
  <c r="D36" i="139"/>
  <c r="D30" i="139"/>
  <c r="D29" i="139" s="1"/>
  <c r="D22" i="139"/>
  <c r="D15" i="139"/>
  <c r="D8" i="139"/>
  <c r="D141" i="108"/>
  <c r="D136" i="108"/>
  <c r="D131" i="108"/>
  <c r="D127" i="108"/>
  <c r="D123" i="108"/>
  <c r="D109" i="108"/>
  <c r="D96" i="108"/>
  <c r="E96" i="108" s="1"/>
  <c r="F96" i="108" s="1"/>
  <c r="H96" i="108" s="1"/>
  <c r="D78" i="108"/>
  <c r="D77" i="108"/>
  <c r="D71" i="108"/>
  <c r="D66" i="108"/>
  <c r="D62" i="108"/>
  <c r="D56" i="108"/>
  <c r="D51" i="108"/>
  <c r="D45" i="108"/>
  <c r="D34" i="108"/>
  <c r="D28" i="108"/>
  <c r="D27" i="108" s="1"/>
  <c r="D20" i="108"/>
  <c r="D13" i="108"/>
  <c r="D6" i="108"/>
  <c r="D141" i="111"/>
  <c r="D136" i="111"/>
  <c r="D131" i="111"/>
  <c r="D127" i="111"/>
  <c r="D123" i="111"/>
  <c r="D109" i="111"/>
  <c r="D98" i="111"/>
  <c r="D96" i="111"/>
  <c r="E96" i="111" s="1"/>
  <c r="F96" i="111" s="1"/>
  <c r="H96" i="111" s="1"/>
  <c r="D78" i="111"/>
  <c r="D77" i="111"/>
  <c r="E77" i="111" s="1"/>
  <c r="F77" i="111" s="1"/>
  <c r="G77" i="111" s="1"/>
  <c r="D71" i="111"/>
  <c r="D66" i="111"/>
  <c r="D62" i="111"/>
  <c r="D56" i="111"/>
  <c r="D51" i="111"/>
  <c r="D45" i="111"/>
  <c r="D34" i="111"/>
  <c r="D28" i="111"/>
  <c r="D27" i="111" s="1"/>
  <c r="D20" i="111"/>
  <c r="D13" i="111"/>
  <c r="D6" i="111"/>
  <c r="D139" i="1"/>
  <c r="D137" i="1"/>
  <c r="E137" i="1" s="1"/>
  <c r="F137" i="1" s="1"/>
  <c r="G137" i="1" s="1"/>
  <c r="D129" i="1"/>
  <c r="D125" i="1"/>
  <c r="D121" i="1"/>
  <c r="D112" i="1"/>
  <c r="D108" i="1"/>
  <c r="E108" i="1" s="1"/>
  <c r="F108" i="1" s="1"/>
  <c r="H108" i="1" s="1"/>
  <c r="D106" i="1"/>
  <c r="D95" i="1"/>
  <c r="D94" i="1"/>
  <c r="E94" i="1" s="1"/>
  <c r="F94" i="1" s="1"/>
  <c r="G94" i="1" s="1"/>
  <c r="D78" i="1"/>
  <c r="D74" i="1"/>
  <c r="D72" i="1"/>
  <c r="D71" i="1" s="1"/>
  <c r="D66" i="1"/>
  <c r="D62" i="1"/>
  <c r="D56" i="1"/>
  <c r="D51" i="1"/>
  <c r="D45" i="1"/>
  <c r="D34" i="1"/>
  <c r="D28" i="1"/>
  <c r="D20" i="1"/>
  <c r="D13" i="1"/>
  <c r="D10" i="1"/>
  <c r="E10" i="1" s="1"/>
  <c r="F10" i="1" s="1"/>
  <c r="H10" i="1" s="1"/>
  <c r="D9" i="1"/>
  <c r="E9" i="1" s="1"/>
  <c r="F9" i="1" s="1"/>
  <c r="H9" i="1" s="1"/>
  <c r="D7" i="1"/>
  <c r="D7" i="112" s="1"/>
  <c r="K67" i="174"/>
  <c r="K58" i="174"/>
  <c r="K48" i="174"/>
  <c r="K34" i="174"/>
  <c r="D58" i="174"/>
  <c r="D44" i="174"/>
  <c r="D48" i="174" s="1"/>
  <c r="D26" i="174"/>
  <c r="D24" i="174" s="1"/>
  <c r="D16" i="174"/>
  <c r="D10" i="174"/>
  <c r="D8" i="174" s="1"/>
  <c r="H94" i="1" l="1"/>
  <c r="G95" i="112"/>
  <c r="G92" i="112" s="1"/>
  <c r="G91" i="1"/>
  <c r="H40" i="112"/>
  <c r="H137" i="1"/>
  <c r="G138" i="112"/>
  <c r="G134" i="1"/>
  <c r="G74" i="111"/>
  <c r="H77" i="111"/>
  <c r="G147" i="111"/>
  <c r="H34" i="108"/>
  <c r="G61" i="108"/>
  <c r="K68" i="174"/>
  <c r="F74" i="111"/>
  <c r="F9" i="112"/>
  <c r="H9" i="112" s="1"/>
  <c r="F10" i="112"/>
  <c r="H10" i="112" s="1"/>
  <c r="F107" i="1"/>
  <c r="H107" i="1" s="1"/>
  <c r="F109" i="112"/>
  <c r="H109" i="112" s="1"/>
  <c r="D93" i="108"/>
  <c r="D63" i="139"/>
  <c r="F34" i="112"/>
  <c r="H34" i="112" s="1"/>
  <c r="F93" i="111"/>
  <c r="H93" i="111" s="1"/>
  <c r="D148" i="139"/>
  <c r="F95" i="112"/>
  <c r="H95" i="112" s="1"/>
  <c r="F138" i="112"/>
  <c r="H138" i="112" s="1"/>
  <c r="F134" i="1"/>
  <c r="F93" i="108"/>
  <c r="H93" i="108" s="1"/>
  <c r="E7" i="112"/>
  <c r="D6" i="112"/>
  <c r="D27" i="1"/>
  <c r="D28" i="112"/>
  <c r="D27" i="112" s="1"/>
  <c r="D86" i="139"/>
  <c r="E138" i="112"/>
  <c r="D34" i="174"/>
  <c r="D63" i="140"/>
  <c r="D4" i="159"/>
  <c r="D36" i="159" s="1"/>
  <c r="E109" i="112"/>
  <c r="D95" i="139"/>
  <c r="D128" i="139" s="1"/>
  <c r="D86" i="140"/>
  <c r="D148" i="140"/>
  <c r="D146" i="108"/>
  <c r="D61" i="108"/>
  <c r="D74" i="108"/>
  <c r="D84" i="108" s="1"/>
  <c r="E77" i="108"/>
  <c r="F77" i="108" s="1"/>
  <c r="D126" i="108"/>
  <c r="D6" i="1"/>
  <c r="D61" i="1" s="1"/>
  <c r="E7" i="1"/>
  <c r="F7" i="1" s="1"/>
  <c r="H7" i="1" s="1"/>
  <c r="D107" i="1"/>
  <c r="D134" i="1"/>
  <c r="D144" i="1" s="1"/>
  <c r="D84" i="1"/>
  <c r="D96" i="1"/>
  <c r="D91" i="1" s="1"/>
  <c r="E106" i="1"/>
  <c r="F106" i="1" s="1"/>
  <c r="H106" i="1" s="1"/>
  <c r="D74" i="111"/>
  <c r="D84" i="111" s="1"/>
  <c r="D93" i="111"/>
  <c r="D126" i="111" s="1"/>
  <c r="D146" i="111"/>
  <c r="D61" i="111"/>
  <c r="D128" i="140"/>
  <c r="D68" i="174"/>
  <c r="C96" i="181"/>
  <c r="C97" i="181"/>
  <c r="C99" i="181"/>
  <c r="C100" i="181"/>
  <c r="C101" i="181"/>
  <c r="C102" i="181"/>
  <c r="C103" i="181"/>
  <c r="C104" i="181"/>
  <c r="C105" i="181"/>
  <c r="C106" i="181"/>
  <c r="C107" i="181"/>
  <c r="C108" i="181"/>
  <c r="C109" i="181"/>
  <c r="C111" i="181"/>
  <c r="C112" i="181"/>
  <c r="C113" i="181"/>
  <c r="C114" i="181"/>
  <c r="C115" i="181"/>
  <c r="C116" i="181"/>
  <c r="C117" i="181"/>
  <c r="C118" i="181"/>
  <c r="C119" i="181"/>
  <c r="C120" i="181"/>
  <c r="C121" i="181"/>
  <c r="C122" i="181"/>
  <c r="C123" i="181"/>
  <c r="C125" i="181"/>
  <c r="C126" i="181"/>
  <c r="C129" i="181"/>
  <c r="C130" i="181"/>
  <c r="C131" i="181"/>
  <c r="C133" i="181"/>
  <c r="C134" i="181"/>
  <c r="C135" i="181"/>
  <c r="C136" i="181"/>
  <c r="C138" i="181"/>
  <c r="C139" i="181"/>
  <c r="C140" i="181"/>
  <c r="C141" i="181"/>
  <c r="C143" i="181"/>
  <c r="C144" i="181"/>
  <c r="C145" i="181"/>
  <c r="C146" i="181"/>
  <c r="C98" i="181"/>
  <c r="F137" i="181"/>
  <c r="F128" i="181"/>
  <c r="F124" i="181"/>
  <c r="F110" i="181"/>
  <c r="F94" i="181"/>
  <c r="E142" i="181"/>
  <c r="D142" i="181"/>
  <c r="C142" i="181" s="1"/>
  <c r="E137" i="181"/>
  <c r="D137" i="181"/>
  <c r="E132" i="181"/>
  <c r="D132" i="181"/>
  <c r="E128" i="181"/>
  <c r="D128" i="181"/>
  <c r="E124" i="181"/>
  <c r="D124" i="181"/>
  <c r="E110" i="181"/>
  <c r="D110" i="181"/>
  <c r="E95" i="181"/>
  <c r="C95" i="181" s="1"/>
  <c r="D94" i="181"/>
  <c r="E80" i="181"/>
  <c r="D80" i="181"/>
  <c r="E76" i="181"/>
  <c r="D76" i="181"/>
  <c r="E73" i="181"/>
  <c r="D73" i="181"/>
  <c r="E68" i="181"/>
  <c r="D68" i="181"/>
  <c r="E64" i="181"/>
  <c r="D64" i="181"/>
  <c r="E58" i="181"/>
  <c r="D58" i="181"/>
  <c r="E53" i="181"/>
  <c r="D53" i="181"/>
  <c r="E47" i="181"/>
  <c r="D47" i="181"/>
  <c r="E36" i="181"/>
  <c r="D36" i="181"/>
  <c r="E29" i="181"/>
  <c r="D29" i="181"/>
  <c r="E22" i="181"/>
  <c r="D22" i="181"/>
  <c r="E15" i="181"/>
  <c r="D15" i="181"/>
  <c r="E8" i="181"/>
  <c r="D8" i="181"/>
  <c r="F74" i="108" l="1"/>
  <c r="F84" i="108" s="1"/>
  <c r="F85" i="108" s="1"/>
  <c r="G77" i="108"/>
  <c r="H61" i="108"/>
  <c r="H134" i="1"/>
  <c r="G135" i="112"/>
  <c r="G144" i="1"/>
  <c r="G124" i="1"/>
  <c r="C128" i="181"/>
  <c r="H74" i="111"/>
  <c r="G84" i="111"/>
  <c r="D87" i="139"/>
  <c r="D149" i="139"/>
  <c r="D63" i="181"/>
  <c r="D86" i="181"/>
  <c r="D147" i="108"/>
  <c r="D127" i="181"/>
  <c r="C110" i="181"/>
  <c r="F7" i="112"/>
  <c r="H7" i="112" s="1"/>
  <c r="F6" i="1"/>
  <c r="H6" i="1" s="1"/>
  <c r="F107" i="112"/>
  <c r="H107" i="112" s="1"/>
  <c r="F96" i="1"/>
  <c r="H96" i="1" s="1"/>
  <c r="C73" i="181"/>
  <c r="F77" i="112"/>
  <c r="F135" i="112"/>
  <c r="H135" i="112" s="1"/>
  <c r="F144" i="1"/>
  <c r="C53" i="181"/>
  <c r="D87" i="140"/>
  <c r="F126" i="108"/>
  <c r="H126" i="108" s="1"/>
  <c r="F84" i="111"/>
  <c r="C22" i="181"/>
  <c r="F126" i="111"/>
  <c r="H126" i="111" s="1"/>
  <c r="F108" i="112"/>
  <c r="H108" i="112" s="1"/>
  <c r="D85" i="108"/>
  <c r="D148" i="108" s="1"/>
  <c r="D85" i="1"/>
  <c r="D61" i="112"/>
  <c r="D85" i="112" s="1"/>
  <c r="D86" i="112" s="1"/>
  <c r="C137" i="181"/>
  <c r="E63" i="181"/>
  <c r="C36" i="181"/>
  <c r="E86" i="181"/>
  <c r="C86" i="181" s="1"/>
  <c r="C64" i="181"/>
  <c r="C80" i="181"/>
  <c r="C15" i="181"/>
  <c r="C47" i="181"/>
  <c r="C68" i="181"/>
  <c r="D147" i="181"/>
  <c r="F127" i="181"/>
  <c r="E147" i="181"/>
  <c r="C132" i="181"/>
  <c r="D85" i="111"/>
  <c r="E107" i="112"/>
  <c r="C29" i="181"/>
  <c r="C58" i="181"/>
  <c r="C76" i="181"/>
  <c r="D147" i="111"/>
  <c r="F147" i="181"/>
  <c r="C124" i="181"/>
  <c r="D124" i="1"/>
  <c r="D145" i="1" s="1"/>
  <c r="D146" i="1" s="1"/>
  <c r="E6" i="1"/>
  <c r="D149" i="140"/>
  <c r="C94" i="181"/>
  <c r="E94" i="181"/>
  <c r="E127" i="181" s="1"/>
  <c r="E54" i="180"/>
  <c r="E53" i="180" s="1"/>
  <c r="D54" i="180"/>
  <c r="D53" i="180" s="1"/>
  <c r="C54" i="180"/>
  <c r="C53" i="180" s="1"/>
  <c r="B54" i="180"/>
  <c r="B53" i="180" s="1"/>
  <c r="D47" i="180"/>
  <c r="D46" i="180" s="1"/>
  <c r="C47" i="180"/>
  <c r="C46" i="180" s="1"/>
  <c r="B47" i="180"/>
  <c r="B46" i="180" s="1"/>
  <c r="E40" i="180"/>
  <c r="D40" i="180"/>
  <c r="C40" i="180"/>
  <c r="B40" i="180"/>
  <c r="E34" i="180"/>
  <c r="D34" i="180"/>
  <c r="C34" i="180"/>
  <c r="B34" i="180"/>
  <c r="E24" i="180"/>
  <c r="E23" i="180" s="1"/>
  <c r="D24" i="180"/>
  <c r="D23" i="180" s="1"/>
  <c r="C24" i="180"/>
  <c r="C23" i="180" s="1"/>
  <c r="B24" i="180"/>
  <c r="B23" i="180" s="1"/>
  <c r="E17" i="180"/>
  <c r="E16" i="180" s="1"/>
  <c r="D17" i="180"/>
  <c r="C17" i="180"/>
  <c r="C16" i="180" s="1"/>
  <c r="B17" i="180"/>
  <c r="B16" i="180" s="1"/>
  <c r="D16" i="180"/>
  <c r="E10" i="180"/>
  <c r="D10" i="180"/>
  <c r="C10" i="180"/>
  <c r="B10" i="180"/>
  <c r="E4" i="180"/>
  <c r="D4" i="180"/>
  <c r="C4" i="180"/>
  <c r="B4" i="180"/>
  <c r="H77" i="108" l="1"/>
  <c r="G74" i="108"/>
  <c r="G77" i="112"/>
  <c r="G74" i="112" s="1"/>
  <c r="G84" i="112" s="1"/>
  <c r="G85" i="112" s="1"/>
  <c r="G86" i="112" s="1"/>
  <c r="H144" i="1"/>
  <c r="G145" i="112"/>
  <c r="H84" i="111"/>
  <c r="G85" i="111"/>
  <c r="G125" i="112"/>
  <c r="G145" i="1"/>
  <c r="D148" i="181"/>
  <c r="D150" i="139"/>
  <c r="E33" i="180"/>
  <c r="D87" i="181"/>
  <c r="B3" i="180"/>
  <c r="F97" i="112"/>
  <c r="H97" i="112" s="1"/>
  <c r="F91" i="1"/>
  <c r="H91" i="1" s="1"/>
  <c r="F145" i="112"/>
  <c r="H145" i="112" s="1"/>
  <c r="D3" i="180"/>
  <c r="D29" i="180" s="1"/>
  <c r="F74" i="112"/>
  <c r="H74" i="112" s="1"/>
  <c r="E3" i="180"/>
  <c r="F61" i="1"/>
  <c r="H61" i="1" s="1"/>
  <c r="C147" i="181"/>
  <c r="F147" i="108"/>
  <c r="H147" i="108" s="1"/>
  <c r="F147" i="111"/>
  <c r="H147" i="111" s="1"/>
  <c r="F85" i="111"/>
  <c r="C33" i="180"/>
  <c r="C61" i="180" s="1"/>
  <c r="D33" i="180"/>
  <c r="D61" i="180" s="1"/>
  <c r="C127" i="181"/>
  <c r="F6" i="112"/>
  <c r="H6" i="112" s="1"/>
  <c r="D148" i="111"/>
  <c r="C3" i="180"/>
  <c r="C29" i="180" s="1"/>
  <c r="B33" i="180"/>
  <c r="B61" i="180" s="1"/>
  <c r="E87" i="181"/>
  <c r="E148" i="181"/>
  <c r="F148" i="181"/>
  <c r="D150" i="140"/>
  <c r="E29" i="180"/>
  <c r="E61" i="180"/>
  <c r="B29" i="180"/>
  <c r="I144" i="1" l="1"/>
  <c r="G146" i="112"/>
  <c r="G147" i="112" s="1"/>
  <c r="G149" i="112" s="1"/>
  <c r="G148" i="111"/>
  <c r="H85" i="111"/>
  <c r="H74" i="108"/>
  <c r="G84" i="108"/>
  <c r="H77" i="112"/>
  <c r="C148" i="181"/>
  <c r="F148" i="111"/>
  <c r="F85" i="1"/>
  <c r="H85" i="1" s="1"/>
  <c r="F84" i="112"/>
  <c r="H84" i="112" s="1"/>
  <c r="F124" i="1"/>
  <c r="H124" i="1" s="1"/>
  <c r="F61" i="112"/>
  <c r="H61" i="112" s="1"/>
  <c r="F92" i="112"/>
  <c r="H92" i="112" s="1"/>
  <c r="G61" i="180"/>
  <c r="N40" i="177"/>
  <c r="M40" i="177"/>
  <c r="L40" i="177"/>
  <c r="K40" i="177"/>
  <c r="J40" i="177"/>
  <c r="I40" i="177"/>
  <c r="H40" i="177"/>
  <c r="G40" i="177"/>
  <c r="F40" i="177"/>
  <c r="E40" i="177"/>
  <c r="D40" i="177"/>
  <c r="B39" i="177"/>
  <c r="C40" i="177"/>
  <c r="B36" i="177"/>
  <c r="B34" i="177"/>
  <c r="B33" i="177"/>
  <c r="N32" i="177"/>
  <c r="L32" i="177"/>
  <c r="K32" i="177"/>
  <c r="J32" i="177"/>
  <c r="I32" i="177"/>
  <c r="H32" i="177"/>
  <c r="G32" i="177"/>
  <c r="F32" i="177"/>
  <c r="E32" i="177"/>
  <c r="D32" i="177"/>
  <c r="C32" i="177"/>
  <c r="B31" i="177"/>
  <c r="B30" i="177"/>
  <c r="F29" i="177"/>
  <c r="B29" i="177" s="1"/>
  <c r="N28" i="177"/>
  <c r="M28" i="177"/>
  <c r="L28" i="177"/>
  <c r="K28" i="177"/>
  <c r="J28" i="177"/>
  <c r="I28" i="177"/>
  <c r="H28" i="177"/>
  <c r="G28" i="177"/>
  <c r="E28" i="177"/>
  <c r="D28" i="177"/>
  <c r="C28" i="177"/>
  <c r="H27" i="177"/>
  <c r="B27" i="177" s="1"/>
  <c r="B26" i="177"/>
  <c r="G25" i="177"/>
  <c r="B25" i="177" s="1"/>
  <c r="B24" i="177"/>
  <c r="B23" i="177"/>
  <c r="M22" i="177"/>
  <c r="L22" i="177"/>
  <c r="K22" i="177"/>
  <c r="J22" i="177"/>
  <c r="I22" i="177"/>
  <c r="F22" i="177"/>
  <c r="E22" i="177"/>
  <c r="D22" i="177"/>
  <c r="C22" i="177"/>
  <c r="N18" i="177"/>
  <c r="M18" i="177"/>
  <c r="L18" i="177"/>
  <c r="K18" i="177"/>
  <c r="J18" i="177"/>
  <c r="I18" i="177"/>
  <c r="H18" i="177"/>
  <c r="G18" i="177"/>
  <c r="F18" i="177"/>
  <c r="E18" i="177"/>
  <c r="D18" i="177"/>
  <c r="C18" i="177"/>
  <c r="B17" i="177"/>
  <c r="B15" i="177"/>
  <c r="B14" i="177"/>
  <c r="B13" i="177"/>
  <c r="B12" i="177"/>
  <c r="N11" i="177"/>
  <c r="M11" i="177"/>
  <c r="L11" i="177"/>
  <c r="I11" i="177"/>
  <c r="H11" i="177"/>
  <c r="E11" i="177"/>
  <c r="D11" i="177"/>
  <c r="C11" i="177"/>
  <c r="B10" i="177"/>
  <c r="B9" i="177"/>
  <c r="B8" i="177"/>
  <c r="B7" i="177"/>
  <c r="B6" i="177"/>
  <c r="K4" i="177"/>
  <c r="K11" i="177" s="1"/>
  <c r="G4" i="177"/>
  <c r="F11" i="177"/>
  <c r="B8" i="176"/>
  <c r="H22" i="177" l="1"/>
  <c r="M35" i="177"/>
  <c r="M41" i="177" s="1"/>
  <c r="H84" i="108"/>
  <c r="G85" i="108"/>
  <c r="K19" i="177"/>
  <c r="B28" i="177"/>
  <c r="M19" i="177"/>
  <c r="B18" i="177"/>
  <c r="F85" i="112"/>
  <c r="H85" i="112" s="1"/>
  <c r="I19" i="177"/>
  <c r="L35" i="177"/>
  <c r="L41" i="177" s="1"/>
  <c r="E35" i="177"/>
  <c r="E41" i="177" s="1"/>
  <c r="F145" i="1"/>
  <c r="F125" i="112"/>
  <c r="H125" i="112" s="1"/>
  <c r="L19" i="177"/>
  <c r="H35" i="177"/>
  <c r="H41" i="177" s="1"/>
  <c r="I35" i="177"/>
  <c r="I41" i="177" s="1"/>
  <c r="B4" i="177"/>
  <c r="B11" i="177" s="1"/>
  <c r="N19" i="177"/>
  <c r="C35" i="177"/>
  <c r="C41" i="177" s="1"/>
  <c r="K35" i="177"/>
  <c r="K41" i="177" s="1"/>
  <c r="D35" i="177"/>
  <c r="D41" i="177" s="1"/>
  <c r="N35" i="177"/>
  <c r="N41" i="177" s="1"/>
  <c r="B32" i="177"/>
  <c r="J35" i="177"/>
  <c r="J41" i="177" s="1"/>
  <c r="B22" i="177"/>
  <c r="E19" i="177"/>
  <c r="C19" i="177"/>
  <c r="J19" i="177"/>
  <c r="H19" i="177"/>
  <c r="D19" i="177"/>
  <c r="F19" i="177"/>
  <c r="G11" i="177"/>
  <c r="G19" i="177" s="1"/>
  <c r="F28" i="177"/>
  <c r="F35" i="177" s="1"/>
  <c r="F41" i="177" s="1"/>
  <c r="G22" i="177"/>
  <c r="G35" i="177" s="1"/>
  <c r="G41" i="177" s="1"/>
  <c r="B38" i="177"/>
  <c r="B40" i="177" s="1"/>
  <c r="H85" i="108" l="1"/>
  <c r="G148" i="108"/>
  <c r="B19" i="177"/>
  <c r="F146" i="1"/>
  <c r="H145" i="1"/>
  <c r="B35" i="177"/>
  <c r="B41" i="177" s="1"/>
  <c r="F86" i="112"/>
  <c r="H86" i="112" s="1"/>
  <c r="F146" i="112"/>
  <c r="H146" i="112" s="1"/>
  <c r="J10" i="174"/>
  <c r="C99" i="173"/>
  <c r="G97" i="173"/>
  <c r="C79" i="170"/>
  <c r="C76" i="170" s="1"/>
  <c r="G147" i="170"/>
  <c r="C146" i="170"/>
  <c r="C145" i="170"/>
  <c r="C144" i="170"/>
  <c r="C143" i="170"/>
  <c r="H142" i="170"/>
  <c r="F142" i="170"/>
  <c r="E142" i="170"/>
  <c r="D142" i="170"/>
  <c r="C141" i="170"/>
  <c r="C140" i="170"/>
  <c r="C139" i="170"/>
  <c r="C138" i="170"/>
  <c r="H137" i="170"/>
  <c r="F137" i="170"/>
  <c r="E137" i="170"/>
  <c r="D137" i="170"/>
  <c r="C136" i="170"/>
  <c r="C135" i="170"/>
  <c r="C134" i="170"/>
  <c r="C133" i="170"/>
  <c r="H132" i="170"/>
  <c r="F132" i="170"/>
  <c r="E132" i="170"/>
  <c r="D132" i="170"/>
  <c r="C131" i="170"/>
  <c r="C130" i="170"/>
  <c r="C129" i="170"/>
  <c r="H128" i="170"/>
  <c r="F128" i="170"/>
  <c r="E128" i="170"/>
  <c r="D128" i="170"/>
  <c r="G127" i="170"/>
  <c r="C126" i="170"/>
  <c r="C125" i="170"/>
  <c r="H124" i="170"/>
  <c r="F124" i="170"/>
  <c r="E124" i="170"/>
  <c r="D124" i="170"/>
  <c r="C123" i="170"/>
  <c r="C122" i="170"/>
  <c r="C121" i="170"/>
  <c r="C120" i="170"/>
  <c r="C119" i="170"/>
  <c r="C118" i="170"/>
  <c r="C117" i="170"/>
  <c r="C116" i="170"/>
  <c r="C115" i="170"/>
  <c r="C114" i="170"/>
  <c r="C113" i="170"/>
  <c r="C112" i="170"/>
  <c r="C111" i="170"/>
  <c r="H110" i="170"/>
  <c r="F110" i="170"/>
  <c r="E110" i="170"/>
  <c r="D110" i="170"/>
  <c r="C109" i="170"/>
  <c r="C108" i="170"/>
  <c r="C107" i="170"/>
  <c r="C106" i="170"/>
  <c r="C105" i="170"/>
  <c r="C104" i="170"/>
  <c r="C103" i="170"/>
  <c r="C102" i="170"/>
  <c r="C101" i="170"/>
  <c r="C100" i="170"/>
  <c r="C99" i="170"/>
  <c r="C98" i="170"/>
  <c r="C97" i="170"/>
  <c r="E96" i="170"/>
  <c r="C96" i="170"/>
  <c r="C95" i="170"/>
  <c r="H94" i="170"/>
  <c r="F94" i="170"/>
  <c r="D94" i="170"/>
  <c r="H80" i="170"/>
  <c r="F80" i="170"/>
  <c r="E80" i="170"/>
  <c r="D80" i="170"/>
  <c r="C80" i="170"/>
  <c r="F76" i="170"/>
  <c r="E76" i="170"/>
  <c r="D76" i="170"/>
  <c r="C74" i="170"/>
  <c r="H73" i="170"/>
  <c r="C73" i="170" s="1"/>
  <c r="C68" i="170"/>
  <c r="C64" i="170"/>
  <c r="F58" i="170"/>
  <c r="E58" i="170"/>
  <c r="D58" i="170"/>
  <c r="C58" i="170"/>
  <c r="F53" i="170"/>
  <c r="E53" i="170"/>
  <c r="D53" i="170"/>
  <c r="C53" i="170"/>
  <c r="F47" i="170"/>
  <c r="E47" i="170"/>
  <c r="D47" i="170"/>
  <c r="C47" i="170"/>
  <c r="C46" i="170"/>
  <c r="C45" i="170"/>
  <c r="C44" i="170"/>
  <c r="C43" i="170"/>
  <c r="C42" i="170"/>
  <c r="C41" i="170"/>
  <c r="C40" i="170"/>
  <c r="C39" i="170"/>
  <c r="C38" i="170"/>
  <c r="H36" i="170"/>
  <c r="F36" i="170"/>
  <c r="E36" i="170"/>
  <c r="D36" i="170"/>
  <c r="C30" i="170"/>
  <c r="C29" i="170" s="1"/>
  <c r="H29" i="170"/>
  <c r="F29" i="170"/>
  <c r="E29" i="170"/>
  <c r="D29" i="170"/>
  <c r="H22" i="170"/>
  <c r="F22" i="170"/>
  <c r="E22" i="170"/>
  <c r="D22" i="170"/>
  <c r="C22" i="170"/>
  <c r="H15" i="170"/>
  <c r="G15" i="170"/>
  <c r="F15" i="170"/>
  <c r="E15" i="170"/>
  <c r="D15" i="170"/>
  <c r="H8" i="170"/>
  <c r="F8" i="170"/>
  <c r="E8" i="170"/>
  <c r="D8" i="170"/>
  <c r="C8" i="170"/>
  <c r="F147" i="112" l="1"/>
  <c r="H147" i="112" s="1"/>
  <c r="H63" i="170"/>
  <c r="G148" i="170"/>
  <c r="E147" i="170"/>
  <c r="C137" i="170"/>
  <c r="D86" i="170"/>
  <c r="C110" i="170"/>
  <c r="C124" i="170"/>
  <c r="E86" i="170"/>
  <c r="F147" i="170"/>
  <c r="D63" i="170"/>
  <c r="C15" i="170"/>
  <c r="C63" i="170" s="1"/>
  <c r="F86" i="170"/>
  <c r="F127" i="170"/>
  <c r="C132" i="170"/>
  <c r="H147" i="170"/>
  <c r="E63" i="170"/>
  <c r="E87" i="170" s="1"/>
  <c r="E94" i="170"/>
  <c r="E127" i="170" s="1"/>
  <c r="D127" i="170"/>
  <c r="C128" i="170"/>
  <c r="D147" i="170"/>
  <c r="F63" i="170"/>
  <c r="F87" i="170" s="1"/>
  <c r="C94" i="170"/>
  <c r="H127" i="170"/>
  <c r="C36" i="170"/>
  <c r="C86" i="170"/>
  <c r="H76" i="170"/>
  <c r="H86" i="170" s="1"/>
  <c r="H87" i="170" s="1"/>
  <c r="C142" i="170"/>
  <c r="E148" i="170" l="1"/>
  <c r="H148" i="170"/>
  <c r="C127" i="170"/>
  <c r="D148" i="170"/>
  <c r="D87" i="170"/>
  <c r="F148" i="170"/>
  <c r="C147" i="170"/>
  <c r="C148" i="170" s="1"/>
  <c r="C87" i="170"/>
  <c r="C73" i="169" l="1"/>
  <c r="C72" i="169" s="1"/>
  <c r="E13" i="1" l="1"/>
  <c r="D7" i="169" l="1"/>
  <c r="D21" i="169"/>
  <c r="D29" i="169"/>
  <c r="D28" i="169" s="1"/>
  <c r="D35" i="169"/>
  <c r="D46" i="169"/>
  <c r="D52" i="169"/>
  <c r="D57" i="169"/>
  <c r="D85" i="169"/>
  <c r="L67" i="174"/>
  <c r="J67" i="174"/>
  <c r="C67" i="174"/>
  <c r="L58" i="174"/>
  <c r="J58" i="174"/>
  <c r="E58" i="174"/>
  <c r="C58" i="174"/>
  <c r="L48" i="174"/>
  <c r="J48" i="174"/>
  <c r="E44" i="174"/>
  <c r="E48" i="174" s="1"/>
  <c r="C44" i="174"/>
  <c r="C36" i="174"/>
  <c r="L34" i="174"/>
  <c r="J34" i="174"/>
  <c r="E26" i="174"/>
  <c r="E24" i="174" s="1"/>
  <c r="C26" i="174"/>
  <c r="C24" i="174" s="1"/>
  <c r="C34" i="174" s="1"/>
  <c r="E16" i="174"/>
  <c r="C16" i="174"/>
  <c r="E10" i="174"/>
  <c r="E8" i="174" s="1"/>
  <c r="C10" i="174"/>
  <c r="C8" i="174" s="1"/>
  <c r="J142" i="173"/>
  <c r="H142" i="173"/>
  <c r="G142" i="173"/>
  <c r="F142" i="173"/>
  <c r="E142" i="173"/>
  <c r="D142" i="173"/>
  <c r="C142" i="173"/>
  <c r="J137" i="173"/>
  <c r="H137" i="173"/>
  <c r="G137" i="173"/>
  <c r="F137" i="173"/>
  <c r="E137" i="173"/>
  <c r="D137" i="173"/>
  <c r="C137" i="173"/>
  <c r="J132" i="173"/>
  <c r="H132" i="173"/>
  <c r="G132" i="173"/>
  <c r="F132" i="173"/>
  <c r="E132" i="173"/>
  <c r="D132" i="173"/>
  <c r="C132" i="173"/>
  <c r="J128" i="173"/>
  <c r="H128" i="173"/>
  <c r="G128" i="173"/>
  <c r="F128" i="173"/>
  <c r="E128" i="173"/>
  <c r="D128" i="173"/>
  <c r="C128" i="173"/>
  <c r="C126" i="173"/>
  <c r="C124" i="173" s="1"/>
  <c r="J124" i="173"/>
  <c r="H124" i="173"/>
  <c r="G124" i="173"/>
  <c r="F124" i="173"/>
  <c r="E124" i="173"/>
  <c r="D124" i="173"/>
  <c r="C111" i="173"/>
  <c r="C110" i="173" s="1"/>
  <c r="J110" i="173"/>
  <c r="H110" i="173"/>
  <c r="G110" i="173"/>
  <c r="F110" i="173"/>
  <c r="E110" i="173"/>
  <c r="D110" i="173"/>
  <c r="C97" i="173"/>
  <c r="C96" i="173"/>
  <c r="G95" i="173"/>
  <c r="G94" i="173" s="1"/>
  <c r="D95" i="173"/>
  <c r="J94" i="173"/>
  <c r="I94" i="173"/>
  <c r="H94" i="173"/>
  <c r="F94" i="173"/>
  <c r="E94" i="173"/>
  <c r="J80" i="173"/>
  <c r="H80" i="173"/>
  <c r="G80" i="173"/>
  <c r="F80" i="173"/>
  <c r="E80" i="173"/>
  <c r="D80" i="173"/>
  <c r="C80" i="173"/>
  <c r="C79" i="173"/>
  <c r="C76" i="173" s="1"/>
  <c r="J76" i="173"/>
  <c r="J86" i="173" s="1"/>
  <c r="H76" i="173"/>
  <c r="H86" i="173" s="1"/>
  <c r="G76" i="173"/>
  <c r="G86" i="173" s="1"/>
  <c r="F76" i="173"/>
  <c r="F86" i="173" s="1"/>
  <c r="E76" i="173"/>
  <c r="D76" i="173"/>
  <c r="D86" i="173" s="1"/>
  <c r="C74" i="173"/>
  <c r="C73" i="173" s="1"/>
  <c r="C68" i="173"/>
  <c r="C64" i="173"/>
  <c r="C58" i="173"/>
  <c r="C56" i="173"/>
  <c r="C53" i="173" s="1"/>
  <c r="C47" i="173"/>
  <c r="J36" i="173"/>
  <c r="H36" i="173"/>
  <c r="G36" i="173"/>
  <c r="F36" i="173"/>
  <c r="E36" i="173"/>
  <c r="D36" i="173"/>
  <c r="C30" i="173"/>
  <c r="C29" i="173" s="1"/>
  <c r="J29" i="173"/>
  <c r="H29" i="173"/>
  <c r="G29" i="173"/>
  <c r="F29" i="173"/>
  <c r="E29" i="173"/>
  <c r="D29" i="173"/>
  <c r="J22" i="173"/>
  <c r="H22" i="173"/>
  <c r="G22" i="173"/>
  <c r="F22" i="173"/>
  <c r="E22" i="173"/>
  <c r="D22" i="173"/>
  <c r="C22" i="173"/>
  <c r="C20" i="173"/>
  <c r="C15" i="173" s="1"/>
  <c r="J15" i="173"/>
  <c r="H15" i="173"/>
  <c r="G15" i="173"/>
  <c r="F15" i="173"/>
  <c r="E15" i="173"/>
  <c r="D15" i="173"/>
  <c r="J8" i="173"/>
  <c r="H8" i="173"/>
  <c r="G8" i="173"/>
  <c r="F8" i="173"/>
  <c r="E8" i="173"/>
  <c r="D8" i="173"/>
  <c r="C8" i="173"/>
  <c r="G147" i="172"/>
  <c r="F147" i="172"/>
  <c r="E147" i="172"/>
  <c r="D147" i="172"/>
  <c r="C146" i="172"/>
  <c r="C145" i="172"/>
  <c r="C144" i="172"/>
  <c r="C143" i="172"/>
  <c r="C142" i="172"/>
  <c r="C141" i="172"/>
  <c r="C140" i="172"/>
  <c r="C139" i="172"/>
  <c r="C138" i="172"/>
  <c r="C137" i="172"/>
  <c r="C136" i="172"/>
  <c r="C135" i="172"/>
  <c r="C134" i="172"/>
  <c r="C133" i="172"/>
  <c r="C132" i="172"/>
  <c r="C131" i="172"/>
  <c r="C130" i="172"/>
  <c r="C129" i="172"/>
  <c r="C128" i="172"/>
  <c r="C126" i="172"/>
  <c r="C125" i="172"/>
  <c r="C124" i="172"/>
  <c r="C123" i="172"/>
  <c r="C122" i="172"/>
  <c r="C121" i="172"/>
  <c r="C120" i="172"/>
  <c r="C119" i="172"/>
  <c r="C118" i="172"/>
  <c r="C117" i="172"/>
  <c r="C116" i="172"/>
  <c r="C115" i="172"/>
  <c r="C114" i="172"/>
  <c r="C113" i="172"/>
  <c r="C112" i="172"/>
  <c r="C111" i="172"/>
  <c r="G110" i="172"/>
  <c r="F110" i="172"/>
  <c r="E110" i="172"/>
  <c r="D110" i="172"/>
  <c r="C109" i="172"/>
  <c r="C108" i="172"/>
  <c r="C107" i="172"/>
  <c r="C106" i="172"/>
  <c r="C105" i="172"/>
  <c r="C104" i="172"/>
  <c r="C103" i="172"/>
  <c r="C102" i="172"/>
  <c r="C101" i="172"/>
  <c r="C100" i="172"/>
  <c r="C99" i="172"/>
  <c r="C98" i="172"/>
  <c r="E97" i="172"/>
  <c r="C97" i="172" s="1"/>
  <c r="E96" i="172"/>
  <c r="C96" i="172" s="1"/>
  <c r="E95" i="172"/>
  <c r="C95" i="172" s="1"/>
  <c r="G94" i="172"/>
  <c r="F94" i="172"/>
  <c r="D94" i="172"/>
  <c r="G80" i="172"/>
  <c r="F80" i="172"/>
  <c r="E80" i="172"/>
  <c r="D80" i="172"/>
  <c r="C80" i="172"/>
  <c r="C79" i="172"/>
  <c r="C76" i="172" s="1"/>
  <c r="G76" i="172"/>
  <c r="F76" i="172"/>
  <c r="E76" i="172"/>
  <c r="D76" i="172"/>
  <c r="C74" i="172"/>
  <c r="C73" i="172" s="1"/>
  <c r="G73" i="172"/>
  <c r="F73" i="172"/>
  <c r="E73" i="172"/>
  <c r="D73" i="172"/>
  <c r="G68" i="172"/>
  <c r="F68" i="172"/>
  <c r="E68" i="172"/>
  <c r="D68" i="172"/>
  <c r="C68" i="172"/>
  <c r="G64" i="172"/>
  <c r="F64" i="172"/>
  <c r="E64" i="172"/>
  <c r="D64" i="172"/>
  <c r="C64" i="172"/>
  <c r="G58" i="172"/>
  <c r="F58" i="172"/>
  <c r="E58" i="172"/>
  <c r="D58" i="172"/>
  <c r="C58" i="172"/>
  <c r="G53" i="172"/>
  <c r="F53" i="172"/>
  <c r="E53" i="172"/>
  <c r="D53" i="172"/>
  <c r="C53" i="172"/>
  <c r="G47" i="172"/>
  <c r="F47" i="172"/>
  <c r="E47" i="172"/>
  <c r="D47" i="172"/>
  <c r="C47" i="172"/>
  <c r="C46" i="172"/>
  <c r="C45" i="172"/>
  <c r="C44" i="172"/>
  <c r="C43" i="172"/>
  <c r="D42" i="172"/>
  <c r="D36" i="172" s="1"/>
  <c r="C41" i="172"/>
  <c r="C40" i="172"/>
  <c r="C39" i="172"/>
  <c r="C38" i="172"/>
  <c r="C37" i="172"/>
  <c r="G36" i="172"/>
  <c r="F36" i="172"/>
  <c r="E36" i="172"/>
  <c r="C30" i="172"/>
  <c r="C29" i="172" s="1"/>
  <c r="G29" i="172"/>
  <c r="F29" i="172"/>
  <c r="E29" i="172"/>
  <c r="D29" i="172"/>
  <c r="G22" i="172"/>
  <c r="F22" i="172"/>
  <c r="E22" i="172"/>
  <c r="D22" i="172"/>
  <c r="C22" i="172"/>
  <c r="G15" i="172"/>
  <c r="F15" i="172"/>
  <c r="E15" i="172"/>
  <c r="D15" i="172"/>
  <c r="C15" i="172"/>
  <c r="G8" i="172"/>
  <c r="F8" i="172"/>
  <c r="E8" i="172"/>
  <c r="D8" i="172"/>
  <c r="C8" i="172"/>
  <c r="I142" i="171"/>
  <c r="H142" i="171"/>
  <c r="G142" i="171"/>
  <c r="F142" i="171"/>
  <c r="E142" i="171"/>
  <c r="D142" i="171"/>
  <c r="C142" i="171"/>
  <c r="I137" i="171"/>
  <c r="H137" i="171"/>
  <c r="G137" i="171"/>
  <c r="F137" i="171"/>
  <c r="E137" i="171"/>
  <c r="D137" i="171"/>
  <c r="C137" i="171"/>
  <c r="I132" i="171"/>
  <c r="H132" i="171"/>
  <c r="G132" i="171"/>
  <c r="F132" i="171"/>
  <c r="E132" i="171"/>
  <c r="D132" i="171"/>
  <c r="C132" i="171"/>
  <c r="I128" i="171"/>
  <c r="H128" i="171"/>
  <c r="G128" i="171"/>
  <c r="F128" i="171"/>
  <c r="E128" i="171"/>
  <c r="D128" i="171"/>
  <c r="C128" i="171"/>
  <c r="I124" i="171"/>
  <c r="H124" i="171"/>
  <c r="G124" i="171"/>
  <c r="F124" i="171"/>
  <c r="E124" i="171"/>
  <c r="D124" i="171"/>
  <c r="C124" i="171"/>
  <c r="C111" i="171"/>
  <c r="C110" i="171" s="1"/>
  <c r="I110" i="171"/>
  <c r="H110" i="171"/>
  <c r="G110" i="171"/>
  <c r="F110" i="171"/>
  <c r="E110" i="171"/>
  <c r="D110" i="171"/>
  <c r="C97" i="171"/>
  <c r="F96" i="171"/>
  <c r="E96" i="171"/>
  <c r="F95" i="171"/>
  <c r="I94" i="171"/>
  <c r="H94" i="171"/>
  <c r="H127" i="171" s="1"/>
  <c r="G94" i="171"/>
  <c r="G127" i="171" s="1"/>
  <c r="D94" i="171"/>
  <c r="I80" i="171"/>
  <c r="H80" i="171"/>
  <c r="G80" i="171"/>
  <c r="F80" i="171"/>
  <c r="E80" i="171"/>
  <c r="D80" i="171"/>
  <c r="C80" i="171"/>
  <c r="C79" i="171"/>
  <c r="C76" i="171" s="1"/>
  <c r="I76" i="171"/>
  <c r="H76" i="171"/>
  <c r="G76" i="171"/>
  <c r="F76" i="171"/>
  <c r="E76" i="171"/>
  <c r="D76" i="171"/>
  <c r="I73" i="171"/>
  <c r="H73" i="171"/>
  <c r="G73" i="171"/>
  <c r="F73" i="171"/>
  <c r="E73" i="171"/>
  <c r="D73" i="171"/>
  <c r="I68" i="171"/>
  <c r="H68" i="171"/>
  <c r="G68" i="171"/>
  <c r="F68" i="171"/>
  <c r="E68" i="171"/>
  <c r="D68" i="171"/>
  <c r="C68" i="171"/>
  <c r="C64" i="171"/>
  <c r="C58" i="171"/>
  <c r="C53" i="171"/>
  <c r="C47" i="171"/>
  <c r="C46" i="171"/>
  <c r="C45" i="171"/>
  <c r="C44" i="171"/>
  <c r="C43" i="171"/>
  <c r="C42" i="171"/>
  <c r="C41" i="171"/>
  <c r="C40" i="171"/>
  <c r="C39" i="171"/>
  <c r="C38" i="171"/>
  <c r="I36" i="171"/>
  <c r="I63" i="171" s="1"/>
  <c r="H36" i="171"/>
  <c r="H63" i="171" s="1"/>
  <c r="G36" i="171"/>
  <c r="G63" i="171" s="1"/>
  <c r="F36" i="171"/>
  <c r="F63" i="171" s="1"/>
  <c r="E36" i="171"/>
  <c r="E63" i="171" s="1"/>
  <c r="D36" i="171"/>
  <c r="D63" i="171" s="1"/>
  <c r="C30" i="171"/>
  <c r="C29" i="171" s="1"/>
  <c r="C22" i="171"/>
  <c r="C15" i="171"/>
  <c r="C8" i="171"/>
  <c r="C144" i="169"/>
  <c r="C143" i="169"/>
  <c r="C142" i="169"/>
  <c r="C141" i="169"/>
  <c r="C140" i="169"/>
  <c r="C139" i="169"/>
  <c r="C138" i="169"/>
  <c r="C137" i="169"/>
  <c r="C136" i="169"/>
  <c r="AI135" i="169"/>
  <c r="AH135" i="169"/>
  <c r="AG135" i="169"/>
  <c r="AF135" i="169"/>
  <c r="AE135" i="169"/>
  <c r="AD135" i="169"/>
  <c r="AC135" i="169"/>
  <c r="AB135" i="169"/>
  <c r="AA135" i="169"/>
  <c r="Z135" i="169"/>
  <c r="Y135" i="169"/>
  <c r="X135" i="169"/>
  <c r="V135" i="169"/>
  <c r="U135" i="169"/>
  <c r="T135" i="169"/>
  <c r="S135" i="169"/>
  <c r="R135" i="169"/>
  <c r="Q135" i="169"/>
  <c r="O135" i="169"/>
  <c r="N135" i="169"/>
  <c r="M135" i="169"/>
  <c r="K135" i="169"/>
  <c r="J135" i="169"/>
  <c r="I135" i="169"/>
  <c r="H135" i="169"/>
  <c r="G135" i="169"/>
  <c r="F135" i="169"/>
  <c r="E135" i="169"/>
  <c r="D135" i="169"/>
  <c r="C134" i="169"/>
  <c r="C133" i="169"/>
  <c r="C132" i="169"/>
  <c r="C131" i="169"/>
  <c r="C130" i="169"/>
  <c r="C129" i="169"/>
  <c r="C128" i="169"/>
  <c r="C127" i="169"/>
  <c r="AI126" i="169"/>
  <c r="AH126" i="169"/>
  <c r="AG126" i="169"/>
  <c r="AF126" i="169"/>
  <c r="AE126" i="169"/>
  <c r="AE145" i="169" s="1"/>
  <c r="AD126" i="169"/>
  <c r="AD145" i="169" s="1"/>
  <c r="AC126" i="169"/>
  <c r="AB126" i="169"/>
  <c r="AA126" i="169"/>
  <c r="Z126" i="169"/>
  <c r="Y126" i="169"/>
  <c r="Y145" i="169" s="1"/>
  <c r="X126" i="169"/>
  <c r="V126" i="169"/>
  <c r="V145" i="169" s="1"/>
  <c r="U126" i="169"/>
  <c r="U145" i="169" s="1"/>
  <c r="T126" i="169"/>
  <c r="S126" i="169"/>
  <c r="R126" i="169"/>
  <c r="Q126" i="169"/>
  <c r="O126" i="169"/>
  <c r="O145" i="169" s="1"/>
  <c r="N126" i="169"/>
  <c r="M126" i="169"/>
  <c r="M145" i="169" s="1"/>
  <c r="K126" i="169"/>
  <c r="K145" i="169" s="1"/>
  <c r="J126" i="169"/>
  <c r="I126" i="169"/>
  <c r="H126" i="169"/>
  <c r="G126" i="169"/>
  <c r="F126" i="169"/>
  <c r="F145" i="169" s="1"/>
  <c r="E126" i="169"/>
  <c r="D126" i="169"/>
  <c r="D145" i="169" s="1"/>
  <c r="C124" i="169"/>
  <c r="C123" i="169"/>
  <c r="AI122" i="169"/>
  <c r="AH122" i="169"/>
  <c r="AG122" i="169"/>
  <c r="AF122" i="169"/>
  <c r="AE122" i="169"/>
  <c r="AD122" i="169"/>
  <c r="AC122" i="169"/>
  <c r="AB122" i="169"/>
  <c r="AA122" i="169"/>
  <c r="Z122" i="169"/>
  <c r="Y122" i="169"/>
  <c r="X122" i="169"/>
  <c r="V122" i="169"/>
  <c r="U122" i="169"/>
  <c r="T122" i="169"/>
  <c r="S122" i="169"/>
  <c r="R122" i="169"/>
  <c r="Q122" i="169"/>
  <c r="O122" i="169"/>
  <c r="N122" i="169"/>
  <c r="M122" i="169"/>
  <c r="K122" i="169"/>
  <c r="J122" i="169"/>
  <c r="I122" i="169"/>
  <c r="H122" i="169"/>
  <c r="G122" i="169"/>
  <c r="F122" i="169"/>
  <c r="E122" i="169"/>
  <c r="D122" i="169"/>
  <c r="C121" i="169"/>
  <c r="C120" i="169"/>
  <c r="C119" i="169"/>
  <c r="C118" i="169"/>
  <c r="C117" i="169"/>
  <c r="C116" i="169"/>
  <c r="C115" i="169"/>
  <c r="C114" i="169"/>
  <c r="C113" i="169"/>
  <c r="C112" i="169"/>
  <c r="C111" i="169"/>
  <c r="C108" i="169" s="1"/>
  <c r="C110" i="169"/>
  <c r="AI108" i="169"/>
  <c r="AH108" i="169"/>
  <c r="AG108" i="169"/>
  <c r="AF108" i="169"/>
  <c r="AE108" i="169"/>
  <c r="AD108" i="169"/>
  <c r="AC108" i="169"/>
  <c r="AB108" i="169"/>
  <c r="AA108" i="169"/>
  <c r="Z108" i="169"/>
  <c r="Y108" i="169"/>
  <c r="X108" i="169"/>
  <c r="V108" i="169"/>
  <c r="U108" i="169"/>
  <c r="T108" i="169"/>
  <c r="S108" i="169"/>
  <c r="R108" i="169"/>
  <c r="Q108" i="169"/>
  <c r="O108" i="169"/>
  <c r="N108" i="169"/>
  <c r="M108" i="169"/>
  <c r="K108" i="169"/>
  <c r="J108" i="169"/>
  <c r="I108" i="169"/>
  <c r="H108" i="169"/>
  <c r="G108" i="169"/>
  <c r="F108" i="169"/>
  <c r="E108" i="169"/>
  <c r="D108" i="169"/>
  <c r="C107" i="169"/>
  <c r="C106" i="169"/>
  <c r="C105" i="169"/>
  <c r="C104" i="169"/>
  <c r="C103" i="169"/>
  <c r="C101" i="169"/>
  <c r="C100" i="169"/>
  <c r="C99" i="169"/>
  <c r="C98" i="169"/>
  <c r="AI97" i="169"/>
  <c r="AG97" i="169"/>
  <c r="AF97" i="169"/>
  <c r="AD97" i="169"/>
  <c r="AC97" i="169"/>
  <c r="AB97" i="169"/>
  <c r="AA97" i="169"/>
  <c r="Z97" i="169"/>
  <c r="Y97" i="169"/>
  <c r="X97" i="169"/>
  <c r="V97" i="169"/>
  <c r="S97" i="169"/>
  <c r="Q97" i="169"/>
  <c r="O97" i="169"/>
  <c r="N97" i="169"/>
  <c r="K97" i="169"/>
  <c r="I97" i="169"/>
  <c r="H97" i="169"/>
  <c r="G97" i="169"/>
  <c r="G92" i="169" s="1"/>
  <c r="F97" i="169"/>
  <c r="D97" i="169"/>
  <c r="C96" i="169"/>
  <c r="I95" i="169"/>
  <c r="C95" i="169" s="1"/>
  <c r="AI94" i="169"/>
  <c r="AH94" i="169"/>
  <c r="AH92" i="169" s="1"/>
  <c r="AG94" i="169"/>
  <c r="AF94" i="169"/>
  <c r="AE94" i="169"/>
  <c r="AE92" i="169" s="1"/>
  <c r="AD94" i="169"/>
  <c r="AC94" i="169"/>
  <c r="AB94" i="169"/>
  <c r="AA94" i="169"/>
  <c r="Z94" i="169"/>
  <c r="Y94" i="169"/>
  <c r="X94" i="169"/>
  <c r="V94" i="169"/>
  <c r="U94" i="169"/>
  <c r="U92" i="169" s="1"/>
  <c r="T94" i="169"/>
  <c r="T92" i="169" s="1"/>
  <c r="S94" i="169"/>
  <c r="R94" i="169"/>
  <c r="R92" i="169" s="1"/>
  <c r="Q94" i="169"/>
  <c r="O94" i="169"/>
  <c r="N94" i="169"/>
  <c r="M94" i="169"/>
  <c r="M92" i="169" s="1"/>
  <c r="K94" i="169"/>
  <c r="J94" i="169"/>
  <c r="J92" i="169" s="1"/>
  <c r="H94" i="169"/>
  <c r="F94" i="169"/>
  <c r="E94" i="169"/>
  <c r="E92" i="169" s="1"/>
  <c r="D94" i="169"/>
  <c r="C93" i="169"/>
  <c r="AG92" i="169"/>
  <c r="AI85" i="169"/>
  <c r="AG85" i="169"/>
  <c r="AF85" i="169"/>
  <c r="AE85" i="169"/>
  <c r="AD85" i="169"/>
  <c r="AC85" i="169"/>
  <c r="AB85" i="169"/>
  <c r="AA85" i="169"/>
  <c r="Z85" i="169"/>
  <c r="Y85" i="169"/>
  <c r="X85" i="169"/>
  <c r="V85" i="169"/>
  <c r="U85" i="169"/>
  <c r="T85" i="169"/>
  <c r="S85" i="169"/>
  <c r="R85" i="169"/>
  <c r="Q85" i="169"/>
  <c r="O85" i="169"/>
  <c r="N85" i="169"/>
  <c r="M85" i="169"/>
  <c r="K85" i="169"/>
  <c r="J85" i="169"/>
  <c r="I85" i="169"/>
  <c r="H85" i="169"/>
  <c r="G85" i="169"/>
  <c r="F85" i="169"/>
  <c r="E85" i="169"/>
  <c r="AH75" i="169"/>
  <c r="C75" i="169" s="1"/>
  <c r="C85" i="169" s="1"/>
  <c r="AI57" i="169"/>
  <c r="AH57" i="169"/>
  <c r="AG57" i="169"/>
  <c r="AF57" i="169"/>
  <c r="AE57" i="169"/>
  <c r="AD57" i="169"/>
  <c r="AC57" i="169"/>
  <c r="AB57" i="169"/>
  <c r="AA57" i="169"/>
  <c r="Z57" i="169"/>
  <c r="Y57" i="169"/>
  <c r="X57" i="169"/>
  <c r="V57" i="169"/>
  <c r="U57" i="169"/>
  <c r="T57" i="169"/>
  <c r="S57" i="169"/>
  <c r="R57" i="169"/>
  <c r="Q57" i="169"/>
  <c r="O57" i="169"/>
  <c r="N57" i="169"/>
  <c r="M57" i="169"/>
  <c r="K57" i="169"/>
  <c r="J57" i="169"/>
  <c r="I57" i="169"/>
  <c r="H57" i="169"/>
  <c r="G57" i="169"/>
  <c r="F57" i="169"/>
  <c r="E57" i="169"/>
  <c r="AI52" i="169"/>
  <c r="AH52" i="169"/>
  <c r="AG52" i="169"/>
  <c r="AF52" i="169"/>
  <c r="AE52" i="169"/>
  <c r="AD52" i="169"/>
  <c r="AC52" i="169"/>
  <c r="AB52" i="169"/>
  <c r="AA52" i="169"/>
  <c r="Z52" i="169"/>
  <c r="Y52" i="169"/>
  <c r="X52" i="169"/>
  <c r="V52" i="169"/>
  <c r="U52" i="169"/>
  <c r="T52" i="169"/>
  <c r="S52" i="169"/>
  <c r="R52" i="169"/>
  <c r="Q52" i="169"/>
  <c r="O52" i="169"/>
  <c r="N52" i="169"/>
  <c r="M52" i="169"/>
  <c r="K52" i="169"/>
  <c r="J52" i="169"/>
  <c r="I52" i="169"/>
  <c r="H52" i="169"/>
  <c r="G52" i="169"/>
  <c r="E52" i="169"/>
  <c r="AI46" i="169"/>
  <c r="AH46" i="169"/>
  <c r="AG46" i="169"/>
  <c r="AF46" i="169"/>
  <c r="AE46" i="169"/>
  <c r="AD46" i="169"/>
  <c r="AC46" i="169"/>
  <c r="AB46" i="169"/>
  <c r="AA46" i="169"/>
  <c r="Z46" i="169"/>
  <c r="Y46" i="169"/>
  <c r="X46" i="169"/>
  <c r="V46" i="169"/>
  <c r="U46" i="169"/>
  <c r="T46" i="169"/>
  <c r="S46" i="169"/>
  <c r="R46" i="169"/>
  <c r="Q46" i="169"/>
  <c r="O46" i="169"/>
  <c r="N46" i="169"/>
  <c r="M46" i="169"/>
  <c r="K46" i="169"/>
  <c r="J46" i="169"/>
  <c r="I46" i="169"/>
  <c r="H46" i="169"/>
  <c r="G46" i="169"/>
  <c r="F46" i="169"/>
  <c r="E46" i="169"/>
  <c r="AI35" i="169"/>
  <c r="AH35" i="169"/>
  <c r="AG35" i="169"/>
  <c r="AF35" i="169"/>
  <c r="AE35" i="169"/>
  <c r="AD35" i="169"/>
  <c r="AC35" i="169"/>
  <c r="AB35" i="169"/>
  <c r="AA35" i="169"/>
  <c r="Z35" i="169"/>
  <c r="Y35" i="169"/>
  <c r="X35" i="169"/>
  <c r="V35" i="169"/>
  <c r="U35" i="169"/>
  <c r="T35" i="169"/>
  <c r="S35" i="169"/>
  <c r="R35" i="169"/>
  <c r="Q35" i="169"/>
  <c r="O35" i="169"/>
  <c r="N35" i="169"/>
  <c r="M35" i="169"/>
  <c r="K35" i="169"/>
  <c r="J35" i="169"/>
  <c r="I35" i="169"/>
  <c r="H35" i="169"/>
  <c r="G35" i="169"/>
  <c r="F35" i="169"/>
  <c r="E35" i="169"/>
  <c r="AI29" i="169"/>
  <c r="AI28" i="169" s="1"/>
  <c r="AH29" i="169"/>
  <c r="AH28" i="169" s="1"/>
  <c r="AG29" i="169"/>
  <c r="AG28" i="169" s="1"/>
  <c r="AF29" i="169"/>
  <c r="AF28" i="169" s="1"/>
  <c r="AE29" i="169"/>
  <c r="AE28" i="169" s="1"/>
  <c r="AD29" i="169"/>
  <c r="AD28" i="169" s="1"/>
  <c r="AC29" i="169"/>
  <c r="AC28" i="169" s="1"/>
  <c r="AB29" i="169"/>
  <c r="AB28" i="169" s="1"/>
  <c r="AA29" i="169"/>
  <c r="AA28" i="169" s="1"/>
  <c r="Z29" i="169"/>
  <c r="Z28" i="169" s="1"/>
  <c r="Y29" i="169"/>
  <c r="Y28" i="169" s="1"/>
  <c r="X29" i="169"/>
  <c r="X28" i="169" s="1"/>
  <c r="V29" i="169"/>
  <c r="U29" i="169"/>
  <c r="U28" i="169" s="1"/>
  <c r="T29" i="169"/>
  <c r="T28" i="169" s="1"/>
  <c r="S29" i="169"/>
  <c r="S28" i="169" s="1"/>
  <c r="R29" i="169"/>
  <c r="R28" i="169" s="1"/>
  <c r="Q29" i="169"/>
  <c r="Q28" i="169" s="1"/>
  <c r="O29" i="169"/>
  <c r="O28" i="169" s="1"/>
  <c r="N29" i="169"/>
  <c r="N28" i="169" s="1"/>
  <c r="M29" i="169"/>
  <c r="M28" i="169" s="1"/>
  <c r="K29" i="169"/>
  <c r="K28" i="169" s="1"/>
  <c r="J29" i="169"/>
  <c r="J28" i="169" s="1"/>
  <c r="I29" i="169"/>
  <c r="I28" i="169" s="1"/>
  <c r="H29" i="169"/>
  <c r="H28" i="169" s="1"/>
  <c r="G29" i="169"/>
  <c r="G28" i="169" s="1"/>
  <c r="F29" i="169"/>
  <c r="F28" i="169" s="1"/>
  <c r="E29" i="169"/>
  <c r="V28" i="169"/>
  <c r="AI21" i="169"/>
  <c r="AH21" i="169"/>
  <c r="AG21" i="169"/>
  <c r="AF21" i="169"/>
  <c r="AE21" i="169"/>
  <c r="AD21" i="169"/>
  <c r="AC21" i="169"/>
  <c r="AB21" i="169"/>
  <c r="AA21" i="169"/>
  <c r="Z21" i="169"/>
  <c r="Y21" i="169"/>
  <c r="X21" i="169"/>
  <c r="V21" i="169"/>
  <c r="U21" i="169"/>
  <c r="T21" i="169"/>
  <c r="S21" i="169"/>
  <c r="R21" i="169"/>
  <c r="Q21" i="169"/>
  <c r="O21" i="169"/>
  <c r="N21" i="169"/>
  <c r="M21" i="169"/>
  <c r="K21" i="169"/>
  <c r="J21" i="169"/>
  <c r="I21" i="169"/>
  <c r="H21" i="169"/>
  <c r="G21" i="169"/>
  <c r="F21" i="169"/>
  <c r="E21" i="169"/>
  <c r="AI7" i="169"/>
  <c r="AH7" i="169"/>
  <c r="AG7" i="169"/>
  <c r="AF7" i="169"/>
  <c r="AE7" i="169"/>
  <c r="AD7" i="169"/>
  <c r="AC7" i="169"/>
  <c r="AB7" i="169"/>
  <c r="AA7" i="169"/>
  <c r="Z7" i="169"/>
  <c r="Y7" i="169"/>
  <c r="X7" i="169"/>
  <c r="V7" i="169"/>
  <c r="U7" i="169"/>
  <c r="T7" i="169"/>
  <c r="S7" i="169"/>
  <c r="R7" i="169"/>
  <c r="Q7" i="169"/>
  <c r="O7" i="169"/>
  <c r="N7" i="169"/>
  <c r="M7" i="169"/>
  <c r="K7" i="169"/>
  <c r="J7" i="169"/>
  <c r="I7" i="169"/>
  <c r="H7" i="169"/>
  <c r="G7" i="169"/>
  <c r="F7" i="169"/>
  <c r="E7" i="169"/>
  <c r="AG125" i="169" l="1"/>
  <c r="X92" i="169"/>
  <c r="I127" i="171"/>
  <c r="C95" i="173"/>
  <c r="C48" i="174"/>
  <c r="F63" i="173"/>
  <c r="C42" i="172"/>
  <c r="AG145" i="169"/>
  <c r="C73" i="171"/>
  <c r="E34" i="174"/>
  <c r="G145" i="169"/>
  <c r="Q145" i="169"/>
  <c r="Z145" i="169"/>
  <c r="AH145" i="169"/>
  <c r="E86" i="171"/>
  <c r="E87" i="171" s="1"/>
  <c r="G127" i="172"/>
  <c r="G148" i="172" s="1"/>
  <c r="E86" i="173"/>
  <c r="S145" i="169"/>
  <c r="AB145" i="169"/>
  <c r="F147" i="173"/>
  <c r="C57" i="169"/>
  <c r="G63" i="173"/>
  <c r="G87" i="173" s="1"/>
  <c r="M125" i="169"/>
  <c r="M146" i="169" s="1"/>
  <c r="H145" i="169"/>
  <c r="R145" i="169"/>
  <c r="AA145" i="169"/>
  <c r="AI145" i="169"/>
  <c r="H147" i="171"/>
  <c r="H148" i="171" s="1"/>
  <c r="C110" i="172"/>
  <c r="H63" i="173"/>
  <c r="H87" i="173" s="1"/>
  <c r="C36" i="173"/>
  <c r="C63" i="173" s="1"/>
  <c r="L68" i="174"/>
  <c r="C46" i="169"/>
  <c r="O92" i="169"/>
  <c r="O125" i="169" s="1"/>
  <c r="E94" i="172"/>
  <c r="E127" i="172" s="1"/>
  <c r="E148" i="172" s="1"/>
  <c r="C35" i="169"/>
  <c r="E125" i="169"/>
  <c r="J145" i="169"/>
  <c r="T145" i="169"/>
  <c r="AC145" i="169"/>
  <c r="E145" i="169"/>
  <c r="N145" i="169"/>
  <c r="AF145" i="169"/>
  <c r="E86" i="172"/>
  <c r="D63" i="173"/>
  <c r="D87" i="173" s="1"/>
  <c r="G63" i="172"/>
  <c r="F86" i="172"/>
  <c r="D94" i="173"/>
  <c r="D127" i="173" s="1"/>
  <c r="C21" i="169"/>
  <c r="C7" i="169"/>
  <c r="I86" i="171"/>
  <c r="D147" i="171"/>
  <c r="F127" i="172"/>
  <c r="F148" i="172" s="1"/>
  <c r="E28" i="169"/>
  <c r="C28" i="169" s="1"/>
  <c r="C29" i="169"/>
  <c r="F87" i="173"/>
  <c r="C86" i="173"/>
  <c r="E127" i="173"/>
  <c r="J127" i="173"/>
  <c r="C147" i="173"/>
  <c r="G147" i="173"/>
  <c r="F127" i="173"/>
  <c r="D147" i="173"/>
  <c r="H147" i="173"/>
  <c r="E63" i="173"/>
  <c r="E87" i="173" s="1"/>
  <c r="J63" i="173"/>
  <c r="J87" i="173" s="1"/>
  <c r="H127" i="173"/>
  <c r="G127" i="173"/>
  <c r="E147" i="173"/>
  <c r="J147" i="173"/>
  <c r="J68" i="174"/>
  <c r="C94" i="173"/>
  <c r="C127" i="173" s="1"/>
  <c r="D63" i="172"/>
  <c r="C36" i="172"/>
  <c r="C63" i="172" s="1"/>
  <c r="E63" i="172"/>
  <c r="D127" i="172"/>
  <c r="C127" i="172" s="1"/>
  <c r="C94" i="172"/>
  <c r="C147" i="172"/>
  <c r="F63" i="172"/>
  <c r="D86" i="172"/>
  <c r="C86" i="172"/>
  <c r="G86" i="172"/>
  <c r="D86" i="171"/>
  <c r="D87" i="171" s="1"/>
  <c r="H86" i="171"/>
  <c r="H87" i="171" s="1"/>
  <c r="C96" i="171"/>
  <c r="E147" i="171"/>
  <c r="I147" i="171"/>
  <c r="I148" i="171" s="1"/>
  <c r="E94" i="171"/>
  <c r="E127" i="171" s="1"/>
  <c r="F147" i="171"/>
  <c r="I87" i="171"/>
  <c r="C36" i="171"/>
  <c r="C63" i="171" s="1"/>
  <c r="F86" i="171"/>
  <c r="F87" i="171" s="1"/>
  <c r="G86" i="171"/>
  <c r="G87" i="171" s="1"/>
  <c r="F94" i="171"/>
  <c r="F127" i="171" s="1"/>
  <c r="C147" i="171"/>
  <c r="G147" i="171"/>
  <c r="G148" i="171" s="1"/>
  <c r="D127" i="171"/>
  <c r="X125" i="169"/>
  <c r="C94" i="169"/>
  <c r="J125" i="169"/>
  <c r="T125" i="169"/>
  <c r="Y92" i="169"/>
  <c r="Y125" i="169" s="1"/>
  <c r="Y146" i="169" s="1"/>
  <c r="AC92" i="169"/>
  <c r="AC125" i="169" s="1"/>
  <c r="AC146" i="169" s="1"/>
  <c r="AE125" i="169"/>
  <c r="AE146" i="169" s="1"/>
  <c r="I145" i="169"/>
  <c r="X145" i="169"/>
  <c r="X146" i="169" s="1"/>
  <c r="Q92" i="169"/>
  <c r="Q125" i="169" s="1"/>
  <c r="Q146" i="169" s="1"/>
  <c r="H62" i="169"/>
  <c r="H86" i="169" s="1"/>
  <c r="M62" i="169"/>
  <c r="M86" i="169" s="1"/>
  <c r="R62" i="169"/>
  <c r="R86" i="169" s="1"/>
  <c r="V62" i="169"/>
  <c r="V86" i="169" s="1"/>
  <c r="AA62" i="169"/>
  <c r="AA86" i="169" s="1"/>
  <c r="AI62" i="169"/>
  <c r="AI86" i="169" s="1"/>
  <c r="F92" i="169"/>
  <c r="F125" i="169" s="1"/>
  <c r="F146" i="169" s="1"/>
  <c r="AB92" i="169"/>
  <c r="AB125" i="169" s="1"/>
  <c r="AB146" i="169" s="1"/>
  <c r="AF92" i="169"/>
  <c r="AF125" i="169" s="1"/>
  <c r="AF146" i="169" s="1"/>
  <c r="C122" i="169"/>
  <c r="AE62" i="169"/>
  <c r="AE86" i="169" s="1"/>
  <c r="AG146" i="169"/>
  <c r="D62" i="169"/>
  <c r="D86" i="169" s="1"/>
  <c r="J62" i="169"/>
  <c r="J86" i="169" s="1"/>
  <c r="AC62" i="169"/>
  <c r="AC86" i="169" s="1"/>
  <c r="Q62" i="169"/>
  <c r="Q86" i="169" s="1"/>
  <c r="AH62" i="169"/>
  <c r="K92" i="169"/>
  <c r="K125" i="169" s="1"/>
  <c r="K146" i="169" s="1"/>
  <c r="Z92" i="169"/>
  <c r="Z125" i="169" s="1"/>
  <c r="Z146" i="169" s="1"/>
  <c r="AD92" i="169"/>
  <c r="AD125" i="169" s="1"/>
  <c r="AD146" i="169" s="1"/>
  <c r="C126" i="169"/>
  <c r="O62" i="169"/>
  <c r="O86" i="169" s="1"/>
  <c r="AG62" i="169"/>
  <c r="AG86" i="169" s="1"/>
  <c r="G62" i="169"/>
  <c r="G86" i="169" s="1"/>
  <c r="K62" i="169"/>
  <c r="K86" i="169" s="1"/>
  <c r="U62" i="169"/>
  <c r="U86" i="169" s="1"/>
  <c r="Z62" i="169"/>
  <c r="Z86" i="169" s="1"/>
  <c r="AD62" i="169"/>
  <c r="AD86" i="169" s="1"/>
  <c r="AH85" i="169"/>
  <c r="I92" i="169"/>
  <c r="I125" i="169" s="1"/>
  <c r="I146" i="169" s="1"/>
  <c r="R125" i="169"/>
  <c r="R146" i="169" s="1"/>
  <c r="AI92" i="169"/>
  <c r="AI125" i="169" s="1"/>
  <c r="AI146" i="169" s="1"/>
  <c r="C97" i="169"/>
  <c r="H92" i="169"/>
  <c r="H125" i="169" s="1"/>
  <c r="N92" i="169"/>
  <c r="N125" i="169" s="1"/>
  <c r="N146" i="169" s="1"/>
  <c r="S92" i="169"/>
  <c r="S125" i="169" s="1"/>
  <c r="S146" i="169" s="1"/>
  <c r="C86" i="171"/>
  <c r="T62" i="169"/>
  <c r="T86" i="169" s="1"/>
  <c r="F62" i="169"/>
  <c r="F86" i="169" s="1"/>
  <c r="Y62" i="169"/>
  <c r="Y86" i="169" s="1"/>
  <c r="I62" i="169"/>
  <c r="I86" i="169" s="1"/>
  <c r="N62" i="169"/>
  <c r="N86" i="169" s="1"/>
  <c r="S62" i="169"/>
  <c r="S86" i="169" s="1"/>
  <c r="X62" i="169"/>
  <c r="X86" i="169" s="1"/>
  <c r="AB62" i="169"/>
  <c r="AB86" i="169" s="1"/>
  <c r="AF62" i="169"/>
  <c r="AF86" i="169" s="1"/>
  <c r="D92" i="169"/>
  <c r="D125" i="169" s="1"/>
  <c r="D146" i="169" s="1"/>
  <c r="AH125" i="169"/>
  <c r="AH146" i="169" s="1"/>
  <c r="O146" i="169"/>
  <c r="U125" i="169"/>
  <c r="U146" i="169" s="1"/>
  <c r="V92" i="169"/>
  <c r="V125" i="169" s="1"/>
  <c r="V146" i="169" s="1"/>
  <c r="AA92" i="169"/>
  <c r="AA125" i="169" s="1"/>
  <c r="AA146" i="169" s="1"/>
  <c r="G125" i="169"/>
  <c r="G146" i="169" s="1"/>
  <c r="C135" i="169"/>
  <c r="E6" i="112"/>
  <c r="E87" i="172" l="1"/>
  <c r="D148" i="172"/>
  <c r="C148" i="172" s="1"/>
  <c r="D148" i="171"/>
  <c r="F148" i="173"/>
  <c r="H146" i="169"/>
  <c r="E148" i="171"/>
  <c r="D148" i="173"/>
  <c r="C87" i="173"/>
  <c r="C145" i="169"/>
  <c r="E146" i="169"/>
  <c r="C62" i="169"/>
  <c r="C86" i="169" s="1"/>
  <c r="T146" i="169"/>
  <c r="G148" i="173"/>
  <c r="J148" i="173"/>
  <c r="G87" i="172"/>
  <c r="D87" i="172"/>
  <c r="J146" i="169"/>
  <c r="F148" i="171"/>
  <c r="E148" i="173"/>
  <c r="C148" i="173"/>
  <c r="F87" i="172"/>
  <c r="E62" i="169"/>
  <c r="E86" i="169" s="1"/>
  <c r="H148" i="173"/>
  <c r="C87" i="172"/>
  <c r="C95" i="171"/>
  <c r="C94" i="171" s="1"/>
  <c r="C127" i="171" s="1"/>
  <c r="C148" i="171" s="1"/>
  <c r="C87" i="171"/>
  <c r="C92" i="169"/>
  <c r="AH86" i="169"/>
  <c r="C68" i="174"/>
  <c r="E98" i="139" l="1"/>
  <c r="E95" i="112" l="1"/>
  <c r="G24" i="160"/>
  <c r="F22" i="160"/>
  <c r="E22" i="160"/>
  <c r="D22" i="160"/>
  <c r="F20" i="160"/>
  <c r="E20" i="160"/>
  <c r="D20" i="160"/>
  <c r="C20" i="160"/>
  <c r="G19" i="160"/>
  <c r="G18" i="160"/>
  <c r="G20" i="160" s="1"/>
  <c r="F17" i="160"/>
  <c r="E17" i="160"/>
  <c r="D17" i="160"/>
  <c r="C17" i="160"/>
  <c r="G16" i="160"/>
  <c r="G15" i="160"/>
  <c r="F14" i="160"/>
  <c r="E14" i="160"/>
  <c r="D14" i="160"/>
  <c r="C14" i="160"/>
  <c r="G13" i="160"/>
  <c r="G12" i="160"/>
  <c r="G11" i="160"/>
  <c r="G14" i="160" s="1"/>
  <c r="F10" i="160"/>
  <c r="E10" i="160"/>
  <c r="D10" i="160"/>
  <c r="C10" i="160"/>
  <c r="G9" i="160"/>
  <c r="G8" i="160"/>
  <c r="G7" i="160"/>
  <c r="F6" i="160"/>
  <c r="E6" i="160"/>
  <c r="D6" i="160"/>
  <c r="C6" i="160"/>
  <c r="G5" i="160"/>
  <c r="G4" i="160"/>
  <c r="G3" i="160"/>
  <c r="G10" i="160" l="1"/>
  <c r="G6" i="160"/>
  <c r="G22" i="160"/>
  <c r="D23" i="160"/>
  <c r="G17" i="160"/>
  <c r="F23" i="160"/>
  <c r="C21" i="160"/>
  <c r="E21" i="160"/>
  <c r="E23" i="160"/>
  <c r="D21" i="160"/>
  <c r="C23" i="160"/>
  <c r="F21" i="160"/>
  <c r="E32" i="166"/>
  <c r="J31" i="166"/>
  <c r="J34" i="166" s="1"/>
  <c r="C31" i="166"/>
  <c r="C4" i="166"/>
  <c r="G21" i="160" l="1"/>
  <c r="G23" i="160"/>
  <c r="C34" i="166"/>
  <c r="D32" i="166"/>
  <c r="D31" i="166" s="1"/>
  <c r="D34" i="166" s="1"/>
  <c r="E4" i="166"/>
  <c r="E34" i="166" s="1"/>
  <c r="L31" i="166"/>
  <c r="L34" i="166" s="1"/>
  <c r="I36" i="159"/>
  <c r="C33" i="159"/>
  <c r="C26" i="159"/>
  <c r="E7" i="159"/>
  <c r="E4" i="159" s="1"/>
  <c r="C7" i="159"/>
  <c r="C4" i="159" s="1"/>
  <c r="L4" i="159"/>
  <c r="L36" i="159" s="1"/>
  <c r="K4" i="159"/>
  <c r="K36" i="159" s="1"/>
  <c r="J4" i="159"/>
  <c r="J36" i="159" s="1"/>
  <c r="H36" i="159"/>
  <c r="E36" i="159" l="1"/>
  <c r="C36" i="159"/>
  <c r="E110" i="1"/>
  <c r="E96" i="1"/>
  <c r="C96" i="1"/>
  <c r="E95" i="1"/>
  <c r="E72" i="1"/>
  <c r="E96" i="112" l="1"/>
  <c r="E111" i="112"/>
  <c r="E112" i="1"/>
  <c r="E113" i="112" l="1"/>
  <c r="E134" i="1"/>
  <c r="E107" i="1"/>
  <c r="E91" i="1"/>
  <c r="E98" i="111"/>
  <c r="E100" i="139"/>
  <c r="E95" i="139" s="1"/>
  <c r="E100" i="140"/>
  <c r="C77" i="112"/>
  <c r="E75" i="112"/>
  <c r="C75" i="112"/>
  <c r="E72" i="112"/>
  <c r="C72" i="112"/>
  <c r="E40" i="112"/>
  <c r="E38" i="112"/>
  <c r="E37" i="112"/>
  <c r="E36" i="112"/>
  <c r="E51" i="112"/>
  <c r="C40" i="112"/>
  <c r="C39" i="112"/>
  <c r="C38" i="112"/>
  <c r="C37" i="112"/>
  <c r="C36" i="112"/>
  <c r="C35" i="112"/>
  <c r="C10" i="112"/>
  <c r="C9" i="112"/>
  <c r="C8" i="112"/>
  <c r="C7" i="112"/>
  <c r="C83" i="112"/>
  <c r="C82" i="112"/>
  <c r="C81" i="112"/>
  <c r="C80" i="112"/>
  <c r="C79" i="112"/>
  <c r="C76" i="112"/>
  <c r="C73" i="112"/>
  <c r="C70" i="112"/>
  <c r="C69" i="112"/>
  <c r="C68" i="112"/>
  <c r="C67" i="112"/>
  <c r="C65" i="112"/>
  <c r="C64" i="112"/>
  <c r="C63" i="112"/>
  <c r="C56" i="112"/>
  <c r="C55" i="112"/>
  <c r="C54" i="112"/>
  <c r="C52" i="112"/>
  <c r="C50" i="112"/>
  <c r="C49" i="112"/>
  <c r="C48" i="112"/>
  <c r="C46" i="112"/>
  <c r="C20" i="112"/>
  <c r="C13" i="112"/>
  <c r="E95" i="140" l="1"/>
  <c r="E97" i="112"/>
  <c r="E93" i="111"/>
  <c r="C51" i="112"/>
  <c r="C78" i="112"/>
  <c r="C62" i="112"/>
  <c r="C71" i="112"/>
  <c r="C66" i="112"/>
  <c r="C45" i="112"/>
  <c r="C74" i="112"/>
  <c r="C34" i="112"/>
  <c r="C6" i="112"/>
  <c r="E92" i="112" l="1"/>
  <c r="C84" i="112"/>
  <c r="E79" i="139" l="1"/>
  <c r="E77" i="112" l="1"/>
  <c r="E28" i="1"/>
  <c r="C28" i="1"/>
  <c r="C28" i="112" s="1"/>
  <c r="C27" i="112" s="1"/>
  <c r="C61" i="112" s="1"/>
  <c r="C85" i="112" s="1"/>
  <c r="C86" i="112" s="1"/>
  <c r="C111" i="139"/>
  <c r="E28" i="112" l="1"/>
  <c r="E127" i="140"/>
  <c r="E124" i="112" l="1"/>
  <c r="E111" i="140"/>
  <c r="E125" i="140"/>
  <c r="E129" i="140"/>
  <c r="E133" i="140"/>
  <c r="E138" i="140"/>
  <c r="E143" i="140"/>
  <c r="E8" i="140"/>
  <c r="E15" i="140"/>
  <c r="E22" i="140"/>
  <c r="E30" i="140"/>
  <c r="E36" i="140"/>
  <c r="E47" i="140"/>
  <c r="E53" i="140"/>
  <c r="E58" i="140"/>
  <c r="E64" i="140"/>
  <c r="E68" i="140"/>
  <c r="E73" i="140"/>
  <c r="E76" i="140"/>
  <c r="E80" i="140"/>
  <c r="E111" i="139"/>
  <c r="E125" i="139"/>
  <c r="E129" i="139"/>
  <c r="E133" i="139"/>
  <c r="E138" i="139"/>
  <c r="E143" i="139"/>
  <c r="E8" i="139"/>
  <c r="E15" i="139"/>
  <c r="E22" i="139"/>
  <c r="E30" i="139"/>
  <c r="E36" i="139"/>
  <c r="E47" i="139"/>
  <c r="E53" i="139"/>
  <c r="E58" i="139"/>
  <c r="E64" i="139"/>
  <c r="E68" i="139"/>
  <c r="E73" i="139"/>
  <c r="E76" i="139"/>
  <c r="E80" i="139"/>
  <c r="E29" i="140" l="1"/>
  <c r="E29" i="139"/>
  <c r="E86" i="139"/>
  <c r="E128" i="139"/>
  <c r="E148" i="140"/>
  <c r="E148" i="139"/>
  <c r="E128" i="140"/>
  <c r="E86" i="140"/>
  <c r="E93" i="108"/>
  <c r="E109" i="108"/>
  <c r="E123" i="108"/>
  <c r="E127" i="108"/>
  <c r="E131" i="108"/>
  <c r="E136" i="108"/>
  <c r="E141" i="108"/>
  <c r="E6" i="108"/>
  <c r="E13" i="108"/>
  <c r="E20" i="108"/>
  <c r="E28" i="108"/>
  <c r="E34" i="108"/>
  <c r="E45" i="108"/>
  <c r="E51" i="108"/>
  <c r="E56" i="108"/>
  <c r="E62" i="108"/>
  <c r="E66" i="108"/>
  <c r="E71" i="108"/>
  <c r="E74" i="108"/>
  <c r="E78" i="108"/>
  <c r="E109" i="111"/>
  <c r="E123" i="111"/>
  <c r="E127" i="111"/>
  <c r="E131" i="111"/>
  <c r="E136" i="111"/>
  <c r="E141" i="111"/>
  <c r="E6" i="111"/>
  <c r="E13" i="111"/>
  <c r="E20" i="111"/>
  <c r="E28" i="111"/>
  <c r="E34" i="111"/>
  <c r="E45" i="111"/>
  <c r="E51" i="111"/>
  <c r="E56" i="111"/>
  <c r="E62" i="111"/>
  <c r="E66" i="111"/>
  <c r="E71" i="111"/>
  <c r="E74" i="111"/>
  <c r="E78" i="111"/>
  <c r="E121" i="1"/>
  <c r="E129" i="1"/>
  <c r="E139" i="1"/>
  <c r="C112" i="1"/>
  <c r="E20" i="1"/>
  <c r="E27" i="1"/>
  <c r="E34" i="1"/>
  <c r="E45" i="1"/>
  <c r="E51" i="1"/>
  <c r="E56" i="1"/>
  <c r="E62" i="1"/>
  <c r="E66" i="1"/>
  <c r="E71" i="1"/>
  <c r="E74" i="1"/>
  <c r="E78" i="1"/>
  <c r="C62" i="1"/>
  <c r="E63" i="140" l="1"/>
  <c r="E144" i="1"/>
  <c r="E135" i="112"/>
  <c r="E130" i="112"/>
  <c r="E122" i="112"/>
  <c r="E108" i="112"/>
  <c r="E140" i="112"/>
  <c r="E63" i="139"/>
  <c r="E126" i="112"/>
  <c r="E27" i="108"/>
  <c r="E61" i="108" s="1"/>
  <c r="E27" i="111"/>
  <c r="C107" i="1"/>
  <c r="E149" i="139"/>
  <c r="E149" i="140"/>
  <c r="E87" i="140"/>
  <c r="E146" i="108"/>
  <c r="E126" i="111"/>
  <c r="E84" i="108"/>
  <c r="E84" i="1"/>
  <c r="E146" i="111"/>
  <c r="E126" i="108"/>
  <c r="E84" i="111"/>
  <c r="E61" i="1"/>
  <c r="E145" i="112" l="1"/>
  <c r="E61" i="111"/>
  <c r="E85" i="111" s="1"/>
  <c r="E87" i="139"/>
  <c r="E150" i="139" s="1"/>
  <c r="E147" i="108"/>
  <c r="E85" i="108"/>
  <c r="E124" i="1"/>
  <c r="E150" i="140"/>
  <c r="E85" i="1"/>
  <c r="E147" i="111"/>
  <c r="E125" i="112" l="1"/>
  <c r="E148" i="108"/>
  <c r="E145" i="1"/>
  <c r="E148" i="111"/>
  <c r="C144" i="112"/>
  <c r="C143" i="112"/>
  <c r="C142" i="112"/>
  <c r="C141" i="112"/>
  <c r="C139" i="112"/>
  <c r="C138" i="112"/>
  <c r="C137" i="112"/>
  <c r="C136" i="112"/>
  <c r="C134" i="112"/>
  <c r="C133" i="112"/>
  <c r="C132" i="112"/>
  <c r="C131" i="112"/>
  <c r="C129" i="112"/>
  <c r="C128" i="112"/>
  <c r="C127" i="112"/>
  <c r="C124" i="112"/>
  <c r="C123" i="112"/>
  <c r="C121" i="112"/>
  <c r="C120" i="112"/>
  <c r="C119" i="112"/>
  <c r="C118" i="112"/>
  <c r="C117" i="112"/>
  <c r="C116" i="112"/>
  <c r="C115" i="112"/>
  <c r="C114" i="112"/>
  <c r="C113" i="112"/>
  <c r="C112" i="112"/>
  <c r="C111" i="112"/>
  <c r="C110" i="112"/>
  <c r="C109" i="112"/>
  <c r="C107" i="112"/>
  <c r="C106" i="112"/>
  <c r="C105" i="112"/>
  <c r="C104" i="112"/>
  <c r="C103" i="112"/>
  <c r="C102" i="112"/>
  <c r="C101" i="112"/>
  <c r="C100" i="112"/>
  <c r="C99" i="112"/>
  <c r="C98" i="112"/>
  <c r="C96" i="112"/>
  <c r="C95" i="112"/>
  <c r="C94" i="112"/>
  <c r="C93" i="112"/>
  <c r="E146" i="112" l="1"/>
  <c r="E146" i="1"/>
  <c r="E74" i="112"/>
  <c r="E26" i="112"/>
  <c r="E25" i="112"/>
  <c r="E24" i="112"/>
  <c r="E23" i="112"/>
  <c r="E22" i="112"/>
  <c r="E21" i="112"/>
  <c r="C97" i="112"/>
  <c r="C91" i="1"/>
  <c r="C121" i="1"/>
  <c r="C71" i="1"/>
  <c r="C143" i="140"/>
  <c r="C138" i="140"/>
  <c r="C133" i="140"/>
  <c r="C129" i="140"/>
  <c r="C125" i="140"/>
  <c r="C111" i="140"/>
  <c r="C95" i="140"/>
  <c r="C80" i="140"/>
  <c r="C76" i="140"/>
  <c r="C73" i="140"/>
  <c r="C68" i="140"/>
  <c r="C64" i="140"/>
  <c r="C58" i="140"/>
  <c r="C53" i="140"/>
  <c r="C47" i="140"/>
  <c r="C36" i="140"/>
  <c r="C30" i="140"/>
  <c r="C29" i="140" s="1"/>
  <c r="C22" i="140"/>
  <c r="C15" i="140"/>
  <c r="C8" i="140"/>
  <c r="C5" i="140"/>
  <c r="C92" i="140" s="1"/>
  <c r="C143" i="139"/>
  <c r="C138" i="139"/>
  <c r="C133" i="139"/>
  <c r="C129" i="139"/>
  <c r="C125" i="139"/>
  <c r="C95" i="139"/>
  <c r="C80" i="139"/>
  <c r="C76" i="139"/>
  <c r="C73" i="139"/>
  <c r="C68" i="139"/>
  <c r="C64" i="139"/>
  <c r="C58" i="139"/>
  <c r="C53" i="139"/>
  <c r="C47" i="139"/>
  <c r="C36" i="139"/>
  <c r="C30" i="139"/>
  <c r="C22" i="139"/>
  <c r="C15" i="139"/>
  <c r="C8" i="139"/>
  <c r="C29" i="139" l="1"/>
  <c r="C63" i="139" s="1"/>
  <c r="E147" i="112"/>
  <c r="C148" i="140"/>
  <c r="C86" i="139"/>
  <c r="C124" i="1"/>
  <c r="C128" i="140"/>
  <c r="C86" i="140"/>
  <c r="C63" i="140"/>
  <c r="C148" i="139"/>
  <c r="C128" i="139"/>
  <c r="C149" i="139" s="1"/>
  <c r="E7" i="63"/>
  <c r="D7" i="63"/>
  <c r="C3" i="112"/>
  <c r="F14" i="63"/>
  <c r="G10" i="63"/>
  <c r="G13" i="63"/>
  <c r="G12" i="63"/>
  <c r="E13" i="64"/>
  <c r="E15" i="64"/>
  <c r="C11" i="106"/>
  <c r="C12" i="106"/>
  <c r="C6" i="106"/>
  <c r="C20" i="131"/>
  <c r="C16" i="131"/>
  <c r="C15" i="131"/>
  <c r="C13" i="131"/>
  <c r="C11" i="131"/>
  <c r="C10" i="131"/>
  <c r="C67" i="130"/>
  <c r="C65" i="130"/>
  <c r="C64" i="130"/>
  <c r="C62" i="130"/>
  <c r="C60" i="130"/>
  <c r="C57" i="130"/>
  <c r="C56" i="130"/>
  <c r="C35" i="130"/>
  <c r="C17" i="130"/>
  <c r="C7" i="130"/>
  <c r="E21" i="136"/>
  <c r="D21" i="136"/>
  <c r="C21" i="136"/>
  <c r="D27" i="135"/>
  <c r="D10" i="135"/>
  <c r="D18" i="135"/>
  <c r="D21" i="135"/>
  <c r="C32" i="135"/>
  <c r="C18" i="135"/>
  <c r="E23" i="135"/>
  <c r="C23" i="135"/>
  <c r="D69" i="134"/>
  <c r="C69" i="134"/>
  <c r="E69" i="134"/>
  <c r="E58" i="134"/>
  <c r="D58" i="134"/>
  <c r="C58" i="134"/>
  <c r="E50" i="134"/>
  <c r="D50" i="134"/>
  <c r="C50" i="134"/>
  <c r="E46" i="134"/>
  <c r="D46" i="134"/>
  <c r="C46" i="134"/>
  <c r="E20" i="134"/>
  <c r="E29" i="138"/>
  <c r="D29" i="138"/>
  <c r="E25" i="138"/>
  <c r="D25" i="138"/>
  <c r="E22" i="138"/>
  <c r="D22" i="138"/>
  <c r="E16" i="138"/>
  <c r="E7" i="138"/>
  <c r="D7" i="138"/>
  <c r="D16" i="138"/>
  <c r="F29" i="138"/>
  <c r="F25" i="138"/>
  <c r="F22" i="138"/>
  <c r="F16" i="138"/>
  <c r="F7" i="138"/>
  <c r="E32" i="138" l="1"/>
  <c r="D32" i="138"/>
  <c r="F32" i="138"/>
  <c r="C149" i="140"/>
  <c r="C87" i="139"/>
  <c r="C87" i="140"/>
  <c r="B26" i="137"/>
  <c r="B22" i="137"/>
  <c r="B16" i="137"/>
  <c r="B27" i="137" l="1"/>
  <c r="E40" i="135"/>
  <c r="D40" i="135"/>
  <c r="C40" i="135"/>
  <c r="E18" i="135"/>
  <c r="E32" i="135"/>
  <c r="D32" i="135"/>
  <c r="D23" i="135"/>
  <c r="C41" i="134"/>
  <c r="C51" i="134" s="1"/>
  <c r="E35" i="134"/>
  <c r="D35" i="134"/>
  <c r="C35" i="134"/>
  <c r="C16" i="134"/>
  <c r="C14" i="134"/>
  <c r="E41" i="134"/>
  <c r="E51" i="134" s="1"/>
  <c r="D41" i="134"/>
  <c r="D51" i="134" s="1"/>
  <c r="E21" i="134"/>
  <c r="D21" i="134"/>
  <c r="E16" i="134"/>
  <c r="D16" i="134"/>
  <c r="E14" i="134"/>
  <c r="D14" i="134"/>
  <c r="C22" i="134" l="1"/>
  <c r="E22" i="134"/>
  <c r="D22" i="134"/>
  <c r="G29" i="63" l="1"/>
  <c r="G28" i="63"/>
  <c r="G27" i="63"/>
  <c r="G26" i="63"/>
  <c r="G25" i="63"/>
  <c r="G24" i="63"/>
  <c r="G23" i="63"/>
  <c r="G22" i="63"/>
  <c r="G21" i="63"/>
  <c r="G20" i="63"/>
  <c r="G19" i="63"/>
  <c r="G18" i="63"/>
  <c r="G17" i="63"/>
  <c r="G16" i="63"/>
  <c r="G15" i="63"/>
  <c r="G14" i="63"/>
  <c r="G11" i="63"/>
  <c r="I10" i="73" l="1"/>
  <c r="H10" i="73"/>
  <c r="G10" i="73"/>
  <c r="I9" i="73"/>
  <c r="H9" i="73"/>
  <c r="G9" i="73"/>
  <c r="I8" i="73"/>
  <c r="H8" i="73"/>
  <c r="G8" i="73"/>
  <c r="H7" i="73"/>
  <c r="G7" i="73"/>
  <c r="I6" i="73"/>
  <c r="G6" i="73"/>
  <c r="C140" i="112"/>
  <c r="C126" i="112"/>
  <c r="E62" i="112"/>
  <c r="C89" i="112"/>
  <c r="G10" i="61"/>
  <c r="I10" i="61"/>
  <c r="H10" i="61"/>
  <c r="I8" i="61"/>
  <c r="H8" i="61"/>
  <c r="G8" i="61"/>
  <c r="I6" i="61"/>
  <c r="H6" i="61"/>
  <c r="G6" i="61"/>
  <c r="F1" i="105"/>
  <c r="D8" i="104"/>
  <c r="D14" i="104"/>
  <c r="A1" i="104"/>
  <c r="D18" i="103"/>
  <c r="D14" i="103"/>
  <c r="D9" i="103"/>
  <c r="A1" i="98"/>
  <c r="J1" i="98"/>
  <c r="I1" i="97"/>
  <c r="K1" i="96"/>
  <c r="D3" i="95"/>
  <c r="D88" i="95" s="1"/>
  <c r="M45" i="84"/>
  <c r="M46" i="84" s="1"/>
  <c r="E1" i="118"/>
  <c r="E1" i="117"/>
  <c r="E1" i="116"/>
  <c r="E134" i="115"/>
  <c r="D134" i="115"/>
  <c r="C134" i="115"/>
  <c r="E1" i="115"/>
  <c r="E134" i="114"/>
  <c r="D134" i="114"/>
  <c r="C134" i="114"/>
  <c r="E1" i="114"/>
  <c r="E1" i="113"/>
  <c r="E134" i="113"/>
  <c r="D134" i="113"/>
  <c r="C134" i="113"/>
  <c r="E134" i="3"/>
  <c r="D134" i="3"/>
  <c r="C134" i="3"/>
  <c r="N1" i="71"/>
  <c r="D8" i="64"/>
  <c r="H6" i="64"/>
  <c r="B10" i="106"/>
  <c r="B5" i="106"/>
  <c r="A2" i="105"/>
  <c r="A1" i="103"/>
  <c r="A2" i="131"/>
  <c r="C18" i="131"/>
  <c r="C14" i="131"/>
  <c r="A1" i="130"/>
  <c r="E66" i="130"/>
  <c r="D66" i="130"/>
  <c r="C66" i="130"/>
  <c r="E63" i="130"/>
  <c r="D63" i="130"/>
  <c r="C63" i="130"/>
  <c r="E59" i="130"/>
  <c r="D59" i="130"/>
  <c r="C59" i="130"/>
  <c r="E54" i="130"/>
  <c r="D54" i="130"/>
  <c r="C54" i="130"/>
  <c r="E45" i="130"/>
  <c r="D45" i="130"/>
  <c r="C45" i="130"/>
  <c r="E40" i="130"/>
  <c r="D40" i="130"/>
  <c r="C40" i="130"/>
  <c r="E35" i="130"/>
  <c r="D35" i="130"/>
  <c r="E29" i="130"/>
  <c r="D29" i="130"/>
  <c r="C29" i="130"/>
  <c r="E24" i="130"/>
  <c r="D24" i="130"/>
  <c r="C24" i="130"/>
  <c r="E19" i="130"/>
  <c r="D19" i="130"/>
  <c r="D9" i="130"/>
  <c r="D14" i="130"/>
  <c r="C19" i="130"/>
  <c r="E14" i="130"/>
  <c r="C14" i="130"/>
  <c r="E9" i="130"/>
  <c r="C9" i="130"/>
  <c r="H2" i="97"/>
  <c r="G3" i="97"/>
  <c r="F3" i="97"/>
  <c r="E2" i="97"/>
  <c r="I3" i="96"/>
  <c r="H3" i="96"/>
  <c r="G3" i="96"/>
  <c r="F3" i="96"/>
  <c r="E2" i="96"/>
  <c r="C3" i="95"/>
  <c r="C88" i="95" s="1"/>
  <c r="E91" i="95"/>
  <c r="E107" i="95"/>
  <c r="E121" i="95"/>
  <c r="E125" i="95"/>
  <c r="E129" i="95"/>
  <c r="E134" i="95"/>
  <c r="E139" i="95"/>
  <c r="D139" i="95"/>
  <c r="C139" i="95"/>
  <c r="D134" i="95"/>
  <c r="C134" i="95"/>
  <c r="C125" i="95"/>
  <c r="C129" i="95"/>
  <c r="D129" i="95"/>
  <c r="D125" i="95"/>
  <c r="D121" i="95"/>
  <c r="C121" i="95"/>
  <c r="D107" i="95"/>
  <c r="C107" i="95"/>
  <c r="D91" i="95"/>
  <c r="C91" i="95"/>
  <c r="E6" i="95"/>
  <c r="E13" i="95"/>
  <c r="E20" i="95"/>
  <c r="E27" i="95"/>
  <c r="E34" i="95"/>
  <c r="E45" i="95"/>
  <c r="E51" i="95"/>
  <c r="E56" i="95"/>
  <c r="E62" i="95"/>
  <c r="E66" i="95"/>
  <c r="E71" i="95"/>
  <c r="E74" i="95"/>
  <c r="E78" i="95"/>
  <c r="D78" i="95"/>
  <c r="C78" i="95"/>
  <c r="D74" i="95"/>
  <c r="C74" i="95"/>
  <c r="D71" i="95"/>
  <c r="C71" i="95"/>
  <c r="D66" i="95"/>
  <c r="C66" i="95"/>
  <c r="D62" i="95"/>
  <c r="C62" i="95"/>
  <c r="D56" i="95"/>
  <c r="C56" i="95"/>
  <c r="D51" i="95"/>
  <c r="C51" i="95"/>
  <c r="D45" i="95"/>
  <c r="C45" i="95"/>
  <c r="D34" i="95"/>
  <c r="C34" i="95"/>
  <c r="C28" i="95"/>
  <c r="C27" i="95" s="1"/>
  <c r="D27" i="95"/>
  <c r="D20" i="95"/>
  <c r="C20" i="95"/>
  <c r="D13" i="95"/>
  <c r="C13" i="95"/>
  <c r="D6" i="95"/>
  <c r="C6" i="95"/>
  <c r="E1" i="129"/>
  <c r="E1" i="128"/>
  <c r="E1" i="127"/>
  <c r="E1" i="126"/>
  <c r="E50" i="129"/>
  <c r="D50" i="129"/>
  <c r="C50" i="129"/>
  <c r="E44" i="129"/>
  <c r="D44" i="129"/>
  <c r="C44" i="129"/>
  <c r="E36" i="129"/>
  <c r="D36" i="129"/>
  <c r="C36" i="129"/>
  <c r="E29" i="129"/>
  <c r="D29" i="129"/>
  <c r="C29" i="129"/>
  <c r="E25" i="129"/>
  <c r="D25" i="129"/>
  <c r="C25" i="129"/>
  <c r="C8" i="129"/>
  <c r="C19" i="129"/>
  <c r="E19" i="129"/>
  <c r="D19" i="129"/>
  <c r="E8" i="129"/>
  <c r="D8" i="129"/>
  <c r="E50" i="128"/>
  <c r="D50" i="128"/>
  <c r="C50" i="128"/>
  <c r="E44" i="128"/>
  <c r="D44" i="128"/>
  <c r="C44" i="128"/>
  <c r="E36" i="128"/>
  <c r="D36" i="128"/>
  <c r="C36" i="128"/>
  <c r="E29" i="128"/>
  <c r="D29" i="128"/>
  <c r="C29" i="128"/>
  <c r="E25" i="128"/>
  <c r="E8" i="128"/>
  <c r="E19" i="128"/>
  <c r="D25" i="128"/>
  <c r="C25" i="128"/>
  <c r="D19" i="128"/>
  <c r="D8" i="128"/>
  <c r="C19" i="128"/>
  <c r="C8" i="128"/>
  <c r="E50" i="127"/>
  <c r="D50" i="127"/>
  <c r="C50" i="127"/>
  <c r="E44" i="127"/>
  <c r="D44" i="127"/>
  <c r="C44" i="127"/>
  <c r="C55" i="127" s="1"/>
  <c r="E36" i="127"/>
  <c r="D36" i="127"/>
  <c r="C36" i="127"/>
  <c r="E29" i="127"/>
  <c r="D29" i="127"/>
  <c r="C29" i="127"/>
  <c r="E25" i="127"/>
  <c r="D25" i="127"/>
  <c r="C25" i="127"/>
  <c r="C8" i="127"/>
  <c r="C19" i="127"/>
  <c r="E19" i="127"/>
  <c r="D19" i="127"/>
  <c r="E8" i="127"/>
  <c r="D8" i="127"/>
  <c r="E50" i="126"/>
  <c r="D50" i="126"/>
  <c r="C50" i="126"/>
  <c r="E44" i="126"/>
  <c r="D44" i="126"/>
  <c r="D55" i="126" s="1"/>
  <c r="C44" i="126"/>
  <c r="E36" i="126"/>
  <c r="D36" i="126"/>
  <c r="C36" i="126"/>
  <c r="E29" i="126"/>
  <c r="D29" i="126"/>
  <c r="C29" i="126"/>
  <c r="E25" i="126"/>
  <c r="E8" i="126"/>
  <c r="E19" i="126"/>
  <c r="D25" i="126"/>
  <c r="C25" i="126"/>
  <c r="D19" i="126"/>
  <c r="D8" i="126"/>
  <c r="C19" i="126"/>
  <c r="C8" i="126"/>
  <c r="E1" i="125"/>
  <c r="E1" i="124"/>
  <c r="E1" i="123"/>
  <c r="E1" i="122"/>
  <c r="E50" i="125"/>
  <c r="D50" i="125"/>
  <c r="C50" i="125"/>
  <c r="E44" i="125"/>
  <c r="D44" i="125"/>
  <c r="C44" i="125"/>
  <c r="E36" i="125"/>
  <c r="D36" i="125"/>
  <c r="C36" i="125"/>
  <c r="E29" i="125"/>
  <c r="D29" i="125"/>
  <c r="C29" i="125"/>
  <c r="E25" i="125"/>
  <c r="D25" i="125"/>
  <c r="C25" i="125"/>
  <c r="C8" i="125"/>
  <c r="C19" i="125"/>
  <c r="E19" i="125"/>
  <c r="D19" i="125"/>
  <c r="E8" i="125"/>
  <c r="D8" i="125"/>
  <c r="E50" i="124"/>
  <c r="D50" i="124"/>
  <c r="C50" i="124"/>
  <c r="E44" i="124"/>
  <c r="D44" i="124"/>
  <c r="C44" i="124"/>
  <c r="E36" i="124"/>
  <c r="D36" i="124"/>
  <c r="C36" i="124"/>
  <c r="E29" i="124"/>
  <c r="D29" i="124"/>
  <c r="C29" i="124"/>
  <c r="E25" i="124"/>
  <c r="E8" i="124"/>
  <c r="E19" i="124"/>
  <c r="D25" i="124"/>
  <c r="C25" i="124"/>
  <c r="D19" i="124"/>
  <c r="C19" i="124"/>
  <c r="D8" i="124"/>
  <c r="C8" i="124"/>
  <c r="E50" i="123"/>
  <c r="D50" i="123"/>
  <c r="C50" i="123"/>
  <c r="E44" i="123"/>
  <c r="D44" i="123"/>
  <c r="C44" i="123"/>
  <c r="C55" i="123" s="1"/>
  <c r="E36" i="123"/>
  <c r="D36" i="123"/>
  <c r="C36" i="123"/>
  <c r="E29" i="123"/>
  <c r="D29" i="123"/>
  <c r="C29" i="123"/>
  <c r="E25" i="123"/>
  <c r="D25" i="123"/>
  <c r="C25" i="123"/>
  <c r="C8" i="123"/>
  <c r="C19" i="123"/>
  <c r="E19" i="123"/>
  <c r="D19" i="123"/>
  <c r="E8" i="123"/>
  <c r="D8" i="123"/>
  <c r="E50" i="122"/>
  <c r="D50" i="122"/>
  <c r="C50" i="122"/>
  <c r="E44" i="122"/>
  <c r="D44" i="122"/>
  <c r="C44" i="122"/>
  <c r="E36" i="122"/>
  <c r="D36" i="122"/>
  <c r="C36" i="122"/>
  <c r="E29" i="122"/>
  <c r="D29" i="122"/>
  <c r="C29" i="122"/>
  <c r="E25" i="122"/>
  <c r="E8" i="122"/>
  <c r="E19" i="122"/>
  <c r="D25" i="122"/>
  <c r="C25" i="122"/>
  <c r="D19" i="122"/>
  <c r="D8" i="122"/>
  <c r="C19" i="122"/>
  <c r="C8" i="122"/>
  <c r="E1" i="121"/>
  <c r="E1" i="120"/>
  <c r="E50" i="121"/>
  <c r="D50" i="121"/>
  <c r="C50" i="121"/>
  <c r="E44" i="121"/>
  <c r="D44" i="121"/>
  <c r="C44" i="121"/>
  <c r="C55" i="121" s="1"/>
  <c r="E36" i="121"/>
  <c r="D36" i="121"/>
  <c r="C36" i="121"/>
  <c r="E29" i="121"/>
  <c r="D29" i="121"/>
  <c r="C29" i="121"/>
  <c r="E25" i="121"/>
  <c r="E8" i="121"/>
  <c r="E19" i="121"/>
  <c r="D25" i="121"/>
  <c r="C25" i="121"/>
  <c r="D19" i="121"/>
  <c r="D8" i="121"/>
  <c r="C19" i="121"/>
  <c r="C8" i="121"/>
  <c r="E50" i="120"/>
  <c r="D50" i="120"/>
  <c r="C50" i="120"/>
  <c r="E44" i="120"/>
  <c r="D44" i="120"/>
  <c r="C44" i="120"/>
  <c r="E36" i="120"/>
  <c r="D36" i="120"/>
  <c r="C36" i="120"/>
  <c r="E29" i="120"/>
  <c r="D29" i="120"/>
  <c r="C29" i="120"/>
  <c r="E25" i="120"/>
  <c r="D25" i="120"/>
  <c r="C25" i="120"/>
  <c r="C8" i="120"/>
  <c r="C19" i="120"/>
  <c r="E19" i="120"/>
  <c r="D19" i="120"/>
  <c r="E8" i="120"/>
  <c r="D8" i="120"/>
  <c r="E1" i="119"/>
  <c r="E50" i="119"/>
  <c r="D50" i="119"/>
  <c r="C50" i="119"/>
  <c r="E44" i="119"/>
  <c r="D44" i="119"/>
  <c r="C44" i="119"/>
  <c r="E36" i="119"/>
  <c r="D36" i="119"/>
  <c r="C36" i="119"/>
  <c r="E29" i="119"/>
  <c r="D29" i="119"/>
  <c r="C29" i="119"/>
  <c r="E25" i="119"/>
  <c r="D25" i="119"/>
  <c r="C25" i="119"/>
  <c r="E19" i="119"/>
  <c r="D19" i="119"/>
  <c r="C19" i="119"/>
  <c r="E8" i="119"/>
  <c r="D8" i="119"/>
  <c r="C8" i="119"/>
  <c r="D44" i="84"/>
  <c r="E44" i="84"/>
  <c r="D50" i="84"/>
  <c r="E50" i="84"/>
  <c r="C50" i="84"/>
  <c r="C44" i="84"/>
  <c r="D8" i="84"/>
  <c r="E8" i="84"/>
  <c r="D19" i="84"/>
  <c r="D25" i="84"/>
  <c r="D29" i="84"/>
  <c r="D36" i="84"/>
  <c r="E19" i="84"/>
  <c r="E25" i="84"/>
  <c r="E29" i="84"/>
  <c r="E36" i="84"/>
  <c r="C36" i="84"/>
  <c r="C29" i="84"/>
  <c r="C25" i="84"/>
  <c r="C19" i="84"/>
  <c r="C8" i="84"/>
  <c r="E1" i="84"/>
  <c r="E50" i="118"/>
  <c r="D50" i="118"/>
  <c r="C50" i="118"/>
  <c r="E44" i="118"/>
  <c r="E55" i="118" s="1"/>
  <c r="D44" i="118"/>
  <c r="C44" i="118"/>
  <c r="E36" i="118"/>
  <c r="D36" i="118"/>
  <c r="C36" i="118"/>
  <c r="E29" i="118"/>
  <c r="D29" i="118"/>
  <c r="C29" i="118"/>
  <c r="E25" i="118"/>
  <c r="D25" i="118"/>
  <c r="C25" i="118"/>
  <c r="C8" i="118"/>
  <c r="C19" i="118"/>
  <c r="E19" i="118"/>
  <c r="D19" i="118"/>
  <c r="E8" i="118"/>
  <c r="D8" i="118"/>
  <c r="E50" i="117"/>
  <c r="D50" i="117"/>
  <c r="C50" i="117"/>
  <c r="E44" i="117"/>
  <c r="D44" i="117"/>
  <c r="C44" i="117"/>
  <c r="E36" i="117"/>
  <c r="D36" i="117"/>
  <c r="C36" i="117"/>
  <c r="E29" i="117"/>
  <c r="D29" i="117"/>
  <c r="C29" i="117"/>
  <c r="E25" i="117"/>
  <c r="E8" i="117"/>
  <c r="E19" i="117"/>
  <c r="D25" i="117"/>
  <c r="C25" i="117"/>
  <c r="D19" i="117"/>
  <c r="D8" i="117"/>
  <c r="C19" i="117"/>
  <c r="C8" i="117"/>
  <c r="E50" i="116"/>
  <c r="D50" i="116"/>
  <c r="C50" i="116"/>
  <c r="E44" i="116"/>
  <c r="D44" i="116"/>
  <c r="D55" i="116" s="1"/>
  <c r="C44" i="116"/>
  <c r="E36" i="116"/>
  <c r="D36" i="116"/>
  <c r="C36" i="116"/>
  <c r="E29" i="116"/>
  <c r="D29" i="116"/>
  <c r="C29" i="116"/>
  <c r="E25" i="116"/>
  <c r="D25" i="116"/>
  <c r="C25" i="116"/>
  <c r="C8" i="116"/>
  <c r="C19" i="116"/>
  <c r="E19" i="116"/>
  <c r="D19" i="116"/>
  <c r="E8" i="116"/>
  <c r="D8" i="116"/>
  <c r="D44" i="79"/>
  <c r="E44" i="79"/>
  <c r="D50" i="79"/>
  <c r="E50" i="79"/>
  <c r="C50" i="79"/>
  <c r="C44" i="79"/>
  <c r="D8" i="79"/>
  <c r="E8" i="79"/>
  <c r="D19" i="79"/>
  <c r="E19" i="79"/>
  <c r="D25" i="79"/>
  <c r="E25" i="79"/>
  <c r="D29" i="79"/>
  <c r="E29" i="79"/>
  <c r="D36" i="79"/>
  <c r="E36" i="79"/>
  <c r="C36" i="79"/>
  <c r="C29" i="79"/>
  <c r="C25" i="79"/>
  <c r="C19" i="79"/>
  <c r="C8" i="79"/>
  <c r="E1" i="79"/>
  <c r="E1" i="3"/>
  <c r="E140" i="115"/>
  <c r="D140" i="115"/>
  <c r="C140" i="115"/>
  <c r="E129" i="115"/>
  <c r="D129" i="115"/>
  <c r="C129" i="115"/>
  <c r="E125" i="115"/>
  <c r="D125" i="115"/>
  <c r="D91" i="115"/>
  <c r="D107" i="115"/>
  <c r="D121" i="115"/>
  <c r="C125" i="115"/>
  <c r="E121" i="115"/>
  <c r="C121" i="115"/>
  <c r="C91" i="115"/>
  <c r="C107" i="115"/>
  <c r="E107" i="115"/>
  <c r="E91" i="115"/>
  <c r="E80" i="115"/>
  <c r="D80" i="115"/>
  <c r="C80" i="115"/>
  <c r="E76" i="115"/>
  <c r="D76" i="115"/>
  <c r="D64" i="115"/>
  <c r="D68" i="115"/>
  <c r="D73" i="115"/>
  <c r="C76" i="115"/>
  <c r="E73" i="115"/>
  <c r="C73" i="115"/>
  <c r="E68" i="115"/>
  <c r="C68" i="115"/>
  <c r="E64" i="115"/>
  <c r="C64" i="115"/>
  <c r="E58" i="115"/>
  <c r="D58" i="115"/>
  <c r="C58" i="115"/>
  <c r="E53" i="115"/>
  <c r="D53" i="115"/>
  <c r="C53" i="115"/>
  <c r="E47" i="115"/>
  <c r="D47" i="115"/>
  <c r="C47" i="115"/>
  <c r="E36" i="115"/>
  <c r="D36" i="115"/>
  <c r="C36" i="115"/>
  <c r="E30" i="115"/>
  <c r="E29" i="115" s="1"/>
  <c r="D30" i="115"/>
  <c r="D29" i="115" s="1"/>
  <c r="C30" i="115"/>
  <c r="C29" i="115" s="1"/>
  <c r="E22" i="115"/>
  <c r="D22" i="115"/>
  <c r="C22" i="115"/>
  <c r="E15" i="115"/>
  <c r="D15" i="115"/>
  <c r="C15" i="115"/>
  <c r="E8" i="115"/>
  <c r="D8" i="115"/>
  <c r="C8" i="115"/>
  <c r="E140" i="114"/>
  <c r="E125" i="114"/>
  <c r="E129" i="114"/>
  <c r="D140" i="114"/>
  <c r="D125" i="114"/>
  <c r="D129" i="114"/>
  <c r="C140" i="114"/>
  <c r="C129" i="114"/>
  <c r="C125" i="114"/>
  <c r="E121" i="114"/>
  <c r="E91" i="114"/>
  <c r="E107" i="114"/>
  <c r="D121" i="114"/>
  <c r="D91" i="114"/>
  <c r="D107" i="114"/>
  <c r="C121" i="114"/>
  <c r="C107" i="114"/>
  <c r="C91" i="114"/>
  <c r="E80" i="114"/>
  <c r="D80" i="114"/>
  <c r="C80" i="114"/>
  <c r="E76" i="114"/>
  <c r="D76" i="114"/>
  <c r="D64" i="114"/>
  <c r="D68" i="114"/>
  <c r="D73" i="114"/>
  <c r="C76" i="114"/>
  <c r="E73" i="114"/>
  <c r="C73" i="114"/>
  <c r="E68" i="114"/>
  <c r="C68" i="114"/>
  <c r="E64" i="114"/>
  <c r="C64" i="114"/>
  <c r="E58" i="114"/>
  <c r="D58" i="114"/>
  <c r="C58" i="114"/>
  <c r="E53" i="114"/>
  <c r="D53" i="114"/>
  <c r="C53" i="114"/>
  <c r="E47" i="114"/>
  <c r="D47" i="114"/>
  <c r="C47" i="114"/>
  <c r="E36" i="114"/>
  <c r="D36" i="114"/>
  <c r="C36" i="114"/>
  <c r="E30" i="114"/>
  <c r="E29" i="114" s="1"/>
  <c r="D30" i="114"/>
  <c r="D29" i="114" s="1"/>
  <c r="C30" i="114"/>
  <c r="C29" i="114" s="1"/>
  <c r="C8" i="114"/>
  <c r="C15" i="114"/>
  <c r="C22" i="114"/>
  <c r="E22" i="114"/>
  <c r="D22" i="114"/>
  <c r="E15" i="114"/>
  <c r="D15" i="114"/>
  <c r="E8" i="114"/>
  <c r="D8" i="114"/>
  <c r="E140" i="113"/>
  <c r="D140" i="113"/>
  <c r="C140" i="113"/>
  <c r="E129" i="113"/>
  <c r="D129" i="113"/>
  <c r="C129" i="113"/>
  <c r="E125" i="113"/>
  <c r="D125" i="113"/>
  <c r="C125" i="113"/>
  <c r="E121" i="113"/>
  <c r="D121" i="113"/>
  <c r="C121" i="113"/>
  <c r="C91" i="113"/>
  <c r="C107" i="113"/>
  <c r="E107" i="113"/>
  <c r="D107" i="113"/>
  <c r="E91" i="113"/>
  <c r="D91" i="113"/>
  <c r="E80" i="113"/>
  <c r="D80" i="113"/>
  <c r="C80" i="113"/>
  <c r="E76" i="113"/>
  <c r="D76" i="113"/>
  <c r="D64" i="113"/>
  <c r="D68" i="113"/>
  <c r="D73" i="113"/>
  <c r="C76" i="113"/>
  <c r="E73" i="113"/>
  <c r="C73" i="113"/>
  <c r="E68" i="113"/>
  <c r="C68" i="113"/>
  <c r="E64" i="113"/>
  <c r="C64" i="113"/>
  <c r="E58" i="113"/>
  <c r="D58" i="113"/>
  <c r="C58" i="113"/>
  <c r="E53" i="113"/>
  <c r="D53" i="113"/>
  <c r="C53" i="113"/>
  <c r="E47" i="113"/>
  <c r="D47" i="113"/>
  <c r="C47" i="113"/>
  <c r="E36" i="113"/>
  <c r="D36" i="113"/>
  <c r="C36" i="113"/>
  <c r="E30" i="113"/>
  <c r="E29" i="113" s="1"/>
  <c r="D30" i="113"/>
  <c r="D29" i="113" s="1"/>
  <c r="C30" i="113"/>
  <c r="C29" i="113"/>
  <c r="E22" i="113"/>
  <c r="D22" i="113"/>
  <c r="C22" i="113"/>
  <c r="E15" i="113"/>
  <c r="D15" i="113"/>
  <c r="C15" i="113"/>
  <c r="E8" i="113"/>
  <c r="D8" i="113"/>
  <c r="C8" i="113"/>
  <c r="D91" i="3"/>
  <c r="D107" i="3"/>
  <c r="D121" i="3"/>
  <c r="D125" i="3"/>
  <c r="D129" i="3"/>
  <c r="D140" i="3"/>
  <c r="E91" i="3"/>
  <c r="E107" i="3"/>
  <c r="E121" i="3"/>
  <c r="E125" i="3"/>
  <c r="E129" i="3"/>
  <c r="E140" i="3"/>
  <c r="C140" i="3"/>
  <c r="C129" i="3"/>
  <c r="C125" i="3"/>
  <c r="C121" i="3"/>
  <c r="C107" i="3"/>
  <c r="C91" i="3"/>
  <c r="D8" i="3"/>
  <c r="E8" i="3"/>
  <c r="E15" i="3"/>
  <c r="E22" i="3"/>
  <c r="E30" i="3"/>
  <c r="E29" i="3" s="1"/>
  <c r="E36" i="3"/>
  <c r="E47" i="3"/>
  <c r="E53" i="3"/>
  <c r="E58" i="3"/>
  <c r="E64" i="3"/>
  <c r="E68" i="3"/>
  <c r="E73" i="3"/>
  <c r="E76" i="3"/>
  <c r="E80" i="3"/>
  <c r="D15" i="3"/>
  <c r="D22" i="3"/>
  <c r="D30" i="3"/>
  <c r="D29" i="3" s="1"/>
  <c r="D36" i="3"/>
  <c r="D47" i="3"/>
  <c r="D53" i="3"/>
  <c r="D58" i="3"/>
  <c r="D64" i="3"/>
  <c r="D68" i="3"/>
  <c r="D73" i="3"/>
  <c r="D76" i="3"/>
  <c r="D80" i="3"/>
  <c r="C80" i="3"/>
  <c r="C76" i="3"/>
  <c r="C73" i="3"/>
  <c r="C68" i="3"/>
  <c r="C64" i="3"/>
  <c r="C58" i="3"/>
  <c r="C53" i="3"/>
  <c r="C47" i="3"/>
  <c r="C36" i="3"/>
  <c r="C30" i="3"/>
  <c r="C29" i="3" s="1"/>
  <c r="C22" i="3"/>
  <c r="C15" i="3"/>
  <c r="C8" i="3"/>
  <c r="A27" i="71"/>
  <c r="M6" i="71"/>
  <c r="H6" i="71"/>
  <c r="F6" i="71"/>
  <c r="K6" i="71" s="1"/>
  <c r="D6" i="71"/>
  <c r="J6" i="71" s="1"/>
  <c r="G7" i="63"/>
  <c r="G8" i="64" s="1"/>
  <c r="F7" i="63"/>
  <c r="F8" i="64" s="1"/>
  <c r="E8" i="64"/>
  <c r="A34" i="75"/>
  <c r="A34" i="76" s="1"/>
  <c r="A28" i="75"/>
  <c r="A28" i="76" s="1"/>
  <c r="A22" i="75"/>
  <c r="A22" i="76" s="1"/>
  <c r="A16" i="75"/>
  <c r="A16" i="76" s="1"/>
  <c r="A10" i="75"/>
  <c r="A10" i="76" s="1"/>
  <c r="A4" i="76"/>
  <c r="H30" i="61"/>
  <c r="I30" i="61"/>
  <c r="H33" i="61"/>
  <c r="I33" i="61"/>
  <c r="G33" i="61"/>
  <c r="G30" i="61"/>
  <c r="D18" i="61"/>
  <c r="E18" i="61"/>
  <c r="D24" i="61"/>
  <c r="E24" i="61"/>
  <c r="D33" i="61"/>
  <c r="E33" i="61"/>
  <c r="C33" i="61"/>
  <c r="C24" i="61"/>
  <c r="C18" i="61"/>
  <c r="H27" i="73"/>
  <c r="I27" i="73"/>
  <c r="G27" i="73"/>
  <c r="D25" i="76"/>
  <c r="D24" i="73"/>
  <c r="E24" i="73"/>
  <c r="C24" i="73"/>
  <c r="C141" i="111"/>
  <c r="C136" i="111"/>
  <c r="C131" i="111"/>
  <c r="C127" i="111"/>
  <c r="C123" i="111"/>
  <c r="C109" i="111"/>
  <c r="C93" i="111"/>
  <c r="C78" i="111"/>
  <c r="C74" i="111"/>
  <c r="C71" i="111"/>
  <c r="C66" i="111"/>
  <c r="C62" i="111"/>
  <c r="C56" i="111"/>
  <c r="C51" i="111"/>
  <c r="C45" i="111"/>
  <c r="C34" i="111"/>
  <c r="C28" i="111"/>
  <c r="C20" i="111"/>
  <c r="C13" i="111"/>
  <c r="C6" i="111"/>
  <c r="C141" i="108"/>
  <c r="C136" i="108"/>
  <c r="C131" i="108"/>
  <c r="C127" i="108"/>
  <c r="C123" i="108"/>
  <c r="C109" i="108"/>
  <c r="C93" i="108"/>
  <c r="C78" i="108"/>
  <c r="C74" i="108"/>
  <c r="C71" i="108"/>
  <c r="C66" i="108"/>
  <c r="C62" i="108"/>
  <c r="C56" i="108"/>
  <c r="C51" i="108"/>
  <c r="C45" i="108"/>
  <c r="C34" i="108"/>
  <c r="C28" i="108"/>
  <c r="C27" i="108" s="1"/>
  <c r="C20" i="108"/>
  <c r="C13" i="108"/>
  <c r="C6" i="108"/>
  <c r="C139" i="1"/>
  <c r="C134" i="1"/>
  <c r="C129" i="1"/>
  <c r="C125" i="1"/>
  <c r="C78" i="1"/>
  <c r="C74" i="1"/>
  <c r="C66" i="1"/>
  <c r="C56" i="1"/>
  <c r="C51" i="1"/>
  <c r="C45" i="1"/>
  <c r="C34" i="1"/>
  <c r="C20" i="1"/>
  <c r="C13" i="1"/>
  <c r="C6" i="1"/>
  <c r="G38" i="107"/>
  <c r="D38" i="107"/>
  <c r="C38" i="107"/>
  <c r="E37" i="107"/>
  <c r="E36" i="107"/>
  <c r="E35" i="107"/>
  <c r="E34" i="107"/>
  <c r="E33" i="107"/>
  <c r="E31" i="107"/>
  <c r="E30" i="107"/>
  <c r="E29" i="107"/>
  <c r="E28" i="107"/>
  <c r="E27" i="107"/>
  <c r="E26" i="107"/>
  <c r="E25" i="107"/>
  <c r="E24" i="107"/>
  <c r="E23" i="107"/>
  <c r="E22" i="107"/>
  <c r="E21" i="107"/>
  <c r="E20" i="107"/>
  <c r="E19" i="107"/>
  <c r="E18" i="107"/>
  <c r="E17" i="107"/>
  <c r="E16" i="107"/>
  <c r="E15" i="107"/>
  <c r="E14" i="107"/>
  <c r="E13" i="107"/>
  <c r="E12" i="107"/>
  <c r="E11" i="107"/>
  <c r="E10" i="107"/>
  <c r="E9" i="107"/>
  <c r="F9" i="107" s="1"/>
  <c r="E8" i="107"/>
  <c r="F8" i="107" s="1"/>
  <c r="E7" i="107"/>
  <c r="D29" i="99"/>
  <c r="C29" i="99"/>
  <c r="C5" i="106"/>
  <c r="C10" i="106" s="1"/>
  <c r="E22" i="105"/>
  <c r="D22" i="105"/>
  <c r="E36" i="100"/>
  <c r="D36" i="100"/>
  <c r="G18" i="98"/>
  <c r="G14" i="98"/>
  <c r="F18" i="98"/>
  <c r="E18" i="98"/>
  <c r="D18" i="98"/>
  <c r="C18" i="98"/>
  <c r="C14" i="98"/>
  <c r="C19" i="98" s="1"/>
  <c r="H17" i="98"/>
  <c r="I17" i="98" s="1"/>
  <c r="H16" i="98"/>
  <c r="I16" i="98" s="1"/>
  <c r="F14" i="98"/>
  <c r="E14" i="98"/>
  <c r="D14" i="98"/>
  <c r="H13" i="98"/>
  <c r="I13" i="98" s="1"/>
  <c r="H12" i="98"/>
  <c r="I12" i="98" s="1"/>
  <c r="H11" i="98"/>
  <c r="I11" i="98" s="1"/>
  <c r="H10" i="98"/>
  <c r="I10" i="98" s="1"/>
  <c r="H9" i="98"/>
  <c r="I9" i="98" s="1"/>
  <c r="H8" i="98"/>
  <c r="I8" i="98" s="1"/>
  <c r="H7" i="98"/>
  <c r="I7" i="98" s="1"/>
  <c r="H12" i="97"/>
  <c r="G12" i="97"/>
  <c r="F12" i="97"/>
  <c r="E12" i="97"/>
  <c r="H5" i="97"/>
  <c r="G5" i="97"/>
  <c r="F5" i="97"/>
  <c r="E5" i="97"/>
  <c r="J17" i="96"/>
  <c r="J16" i="96"/>
  <c r="I15" i="96"/>
  <c r="H15" i="96"/>
  <c r="G15" i="96"/>
  <c r="F15" i="96"/>
  <c r="E15" i="96"/>
  <c r="D15" i="96"/>
  <c r="J14" i="96"/>
  <c r="I13" i="96"/>
  <c r="H13" i="96"/>
  <c r="G13" i="96"/>
  <c r="F13" i="96"/>
  <c r="E13" i="96"/>
  <c r="D13" i="96"/>
  <c r="J12" i="96"/>
  <c r="I11" i="96"/>
  <c r="H11" i="96"/>
  <c r="G11" i="96"/>
  <c r="F11" i="96"/>
  <c r="E11" i="96"/>
  <c r="D11" i="96"/>
  <c r="J10" i="96"/>
  <c r="J9" i="96"/>
  <c r="I8" i="96"/>
  <c r="I5" i="96"/>
  <c r="H8" i="96"/>
  <c r="G8" i="96"/>
  <c r="F8" i="96"/>
  <c r="E8" i="96"/>
  <c r="D8" i="96"/>
  <c r="J7" i="96"/>
  <c r="J6" i="96"/>
  <c r="H5" i="96"/>
  <c r="G5" i="96"/>
  <c r="F5" i="96"/>
  <c r="E5" i="96"/>
  <c r="D5" i="96"/>
  <c r="L32" i="71"/>
  <c r="M32" i="71"/>
  <c r="K32" i="71"/>
  <c r="C24" i="71"/>
  <c r="M24" i="71" s="1"/>
  <c r="M23" i="71"/>
  <c r="M22" i="71"/>
  <c r="M21" i="71"/>
  <c r="M20" i="71"/>
  <c r="M19" i="71"/>
  <c r="M18" i="71"/>
  <c r="L20" i="71"/>
  <c r="L21" i="71"/>
  <c r="L22" i="71"/>
  <c r="L23" i="71"/>
  <c r="L19" i="71"/>
  <c r="L18" i="71"/>
  <c r="D24" i="71"/>
  <c r="E24" i="71"/>
  <c r="F24" i="71"/>
  <c r="G24" i="71"/>
  <c r="H24" i="71"/>
  <c r="I24" i="71"/>
  <c r="J24" i="71"/>
  <c r="K24" i="71"/>
  <c r="B24" i="71"/>
  <c r="M9" i="71"/>
  <c r="M10" i="71"/>
  <c r="M11" i="71"/>
  <c r="M12" i="71"/>
  <c r="M13" i="71"/>
  <c r="M14" i="71"/>
  <c r="L10" i="71"/>
  <c r="L11" i="71"/>
  <c r="L12" i="71"/>
  <c r="L13" i="71"/>
  <c r="L14" i="71"/>
  <c r="L9" i="71"/>
  <c r="L8" i="71"/>
  <c r="C15" i="71"/>
  <c r="M15" i="71" s="1"/>
  <c r="B15" i="71"/>
  <c r="D15" i="71"/>
  <c r="E15" i="71"/>
  <c r="F15" i="71"/>
  <c r="G15" i="71"/>
  <c r="H15" i="71"/>
  <c r="I15" i="71"/>
  <c r="J15" i="71"/>
  <c r="K15" i="71"/>
  <c r="G10" i="64"/>
  <c r="G11" i="64"/>
  <c r="G12" i="64"/>
  <c r="G13" i="64"/>
  <c r="G14" i="64"/>
  <c r="G15" i="64"/>
  <c r="G16" i="64"/>
  <c r="G17" i="64"/>
  <c r="G18" i="64"/>
  <c r="G19" i="64"/>
  <c r="G20" i="64"/>
  <c r="G21" i="64"/>
  <c r="G22" i="64"/>
  <c r="G23" i="64"/>
  <c r="G24" i="64"/>
  <c r="G25" i="64"/>
  <c r="G26" i="64"/>
  <c r="G27" i="64"/>
  <c r="G28" i="64"/>
  <c r="F29" i="64"/>
  <c r="E29" i="64"/>
  <c r="D29" i="64"/>
  <c r="B29" i="64"/>
  <c r="F31" i="63"/>
  <c r="G9" i="63"/>
  <c r="B31" i="63"/>
  <c r="D31" i="63"/>
  <c r="E31" i="63"/>
  <c r="C84" i="95"/>
  <c r="C124" i="95"/>
  <c r="D124" i="95"/>
  <c r="M8" i="71"/>
  <c r="E34" i="130"/>
  <c r="C63" i="113"/>
  <c r="D38" i="104"/>
  <c r="E35" i="84"/>
  <c r="E40" i="84" s="1"/>
  <c r="E124" i="95"/>
  <c r="C21" i="131"/>
  <c r="D37" i="76"/>
  <c r="D31" i="76"/>
  <c r="C90" i="108"/>
  <c r="D145" i="114" l="1"/>
  <c r="E145" i="114"/>
  <c r="E145" i="115"/>
  <c r="C34" i="130"/>
  <c r="E18" i="96"/>
  <c r="F19" i="97"/>
  <c r="D35" i="117"/>
  <c r="D40" i="117" s="1"/>
  <c r="C55" i="84"/>
  <c r="C55" i="119"/>
  <c r="D55" i="127"/>
  <c r="E55" i="129"/>
  <c r="D19" i="98"/>
  <c r="C145" i="3"/>
  <c r="C124" i="114"/>
  <c r="E55" i="79"/>
  <c r="D35" i="120"/>
  <c r="D40" i="120" s="1"/>
  <c r="D35" i="121"/>
  <c r="D40" i="121" s="1"/>
  <c r="E35" i="126"/>
  <c r="E40" i="126" s="1"/>
  <c r="D61" i="95"/>
  <c r="D84" i="95"/>
  <c r="E61" i="95"/>
  <c r="D144" i="95"/>
  <c r="D8" i="130"/>
  <c r="D34" i="130"/>
  <c r="C55" i="116"/>
  <c r="C55" i="79"/>
  <c r="D35" i="126"/>
  <c r="D40" i="126" s="1"/>
  <c r="D55" i="128"/>
  <c r="D145" i="95"/>
  <c r="E19" i="98"/>
  <c r="C30" i="61"/>
  <c r="C145" i="114"/>
  <c r="C146" i="114" s="1"/>
  <c r="E124" i="115"/>
  <c r="C55" i="122"/>
  <c r="D35" i="125"/>
  <c r="D40" i="125" s="1"/>
  <c r="D55" i="129"/>
  <c r="D35" i="116"/>
  <c r="D40" i="116" s="1"/>
  <c r="E86" i="3"/>
  <c r="C124" i="113"/>
  <c r="D124" i="114"/>
  <c r="D146" i="114" s="1"/>
  <c r="C63" i="115"/>
  <c r="E86" i="115"/>
  <c r="D86" i="115"/>
  <c r="D35" i="79"/>
  <c r="D40" i="79" s="1"/>
  <c r="D55" i="121"/>
  <c r="E55" i="127"/>
  <c r="C55" i="128"/>
  <c r="J11" i="96"/>
  <c r="D55" i="122"/>
  <c r="D35" i="124"/>
  <c r="D40" i="124" s="1"/>
  <c r="E55" i="128"/>
  <c r="C35" i="129"/>
  <c r="C40" i="129" s="1"/>
  <c r="D55" i="123"/>
  <c r="D35" i="127"/>
  <c r="D40" i="127" s="1"/>
  <c r="G18" i="96"/>
  <c r="H18" i="98"/>
  <c r="G19" i="98"/>
  <c r="E124" i="3"/>
  <c r="E63" i="113"/>
  <c r="D124" i="113"/>
  <c r="E124" i="114"/>
  <c r="E146" i="114" s="1"/>
  <c r="C35" i="119"/>
  <c r="C40" i="119" s="1"/>
  <c r="C35" i="121"/>
  <c r="C40" i="121" s="1"/>
  <c r="E35" i="128"/>
  <c r="E40" i="128" s="1"/>
  <c r="C61" i="95"/>
  <c r="C85" i="95" s="1"/>
  <c r="E144" i="95"/>
  <c r="E145" i="95" s="1"/>
  <c r="D86" i="113"/>
  <c r="D145" i="113"/>
  <c r="C86" i="114"/>
  <c r="E55" i="123"/>
  <c r="E35" i="124"/>
  <c r="E40" i="124" s="1"/>
  <c r="E35" i="125"/>
  <c r="E40" i="125" s="1"/>
  <c r="E55" i="125"/>
  <c r="C35" i="126"/>
  <c r="C40" i="126" s="1"/>
  <c r="E35" i="127"/>
  <c r="E40" i="127" s="1"/>
  <c r="D35" i="128"/>
  <c r="D40" i="128" s="1"/>
  <c r="C55" i="129"/>
  <c r="D63" i="113"/>
  <c r="E145" i="113"/>
  <c r="E35" i="118"/>
  <c r="E40" i="118" s="1"/>
  <c r="E55" i="84"/>
  <c r="C55" i="124"/>
  <c r="C145" i="115"/>
  <c r="E55" i="116"/>
  <c r="C55" i="117"/>
  <c r="D35" i="84"/>
  <c r="D40" i="84" s="1"/>
  <c r="D35" i="122"/>
  <c r="D40" i="122" s="1"/>
  <c r="E55" i="122"/>
  <c r="D55" i="124"/>
  <c r="J15" i="96"/>
  <c r="C86" i="113"/>
  <c r="C87" i="113" s="1"/>
  <c r="D35" i="123"/>
  <c r="D40" i="123" s="1"/>
  <c r="E55" i="124"/>
  <c r="J13" i="96"/>
  <c r="H19" i="97"/>
  <c r="C86" i="3"/>
  <c r="D86" i="3"/>
  <c r="C124" i="3"/>
  <c r="C146" i="3" s="1"/>
  <c r="E145" i="3"/>
  <c r="E55" i="117"/>
  <c r="E55" i="119"/>
  <c r="E35" i="122"/>
  <c r="E40" i="122" s="1"/>
  <c r="E146" i="3"/>
  <c r="H18" i="96"/>
  <c r="I18" i="96"/>
  <c r="D124" i="3"/>
  <c r="D63" i="115"/>
  <c r="D87" i="115" s="1"/>
  <c r="D124" i="115"/>
  <c r="D55" i="79"/>
  <c r="C35" i="117"/>
  <c r="C40" i="117" s="1"/>
  <c r="D55" i="84"/>
  <c r="C35" i="120"/>
  <c r="C40" i="120" s="1"/>
  <c r="E35" i="121"/>
  <c r="E40" i="121" s="1"/>
  <c r="C35" i="124"/>
  <c r="C40" i="124" s="1"/>
  <c r="C35" i="128"/>
  <c r="C40" i="128" s="1"/>
  <c r="E84" i="95"/>
  <c r="E85" i="95" s="1"/>
  <c r="D38" i="103"/>
  <c r="E35" i="129"/>
  <c r="E40" i="129" s="1"/>
  <c r="F19" i="98"/>
  <c r="E63" i="114"/>
  <c r="E86" i="114"/>
  <c r="C124" i="115"/>
  <c r="E35" i="116"/>
  <c r="E40" i="116" s="1"/>
  <c r="C35" i="116"/>
  <c r="C40" i="116" s="1"/>
  <c r="C35" i="118"/>
  <c r="C40" i="118" s="1"/>
  <c r="E35" i="123"/>
  <c r="E40" i="123" s="1"/>
  <c r="C35" i="123"/>
  <c r="C40" i="123" s="1"/>
  <c r="C35" i="79"/>
  <c r="C40" i="79" s="1"/>
  <c r="D55" i="117"/>
  <c r="C55" i="120"/>
  <c r="E55" i="121"/>
  <c r="C35" i="122"/>
  <c r="C40" i="122" s="1"/>
  <c r="C35" i="125"/>
  <c r="C40" i="125" s="1"/>
  <c r="E55" i="126"/>
  <c r="E8" i="130"/>
  <c r="E51" i="130" s="1"/>
  <c r="E68" i="130" s="1"/>
  <c r="I18" i="98"/>
  <c r="G19" i="97"/>
  <c r="F18" i="96"/>
  <c r="H14" i="98"/>
  <c r="L24" i="71"/>
  <c r="D18" i="96"/>
  <c r="C146" i="111"/>
  <c r="E30" i="61"/>
  <c r="D63" i="3"/>
  <c r="E35" i="79"/>
  <c r="E40" i="79" s="1"/>
  <c r="C55" i="118"/>
  <c r="D55" i="119"/>
  <c r="D55" i="120"/>
  <c r="C55" i="126"/>
  <c r="L15" i="71"/>
  <c r="J8" i="96"/>
  <c r="E19" i="97"/>
  <c r="D30" i="61"/>
  <c r="D145" i="3"/>
  <c r="D146" i="3" s="1"/>
  <c r="E86" i="113"/>
  <c r="D35" i="118"/>
  <c r="D40" i="118" s="1"/>
  <c r="D55" i="118"/>
  <c r="D35" i="119"/>
  <c r="D40" i="119" s="1"/>
  <c r="E35" i="120"/>
  <c r="E40" i="120" s="1"/>
  <c r="E55" i="120"/>
  <c r="C55" i="125"/>
  <c r="C144" i="95"/>
  <c r="C145" i="95" s="1"/>
  <c r="E63" i="115"/>
  <c r="E87" i="115" s="1"/>
  <c r="D145" i="115"/>
  <c r="J5" i="96"/>
  <c r="E124" i="113"/>
  <c r="C145" i="113"/>
  <c r="D86" i="114"/>
  <c r="C86" i="115"/>
  <c r="E35" i="117"/>
  <c r="E40" i="117" s="1"/>
  <c r="C35" i="84"/>
  <c r="C40" i="84" s="1"/>
  <c r="E35" i="119"/>
  <c r="E40" i="119" s="1"/>
  <c r="D55" i="125"/>
  <c r="C35" i="127"/>
  <c r="C40" i="127" s="1"/>
  <c r="D35" i="129"/>
  <c r="D40" i="129" s="1"/>
  <c r="C130" i="112"/>
  <c r="C27" i="111"/>
  <c r="E27" i="112"/>
  <c r="C144" i="1"/>
  <c r="C126" i="111"/>
  <c r="C84" i="108"/>
  <c r="D9" i="61"/>
  <c r="C146" i="108"/>
  <c r="E9" i="61"/>
  <c r="C9" i="61"/>
  <c r="C20" i="73"/>
  <c r="C19" i="73" s="1"/>
  <c r="C27" i="73" s="1"/>
  <c r="D7" i="76" s="1"/>
  <c r="C84" i="1"/>
  <c r="C8" i="130"/>
  <c r="C126" i="108"/>
  <c r="E20" i="73"/>
  <c r="E19" i="73" s="1"/>
  <c r="E27" i="73" s="1"/>
  <c r="D20" i="73"/>
  <c r="D19" i="73" s="1"/>
  <c r="D27" i="73" s="1"/>
  <c r="C61" i="108"/>
  <c r="C84" i="111"/>
  <c r="E8" i="61"/>
  <c r="D8" i="61"/>
  <c r="C8" i="61"/>
  <c r="C6" i="61"/>
  <c r="E6" i="61"/>
  <c r="D6" i="61"/>
  <c r="E63" i="3"/>
  <c r="E87" i="3" s="1"/>
  <c r="C63" i="3"/>
  <c r="C87" i="3" s="1"/>
  <c r="E146" i="115"/>
  <c r="D63" i="114"/>
  <c r="C63" i="114"/>
  <c r="C87" i="114" s="1"/>
  <c r="I14" i="98"/>
  <c r="E38" i="107"/>
  <c r="C90" i="111"/>
  <c r="C108" i="112"/>
  <c r="F7" i="107"/>
  <c r="F38" i="107" s="1"/>
  <c r="E7" i="73"/>
  <c r="C7" i="73"/>
  <c r="E20" i="112"/>
  <c r="C10" i="73"/>
  <c r="H17" i="61"/>
  <c r="H31" i="61" s="1"/>
  <c r="E9" i="73"/>
  <c r="C122" i="112"/>
  <c r="G11" i="73" s="1"/>
  <c r="G18" i="73" s="1"/>
  <c r="I11" i="73"/>
  <c r="E6" i="73"/>
  <c r="H6" i="73"/>
  <c r="C88" i="1"/>
  <c r="G17" i="61"/>
  <c r="G31" i="61" s="1"/>
  <c r="I17" i="61"/>
  <c r="I31" i="61" s="1"/>
  <c r="E34" i="112"/>
  <c r="E45" i="112"/>
  <c r="E10" i="73"/>
  <c r="E56" i="112"/>
  <c r="E71" i="112"/>
  <c r="C135" i="112"/>
  <c r="B37" i="76"/>
  <c r="E37" i="76" s="1"/>
  <c r="I7" i="73"/>
  <c r="E13" i="112"/>
  <c r="C12" i="73"/>
  <c r="E12" i="73"/>
  <c r="C92" i="112"/>
  <c r="G31" i="63"/>
  <c r="G29" i="64"/>
  <c r="D85" i="95" l="1"/>
  <c r="C51" i="130"/>
  <c r="C68" i="130" s="1"/>
  <c r="D13" i="76"/>
  <c r="C146" i="113"/>
  <c r="E87" i="113"/>
  <c r="C87" i="115"/>
  <c r="D51" i="130"/>
  <c r="D68" i="130" s="1"/>
  <c r="D87" i="113"/>
  <c r="E87" i="114"/>
  <c r="I19" i="98"/>
  <c r="E146" i="113"/>
  <c r="D87" i="114"/>
  <c r="H19" i="98"/>
  <c r="C146" i="115"/>
  <c r="D19" i="76"/>
  <c r="E84" i="112"/>
  <c r="D146" i="113"/>
  <c r="J18" i="96"/>
  <c r="D146" i="115"/>
  <c r="E61" i="112"/>
  <c r="D87" i="3"/>
  <c r="C61" i="111"/>
  <c r="C85" i="111" s="1"/>
  <c r="C145" i="1"/>
  <c r="D149" i="112" s="1"/>
  <c r="C147" i="111"/>
  <c r="C147" i="108"/>
  <c r="C145" i="112"/>
  <c r="B25" i="76" s="1"/>
  <c r="E25" i="76" s="1"/>
  <c r="D10" i="73"/>
  <c r="H11" i="73"/>
  <c r="H18" i="73" s="1"/>
  <c r="D30" i="76" s="1"/>
  <c r="D6" i="73"/>
  <c r="D12" i="73"/>
  <c r="E17" i="61"/>
  <c r="E32" i="61" s="1"/>
  <c r="D9" i="73"/>
  <c r="C85" i="108"/>
  <c r="D17" i="61"/>
  <c r="D32" i="61" s="1"/>
  <c r="B19" i="76"/>
  <c r="C17" i="61"/>
  <c r="C31" i="61" s="1"/>
  <c r="B38" i="76"/>
  <c r="B7" i="76"/>
  <c r="E7" i="76" s="1"/>
  <c r="I18" i="73"/>
  <c r="I28" i="73" s="1"/>
  <c r="D38" i="76" s="1"/>
  <c r="C125" i="112"/>
  <c r="C6" i="73"/>
  <c r="E18" i="73"/>
  <c r="D7" i="73"/>
  <c r="G28" i="73"/>
  <c r="D26" i="76" s="1"/>
  <c r="D24" i="76"/>
  <c r="E19" i="76" l="1"/>
  <c r="C146" i="112"/>
  <c r="B26" i="76" s="1"/>
  <c r="E26" i="76" s="1"/>
  <c r="I32" i="61"/>
  <c r="E31" i="61"/>
  <c r="D18" i="73"/>
  <c r="D28" i="73" s="1"/>
  <c r="D31" i="61"/>
  <c r="B31" i="76"/>
  <c r="E31" i="76" s="1"/>
  <c r="B13" i="76"/>
  <c r="E13" i="76" s="1"/>
  <c r="H32" i="61"/>
  <c r="C32" i="61"/>
  <c r="D36" i="76"/>
  <c r="H28" i="73"/>
  <c r="D32" i="76" s="1"/>
  <c r="B24" i="76"/>
  <c r="E24" i="76" s="1"/>
  <c r="G32" i="61"/>
  <c r="E38" i="76"/>
  <c r="B36" i="76"/>
  <c r="B30" i="76"/>
  <c r="E30" i="76" s="1"/>
  <c r="B18" i="76"/>
  <c r="B20" i="76"/>
  <c r="E85" i="112"/>
  <c r="B12" i="76"/>
  <c r="I29" i="73"/>
  <c r="D18" i="76"/>
  <c r="E28" i="73"/>
  <c r="E29" i="73"/>
  <c r="E86" i="112" l="1"/>
  <c r="C147" i="112"/>
  <c r="B32" i="76"/>
  <c r="E32" i="76" s="1"/>
  <c r="B14" i="76"/>
  <c r="D12" i="76"/>
  <c r="E12" i="76" s="1"/>
  <c r="H29" i="73"/>
  <c r="D29" i="73"/>
  <c r="E36" i="76"/>
  <c r="I30" i="73"/>
  <c r="E30" i="73"/>
  <c r="D20" i="76"/>
  <c r="E20" i="76" s="1"/>
  <c r="E18" i="76"/>
  <c r="D14" i="76"/>
  <c r="D30" i="73"/>
  <c r="H30" i="73"/>
  <c r="E149" i="112" l="1"/>
  <c r="E14" i="76"/>
  <c r="C27" i="1"/>
  <c r="C61" i="1" s="1"/>
  <c r="B6" i="76" l="1"/>
  <c r="C85" i="1"/>
  <c r="C9" i="73"/>
  <c r="C18" i="73" s="1"/>
  <c r="B8" i="76" l="1"/>
  <c r="G29" i="73"/>
  <c r="C29" i="73"/>
  <c r="D6" i="76"/>
  <c r="E6" i="76" s="1"/>
  <c r="C28" i="73"/>
  <c r="G30" i="73" l="1"/>
  <c r="D8" i="76"/>
  <c r="E8" i="76" s="1"/>
  <c r="C30" i="73"/>
  <c r="E31" i="166"/>
  <c r="H31" i="166" s="1"/>
  <c r="E68" i="174"/>
  <c r="C125" i="169" l="1"/>
  <c r="C146" i="169" s="1"/>
  <c r="F8" i="181"/>
  <c r="F63" i="181" s="1"/>
  <c r="C8" i="181"/>
  <c r="C63" i="181" l="1"/>
  <c r="F87" i="181"/>
  <c r="C87" i="18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Kővári Zoltán</author>
  </authors>
  <commentList>
    <comment ref="E7" authorId="0" shapeId="0" xr:uid="{00000000-0006-0000-0100-000001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+32.984 bérkompenzáció 5-6 hó
+14.221 Bérkompenzáció 7. hó
+3.444.000 minimálbér és garantált bérminimum</t>
        </r>
      </text>
    </comment>
    <comment ref="F7" authorId="0" shapeId="0" xr:uid="{CB98BB59-F586-4B93-AFF3-DF089EEEDC7A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+32.984 bérkompenzáció 5-6 hó
+14.221 Bérkompenzáció 7. hó
+3.444.000 minimálbér és garantált bérminimum</t>
        </r>
      </text>
    </comment>
    <comment ref="E8" authorId="0" shapeId="0" xr:uid="{00000000-0006-0000-0100-000002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4.680.000,-Ft minimálbér és garantált bérminimum
-356.367,- májusi felmérés miatt</t>
        </r>
      </text>
    </comment>
    <comment ref="F8" authorId="0" shapeId="0" xr:uid="{387DFADC-BF86-4A6C-ACAF-648F919EA578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4.680.000,-Ft minimálbér és garantált bérminimum
-356.367,- májusi felmérés miatt</t>
        </r>
      </text>
    </comment>
    <comment ref="E9" authorId="0" shapeId="0" xr:uid="{00000000-0006-0000-0100-000003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439.559 ágazati pótlék 4-6 hó
+4.180.000,-Ft minimálbér és garantált bérminimum
-1.214.087,- Ft májusi felmérés alapján</t>
        </r>
      </text>
    </comment>
    <comment ref="F9" authorId="0" shapeId="0" xr:uid="{37D795EB-80BB-4148-B103-B558E3CAE75E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439.559 ágazati pótlék 4-6 hó
+4.180.000,-Ft minimálbér és garantált bérminimum
-1.214.087,- Ft májusi felmérés alapján</t>
        </r>
      </text>
    </comment>
    <comment ref="E10" authorId="0" shapeId="0" xr:uid="{00000000-0006-0000-0100-000004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412.990 kúltúrális pótlék 5-7 hó
237.000 könyvtári érdekeltségnövelő
+425.000,- Ft minimálbér és garantált bérminimum</t>
        </r>
      </text>
    </comment>
    <comment ref="F10" authorId="0" shapeId="0" xr:uid="{7D53AD15-B695-40C1-B78B-AC746437A4B5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412.990 kúltúrális pótlék 5-7 hó
237.000 könyvtári érdekeltségnövelő
+425.000,- Ft minimálbér és garantált bérminimum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Diósi Zsuzsanna</author>
    <author>Ablonczy Erika</author>
  </authors>
  <commentList>
    <comment ref="F15" authorId="0" shapeId="0" xr:uid="{00000000-0006-0000-0D00-000002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intézmények maradványelvonása:1924780</t>
        </r>
      </text>
    </comment>
    <comment ref="AH26" authorId="1" shapeId="0" xr:uid="{00000000-0006-0000-0D00-000003000000}">
      <text>
        <r>
          <rPr>
            <b/>
            <sz val="9"/>
            <color indexed="81"/>
            <rFont val="Segoe UI"/>
            <family val="2"/>
            <charset val="238"/>
          </rPr>
          <t>Ablonczy Erika:</t>
        </r>
        <r>
          <rPr>
            <sz val="9"/>
            <color indexed="81"/>
            <rFont val="Segoe UI"/>
            <family val="2"/>
            <charset val="238"/>
          </rPr>
          <t xml:space="preserve">
Pillangó utcai vis major pályázat </t>
        </r>
      </text>
    </comment>
    <comment ref="AH76" authorId="0" shapeId="0" xr:uid="{00000000-0006-0000-0D00-000004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Megelőlegezés rendezése</t>
        </r>
      </text>
    </comment>
    <comment ref="AH137" authorId="0" shapeId="0" xr:uid="{00000000-0006-0000-0D00-000005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a megelőlegezés rendezése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Szerző</author>
  </authors>
  <commentList>
    <comment ref="C79" authorId="0" shapeId="0" xr:uid="{00000000-0006-0000-0F00-000001000000}">
      <text>
        <r>
          <rPr>
            <b/>
            <sz val="9"/>
            <color indexed="81"/>
            <rFont val="Segoe UI"/>
            <family val="2"/>
            <charset val="238"/>
          </rPr>
          <t>Szerző:</t>
        </r>
        <r>
          <rPr>
            <sz val="9"/>
            <color indexed="81"/>
            <rFont val="Segoe UI"/>
            <family val="2"/>
            <charset val="238"/>
          </rPr>
          <t xml:space="preserve">
Állami támogatás: 262 286 800 Ft,
Önkormányzati kiegészítés: 100958797 Ft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Diósi Zsuzsanna</author>
  </authors>
  <commentList>
    <comment ref="D15" authorId="0" shapeId="0" xr:uid="{00000000-0006-0000-0200-000001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intézmények szabad maradványa</t>
        </r>
      </text>
    </comment>
    <comment ref="E15" authorId="0" shapeId="0" xr:uid="{00000000-0006-0000-0200-000002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intézmények szabad maradványa</t>
        </r>
      </text>
    </comment>
    <comment ref="F15" authorId="0" shapeId="0" xr:uid="{9325C333-8D5E-4893-AE30-F2E46BD81491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intézmények szabad maradványa</t>
        </r>
      </text>
    </comment>
    <comment ref="G15" authorId="0" shapeId="0" xr:uid="{3EBFA45F-45A1-4729-A105-D4637A38AE63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intézmények szabad maradványa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Kővári Zoltán</author>
    <author>Diósi</author>
    <author>Diósi Zsuzsanna</author>
    <author>Zsuzsa</author>
  </authors>
  <commentList>
    <comment ref="E7" authorId="0" shapeId="0" xr:uid="{00000000-0006-0000-0300-000001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+32.984 bérkompenzáció 5-6 hó
+14.221 Bérkompenzáció 7. hó
+3.444.000 minimálbér és garantált bérminimum</t>
        </r>
      </text>
    </comment>
    <comment ref="F7" authorId="1" shapeId="0" xr:uid="{AE0D46E7-762C-44A9-B7E9-69724A2B3798}">
      <text>
        <r>
          <rPr>
            <b/>
            <sz val="9"/>
            <color indexed="81"/>
            <rFont val="Tahoma"/>
            <family val="2"/>
            <charset val="238"/>
          </rPr>
          <t>Diósi:</t>
        </r>
        <r>
          <rPr>
            <sz val="9"/>
            <color indexed="81"/>
            <rFont val="Tahoma"/>
            <family val="2"/>
            <charset val="238"/>
          </rPr>
          <t xml:space="preserve">
+39.598 Ft bérkompenzáció</t>
        </r>
      </text>
    </comment>
    <comment ref="E8" authorId="0" shapeId="0" xr:uid="{00000000-0006-0000-0300-000002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4.680.000,-Ft minimálbér és garantált bérminimum
-356.367,- májusi felmérés miatt</t>
        </r>
      </text>
    </comment>
    <comment ref="E9" authorId="0" shapeId="0" xr:uid="{00000000-0006-0000-0300-000003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439.559 ágazati pótlék 4-6 hó
+4.180.000,-Ft minimálbér és garantált bérminimum
-1.214.087,- Ft májusi felmérés alapján</t>
        </r>
      </text>
    </comment>
    <comment ref="F9" authorId="1" shapeId="0" xr:uid="{F32FDE93-6D04-4F7D-AB0D-E15574CA279A}">
      <text>
        <r>
          <rPr>
            <b/>
            <sz val="9"/>
            <color indexed="81"/>
            <rFont val="Tahoma"/>
            <family val="2"/>
            <charset val="238"/>
          </rPr>
          <t>Diósi:</t>
        </r>
        <r>
          <rPr>
            <sz val="9"/>
            <color indexed="81"/>
            <rFont val="Tahoma"/>
            <family val="2"/>
            <charset val="238"/>
          </rPr>
          <t xml:space="preserve">
+387.224 Ft szoc. Pótlék
</t>
        </r>
      </text>
    </comment>
    <comment ref="E10" authorId="0" shapeId="0" xr:uid="{00000000-0006-0000-0300-000004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412.990 kúltúrális pótlék 5-7 hó
237.000 könyvtári érdekeltségnövelő
+425.000,- Ft minimálbér és garantált bérminimum</t>
        </r>
      </text>
    </comment>
    <comment ref="F10" authorId="1" shapeId="0" xr:uid="{17AA35EE-7DD2-4A2D-83FE-57A15E67434A}">
      <text>
        <r>
          <rPr>
            <b/>
            <sz val="9"/>
            <color indexed="81"/>
            <rFont val="Tahoma"/>
            <family val="2"/>
            <charset val="238"/>
          </rPr>
          <t>Diósi:</t>
        </r>
        <r>
          <rPr>
            <sz val="9"/>
            <color indexed="81"/>
            <rFont val="Tahoma"/>
            <family val="2"/>
            <charset val="238"/>
          </rPr>
          <t xml:space="preserve">
+406.142 kult. pótlék</t>
        </r>
      </text>
    </comment>
    <comment ref="D12" authorId="2" shapeId="0" xr:uid="{00000000-0006-0000-0300-000005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Póttámogatás ÁSZ ellenőrzés alapján:3677100</t>
        </r>
      </text>
    </comment>
    <comment ref="F12" authorId="1" shapeId="0" xr:uid="{503747C1-5D1E-45A0-8430-3E6E4156D4E8}">
      <text>
        <r>
          <rPr>
            <b/>
            <sz val="9"/>
            <color indexed="81"/>
            <rFont val="Tahoma"/>
            <family val="2"/>
            <charset val="238"/>
          </rPr>
          <t>Diósi:</t>
        </r>
        <r>
          <rPr>
            <sz val="9"/>
            <color indexed="81"/>
            <rFont val="Tahoma"/>
            <family val="2"/>
            <charset val="238"/>
          </rPr>
          <t xml:space="preserve">
+410.320 előző évi elszámolásból pót tám.</t>
        </r>
      </text>
    </comment>
    <comment ref="D14" authorId="2" shapeId="0" xr:uid="{00000000-0006-0000-0300-000006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intézmények maradványelvonása:1924780</t>
        </r>
      </text>
    </comment>
    <comment ref="F18" authorId="1" shapeId="0" xr:uid="{ACB2D51E-CF51-4EC5-980E-A28F6ACC81FA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+31.518.512 Ft BM rendkívüli támogatás (Csonka-per)</t>
        </r>
      </text>
    </comment>
    <comment ref="E47" authorId="0" shapeId="0" xr:uid="{00000000-0006-0000-0300-000008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41.216.717,. Ft az értékesítés összege</t>
        </r>
      </text>
    </comment>
    <comment ref="E53" authorId="0" shapeId="0" xr:uid="{00000000-0006-0000-0300-00000A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ÉTH  tagi kölcsön tertére történő kifizetésre 223/2015 öh+251/2016 öh alapján</t>
        </r>
      </text>
    </comment>
    <comment ref="D75" authorId="2" shapeId="0" xr:uid="{00000000-0006-0000-0300-00000B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Megelőlegezés rendezése</t>
        </r>
      </text>
    </comment>
    <comment ref="E92" authorId="0" shapeId="0" xr:uid="{00000000-0006-0000-0300-00000C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+10.833.000,- Ft minimálbér és garantált bérminimum</t>
        </r>
      </text>
    </comment>
    <comment ref="F92" authorId="1" shapeId="0" xr:uid="{24382326-752C-4336-A0DD-7240BA997E96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-7.000.000 Ft átcsoportostva PH bérre</t>
        </r>
      </text>
    </comment>
    <comment ref="E93" authorId="0" shapeId="0" xr:uid="{00000000-0006-0000-0300-00000D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+1.896.000,- Ft minimálbér és garantált bérminimum
-1.570.454,- májusi elvonásokra
</t>
        </r>
      </text>
    </comment>
    <comment ref="D94" authorId="2" shapeId="0" xr:uid="{00000000-0006-0000-0300-00000E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2018 évi áfa önellenőrzés kapcsán:16793000
szállítói tartozás: 2044397
átvezetés: rendőrség részére: 515000</t>
        </r>
      </text>
    </comment>
    <comment ref="E94" authorId="0" shapeId="0" xr:uid="{00000000-0006-0000-0300-00000F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+1.402.692,- Ft Hó és sikosságmentesítés  januári szla
+3.524.250,- Ft hó és sikosságmentesítés 2019. évi alapdíj
+1.080.000,-Ft Interambulance szerződésre
+5.804.000,-Ft  Junior iskolai töblet
+800.000,-Ft kaszálásra/polgármesteri döntés 19. 07. 05
+200. 000,- Ft utcai hulladékgyűjtő polgm. dönt. 19. 07. 09.
+2.000.000,- Ft új szociális ellátás szerződés
+1.465590,-Ft Önerős útberuházás és a temető építés különbözete</t>
        </r>
      </text>
    </comment>
    <comment ref="F94" authorId="1" shapeId="0" xr:uid="{7F92940A-E05E-4A70-BA4C-B9116FEAE6DF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-175.000 Ft átcsoportosítás felhalmozásitámogatásra (társasház)
+165.546 Ft Opel lízing kamat átcsop. Lízingből
</t>
        </r>
      </text>
    </comment>
    <comment ref="F96" authorId="1" shapeId="0" xr:uid="{B8E49A5A-7EB3-4FAD-8EAC-9452C5FD1928}">
      <text>
        <r>
          <rPr>
            <b/>
            <sz val="9"/>
            <color indexed="81"/>
            <rFont val="Tahoma"/>
            <family val="2"/>
            <charset val="238"/>
          </rPr>
          <t>Diósi:</t>
        </r>
        <r>
          <rPr>
            <sz val="9"/>
            <color indexed="81"/>
            <rFont val="Tahoma"/>
            <family val="2"/>
            <charset val="238"/>
          </rPr>
          <t xml:space="preserve">
-424.500 társasház felújítás átcsop felhalm c tám-ba</t>
        </r>
      </text>
    </comment>
    <comment ref="D97" authorId="3" shapeId="0" xr:uid="{00000000-0006-0000-0300-000010000000}">
      <text>
        <r>
          <rPr>
            <b/>
            <sz val="9"/>
            <color indexed="81"/>
            <rFont val="Tahoma"/>
            <family val="2"/>
            <charset val="238"/>
          </rPr>
          <t>Zsuzsa:</t>
        </r>
        <r>
          <rPr>
            <sz val="9"/>
            <color indexed="81"/>
            <rFont val="Tahoma"/>
            <family val="2"/>
            <charset val="238"/>
          </rPr>
          <t xml:space="preserve">
előző évi elvonásból származó kiadás:5158461</t>
        </r>
      </text>
    </comment>
    <comment ref="D101" authorId="2" shapeId="0" xr:uid="{00000000-0006-0000-0300-000011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rendőrség támogatása: 515000</t>
        </r>
      </text>
    </comment>
    <comment ref="E101" authorId="0" shapeId="0" xr:uid="{00000000-0006-0000-0300-000012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rendőrség 2. félévi támogatás</t>
        </r>
      </text>
    </comment>
    <comment ref="F101" authorId="1" shapeId="0" xr:uid="{6EA100D3-3BD0-4760-A2A4-23E7FBCF2913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+1.200.000 Ft átcsop. Egyéb áh kívülről (NNÖ)</t>
        </r>
      </text>
    </comment>
    <comment ref="E106" authorId="0" shapeId="0" xr:uid="{00000000-0006-0000-0300-000013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+1.000.000,- Ft polgárőr egyesület
+32.500.800,-Ft ÉTH 223/2015 öh alapján
+8.699.600,-Ft ÉTH 251/2016 öh alapján</t>
        </r>
      </text>
    </comment>
    <comment ref="F106" authorId="1" shapeId="0" xr:uid="{0EC90435-73F8-4054-B121-A9D4A468C501}">
      <text>
        <r>
          <rPr>
            <b/>
            <sz val="9"/>
            <color indexed="81"/>
            <rFont val="Tahoma"/>
            <family val="2"/>
            <charset val="238"/>
          </rPr>
          <t>Diósi:</t>
        </r>
        <r>
          <rPr>
            <sz val="9"/>
            <color indexed="81"/>
            <rFont val="Tahoma"/>
            <family val="2"/>
            <charset val="238"/>
          </rPr>
          <t xml:space="preserve">
-424.500 Ft átcsoportosítás felhalm. célú tám-ra (társasház)
-1.200.000 Ft  átcsoportosítás egyéb műk. c tám-ra (Német Nemz Önk.)</t>
        </r>
      </text>
    </comment>
    <comment ref="D108" authorId="2" shapeId="0" xr:uid="{00000000-0006-0000-0300-000014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kötvál maradvány településrendezés:3962400
meg nem valósuló beruházás, elvonás:-21000000</t>
        </r>
      </text>
    </comment>
    <comment ref="E108" authorId="0" shapeId="0" xr:uid="{00000000-0006-0000-0300-000015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+3.600.000,-Ft ÉTH törzstőke emelés a 315/2012 öh alapján
+5.062.500,-Ft Bölcsöde projekt tervezése
-1.465590,-Ft Önerős útberuházás és a temető építés különbözete</t>
        </r>
      </text>
    </comment>
    <comment ref="D110" authorId="0" shapeId="0" xr:uid="{00000000-0006-0000-0300-000016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+31018890,- Ft gördülő felújítás</t>
        </r>
      </text>
    </comment>
    <comment ref="F112" authorId="1" shapeId="0" xr:uid="{C1D97B93-CCD7-46C4-A5B2-B7F165AFB57E}">
      <text>
        <r>
          <rPr>
            <b/>
            <sz val="9"/>
            <color indexed="81"/>
            <rFont val="Tahoma"/>
            <family val="2"/>
            <charset val="238"/>
          </rPr>
          <t>Diósi:</t>
        </r>
        <r>
          <rPr>
            <sz val="9"/>
            <color indexed="81"/>
            <rFont val="Tahoma"/>
            <family val="2"/>
            <charset val="238"/>
          </rPr>
          <t xml:space="preserve">
+424.500 Ft átcsop műk c kiadásokról
+175.000 Ft átcsop dologiból</t>
        </r>
      </text>
    </comment>
    <comment ref="D118" authorId="2" shapeId="0" xr:uid="{00000000-0006-0000-0300-000017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Viziközmű Társulat felé fennálló tartozás: 30283467</t>
        </r>
      </text>
    </comment>
    <comment ref="F120" authorId="1" shapeId="0" xr:uid="{0F6F501C-55BB-44C6-A5B9-4D45C3DD07F1}">
      <text>
        <r>
          <rPr>
            <b/>
            <sz val="9"/>
            <color indexed="81"/>
            <rFont val="Tahoma"/>
            <family val="2"/>
            <charset val="238"/>
          </rPr>
          <t>Diósi:</t>
        </r>
        <r>
          <rPr>
            <sz val="9"/>
            <color indexed="81"/>
            <rFont val="Tahoma"/>
            <family val="2"/>
            <charset val="238"/>
          </rPr>
          <t xml:space="preserve">
+175,000 átcsopdologiból
+424.500 Ft átcsop. Műk c tám-ról (társasházi)</t>
        </r>
      </text>
    </comment>
    <comment ref="E122" authorId="0" shapeId="0" xr:uid="{00000000-0006-0000-0300-000018000000}">
      <text>
        <r>
          <rPr>
            <b/>
            <sz val="9"/>
            <color indexed="81"/>
            <rFont val="Segoe UI"/>
            <family val="2"/>
            <charset val="238"/>
          </rPr>
          <t xml:space="preserve">dr. Kővári Zoltán:
</t>
        </r>
        <r>
          <rPr>
            <sz val="9"/>
            <color indexed="81"/>
            <rFont val="Segoe UI"/>
            <family val="2"/>
            <charset val="238"/>
          </rPr>
          <t xml:space="preserve">+25.000.000,- Ft Adóbevételek növelése
+899.754,- Ft többlettámogatás
+26.265.427,-Ft utasításra a PH büntetésre biztosított előirányzat 50%-a, 
-1.000.000,-Ft PH köztisztviselők bérkiegészítése 271/2019. öh. (1)
-2.500.000,-Ft Városüzemeltetés dolgozóinak 271/2019. öh (2)
-1.100.000,-Ft Rendőr Járőrszolgálat 265/2019. öh
-1.000.000,-Ft Diósd Város Közbiztonságáért Polgárőr Egyesület 264/2019. öh
-1.402.692,-Ft Hó- és síkosságmentesítés ellenjegyésére januári szla.
-3.524.250,- Ft  Hó- és síkosságmentesítés 2019. évi alapdíj 258/2019. öh
-1.080.000,- Ft Inter-Ambulance szerződés, különbözet 259/2019. öh
-11.877.000,- Ft Junior szerződésből eredő többlet kiadás
-2.500.000,-Ft Óvoda Elvonás visszavezetése
-9.000.000,- Ft egyéb közhatalmi bevételek túltervezése
-12.050.400,-Ft ÉTH követelés csökkenése miatt
-800.000,-Ft Kaszálásra Polgármesteri döntés alapján 2019.07.05.
-200.000,-Ft hulladék gyűjtő Polgármesteri döntés alapján 2019.07.09.
-5.062.500,-Ft Bölcsöde projekt tervezése
-2.000.000,- Ft új szociális szerződésre 275/2019 öh alapján
-4.420.000,-Ft Kék Géza rendezvényeire 16.000 euro figyelembe vételével
</t>
        </r>
      </text>
    </comment>
    <comment ref="F122" authorId="1" shapeId="0" xr:uid="{71EC04BB-8B20-4E6C-B677-F74E6606E5B3}">
      <text>
        <r>
          <rPr>
            <b/>
            <sz val="9"/>
            <color indexed="81"/>
            <rFont val="Tahoma"/>
            <family val="2"/>
            <charset val="238"/>
          </rPr>
          <t>Diósi:</t>
        </r>
        <r>
          <rPr>
            <sz val="9"/>
            <color indexed="81"/>
            <rFont val="Tahoma"/>
            <family val="2"/>
            <charset val="238"/>
          </rPr>
          <t xml:space="preserve">
+1.243.284 Ft normatíva
-3.000.000 Ft PH adóérdekeltség fedezetére</t>
        </r>
      </text>
    </comment>
    <comment ref="D136" authorId="2" shapeId="0" xr:uid="{00000000-0006-0000-0300-000019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a megelőlegezés rendezése</t>
        </r>
      </text>
    </comment>
    <comment ref="D137" authorId="2" shapeId="0" xr:uid="{00000000-0006-0000-0300-00001A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Intézményi elvonások: ovi-5, PH-2, Bölcsi-4
PH kbírói ítélet kártérítésre:52530854</t>
        </r>
      </text>
    </comment>
    <comment ref="E137" authorId="0" shapeId="0" xr:uid="{00000000-0006-0000-0300-00001B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-26.265.427,- Ft PH büntetés 50%-os visszavonás
+3,5 mFt PH és Városüzemeltetés bér kiegészítés
+6.073.000,- Dió Óvi Junior többlet
+2.500.000,- Ft Dió Óvi elvonás vissza
+237.000Ft Kék Géza Könyvtári érdekeltség növelő
+4420000 Ft Kék Géza rendezvények</t>
        </r>
      </text>
    </comment>
    <comment ref="F137" authorId="1" shapeId="0" xr:uid="{2435D0F3-0127-4C4B-9BF8-2474FC575C8C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+31.518.512 Ft PH finanszírozás támogatás
+7.000.000 Ft PH finanszírozás bér
+3.000.000 Ft adóérdekeltség fedezete</t>
        </r>
      </text>
    </comment>
    <comment ref="F138" authorId="1" shapeId="0" xr:uid="{8AFFE398-939D-4B76-9E33-5FF25196573B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-165.546 Ft lízing kamat átcsop dologiba
+2.137.945 Ft Opel lízing átcsop beruházásból lízingre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Diósi</author>
    <author>dr. Kővári Zoltán</author>
    <author>Diósi Zsuzsanna</author>
  </authors>
  <commentList>
    <comment ref="F18" authorId="0" shapeId="0" xr:uid="{A5A3C69C-4B41-4A73-B0D7-B4DCBC0D789D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+1.987.206 Ft EP választás állami támogatása
+2.679.277 Ft önkormányzati választás állami támogatása</t>
        </r>
      </text>
    </comment>
    <comment ref="E77" authorId="1" shapeId="0" xr:uid="{00000000-0006-0000-0400-000001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-26265427 Büntetés 50% visszavonás
+3,5 mFt PH városüzemeltetés bérfejlesztés
</t>
        </r>
      </text>
    </comment>
    <comment ref="F77" authorId="0" shapeId="0" xr:uid="{5046E1FE-40BC-4E3D-A890-7D8EB43964F7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+31.518.512 Ft Csonka-per támogatás
+7.000.000 Ft bér</t>
        </r>
      </text>
    </comment>
    <comment ref="E94" authorId="1" shapeId="0" xr:uid="{00000000-0006-0000-0400-000002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PH és Városüzemeltetés 3,5 mFt bér</t>
        </r>
      </text>
    </comment>
    <comment ref="F94" authorId="0" shapeId="0" xr:uid="{B82F3F2B-3D2A-4EDC-B256-F68FE5A086E6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+1.420.400 Ft EP választás
+2.008.800 önkormányzati választás
+7.000.000 Ft önkormányzat bérről helyesbytés
+3.000.000 Ft adóérdekeltség</t>
        </r>
      </text>
    </comment>
    <comment ref="E95" authorId="1" shapeId="0" xr:uid="{00000000-0006-0000-0400-000003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PH és Városüzemeltetés 3,5 mFt bér járuléka</t>
        </r>
      </text>
    </comment>
    <comment ref="F95" authorId="0" shapeId="0" xr:uid="{10561DE3-7726-4B4B-A1B5-071DFE8E9C04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+293.205 Ft EP választás
+381.516 Ft önk választás</t>
        </r>
      </text>
    </comment>
    <comment ref="D96" authorId="2" shapeId="0" xr:uid="{00000000-0006-0000-0400-000004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sz val="8"/>
            <color indexed="81"/>
            <rFont val="Segoe UI"/>
            <family val="2"/>
            <charset val="238"/>
          </rPr>
          <t>-2000000 céltartalék</t>
        </r>
        <r>
          <rPr>
            <sz val="6"/>
            <color indexed="81"/>
            <rFont val="Segoe UI"/>
            <family val="2"/>
            <charset val="238"/>
          </rPr>
          <t xml:space="preserve">
+52.530.854 Ft Bírósági ítéletre</t>
        </r>
      </text>
    </comment>
    <comment ref="E96" authorId="1" shapeId="0" xr:uid="{00000000-0006-0000-0400-000005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-52.530.854 Ft Bírósági ítéletre 50%-os visszavezetés 50% céltartalék</t>
        </r>
      </text>
    </comment>
    <comment ref="F96" authorId="0" shapeId="0" xr:uid="{3503C0C9-C8C0-407E-BA8F-14F762744C6F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+26.265.427 átcsoportosítás tartalékról
-13.462 Ft átcsoportosítva beruházásba
+253.594 EP választás
+256.726 önk. Választás
+31.518.512 Ft Csonka-per</t>
        </r>
      </text>
    </comment>
    <comment ref="F103" authorId="0" shapeId="0" xr:uid="{C64B9D96-CC3D-4388-BC66-42EFF7C8D89B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+14.093 választás ktgtérítés</t>
        </r>
      </text>
    </comment>
    <comment ref="F108" authorId="0" shapeId="0" xr:uid="{A27B2570-C23B-48DA-AABA-7176D1C79B5F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+38149 választás ktgtérítés
</t>
        </r>
      </text>
    </comment>
    <comment ref="F110" authorId="0" shapeId="0" xr:uid="{8D59B1BE-CF5B-4BD0-B92F-1942BF55CE7A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+13.462 Ft átcsoportosítva dologiból</t>
        </r>
      </text>
    </comment>
    <comment ref="E125" authorId="1" shapeId="0" xr:uid="{00000000-0006-0000-0400-000006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-52.530.854 Ft Bírósági ítéletre 50% céltartalék</t>
        </r>
      </text>
    </comment>
    <comment ref="F125" authorId="0" shapeId="0" xr:uid="{8826E8BA-81AE-41C7-9D99-0E6BDDF3FF88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-26.265.427 Ft dologiba átcsoportosítva</t>
        </r>
      </text>
    </comment>
    <comment ref="G125" authorId="0" shapeId="0" xr:uid="{BBD79D5D-9865-4F83-984E-C71122856A9F}">
      <text>
        <r>
          <rPr>
            <b/>
            <sz val="9"/>
            <color indexed="81"/>
            <rFont val="Tahoma"/>
            <charset val="1"/>
          </rPr>
          <t>Diósi:</t>
        </r>
        <r>
          <rPr>
            <sz val="9"/>
            <color indexed="81"/>
            <rFont val="Tahoma"/>
            <charset val="1"/>
          </rPr>
          <t xml:space="preserve">
-26.265.427 Ft dologiba átcsoportosítva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Kővári Zoltán</author>
  </authors>
  <commentList>
    <comment ref="E39" authorId="0" shapeId="0" xr:uid="{00000000-0006-0000-0500-000001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+3.000.000,- Ft 40%-os étkezési térítés többlet</t>
        </r>
      </text>
    </comment>
    <comment ref="E40" authorId="0" shapeId="0" xr:uid="{00000000-0006-0000-0500-000002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810.000,- Ft 40%-os étkezési térítés többlet</t>
        </r>
      </text>
    </comment>
    <comment ref="E77" authorId="0" shapeId="0" xr:uid="{00000000-0006-0000-0500-000003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+6.073.000,-Ft Junior többlet finanszírozása
+2.500.000,- Ft elvonás visszavezetés
</t>
        </r>
      </text>
    </comment>
    <comment ref="E96" authorId="0" shapeId="0" xr:uid="{00000000-0006-0000-0500-000004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+9.883.000,-Ft Junior többletkiadás
+2.500.000,- Ft elvonás visszavezetés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Diósi Zsuzsanna</author>
  </authors>
  <commentList>
    <comment ref="D98" authorId="0" shapeId="0" xr:uid="{00000000-0006-0000-0600-000001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elvonás: 4000000
kötvállal terhelt maradvány: 11392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Kővári Zoltán</author>
    <author>kzoltan</author>
    <author>Diósi Zsuzsanna</author>
  </authors>
  <commentList>
    <comment ref="E79" authorId="0" shapeId="0" xr:uid="{00000000-0006-0000-0700-000001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+237.000,-Ft érdekeltségnövelő támogatás
+4.420.000,- Ft rendezvényekre</t>
        </r>
      </text>
    </comment>
    <comment ref="F96" authorId="1" shapeId="0" xr:uid="{F1BB9E36-670A-406C-AA0F-C9AFE834905C}">
      <text>
        <r>
          <rPr>
            <sz val="9"/>
            <color indexed="81"/>
            <rFont val="Tahoma"/>
            <charset val="1"/>
          </rPr>
          <t>+13.250 e Ft
Átcsoportosítás dologiból</t>
        </r>
      </text>
    </comment>
    <comment ref="D98" authorId="2" shapeId="0" xr:uid="{00000000-0006-0000-0700-000002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kötvál: 24335 Ft</t>
        </r>
      </text>
    </comment>
    <comment ref="E98" authorId="0" shapeId="0" xr:uid="{00000000-0006-0000-0700-000003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4420000Ft rendezvényekre</t>
        </r>
      </text>
    </comment>
    <comment ref="F98" authorId="1" shapeId="0" xr:uid="{19B1EE68-AD1D-45FA-9637-12B883ECE4C7}">
      <text>
        <r>
          <rPr>
            <sz val="9"/>
            <color indexed="81"/>
            <rFont val="Tahoma"/>
            <charset val="1"/>
          </rPr>
          <t>Diósi:
-13.250 eFt személyi kiadásokra átcsoportosítva</t>
        </r>
      </text>
    </comment>
    <comment ref="E112" authorId="0" shapeId="0" xr:uid="{00000000-0006-0000-0700-000004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Érdekeltség növelő támogatás +237000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Kővári Zoltán</author>
    <author>Diósi Zsuzsanna</author>
  </authors>
  <commentList>
    <comment ref="B8" authorId="0" shapeId="0" xr:uid="{00000000-0006-0000-0800-000001000000}">
      <text>
        <r>
          <rPr>
            <b/>
            <sz val="9"/>
            <color indexed="81"/>
            <rFont val="Segoe UI"/>
            <family val="2"/>
            <charset val="238"/>
          </rPr>
          <t>dr. Kővári Zoltán:</t>
        </r>
        <r>
          <rPr>
            <sz val="9"/>
            <color indexed="81"/>
            <rFont val="Segoe UI"/>
            <family val="2"/>
            <charset val="238"/>
          </rPr>
          <t xml:space="preserve">
Nem valósult meg.
</t>
        </r>
      </text>
    </comment>
    <comment ref="B9" authorId="1" shapeId="0" xr:uid="{00000000-0006-0000-0800-000002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A lakosság saját erőből valósítja meg, a tervezés és műszaki ellenőr díját tartalmazza</t>
        </r>
      </text>
    </comment>
    <comment ref="B13" authorId="1" shapeId="0" xr:uid="{00000000-0006-0000-0800-000003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Nem valósult meg</t>
        </r>
      </text>
    </comment>
    <comment ref="B14" authorId="1" shapeId="0" xr:uid="{00000000-0006-0000-0800-000004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Nem valósult meg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Diósi Zsuzsanna</author>
  </authors>
  <commentList>
    <comment ref="F49" authorId="0" shapeId="0" xr:uid="{00000000-0006-0000-0A00-000001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2019- ben várható bevétel 80000000</t>
        </r>
      </text>
    </comment>
    <comment ref="E113" authorId="0" shapeId="0" xr:uid="{00000000-0006-0000-0A00-000002000000}">
      <text>
        <r>
          <rPr>
            <b/>
            <sz val="9"/>
            <color indexed="81"/>
            <rFont val="Segoe UI"/>
            <family val="2"/>
            <charset val="238"/>
          </rPr>
          <t>Diósi Zsuzsanna:</t>
        </r>
        <r>
          <rPr>
            <sz val="9"/>
            <color indexed="81"/>
            <rFont val="Segoe UI"/>
            <family val="2"/>
            <charset val="238"/>
          </rPr>
          <t xml:space="preserve">
ÉTV bérleti díjból 30.000 e
Vadrózsa útjavítás 6.500e</t>
        </r>
      </text>
    </comment>
  </commentList>
</comments>
</file>

<file path=xl/sharedStrings.xml><?xml version="1.0" encoding="utf-8"?>
<sst xmlns="http://schemas.openxmlformats.org/spreadsheetml/2006/main" count="10258" uniqueCount="2194">
  <si>
    <t>Költségvetési rendelet űrlapjainak összefüggései:</t>
  </si>
  <si>
    <t>1. sz. melléklet Bevételek táblázat C. oszlop 9 sora =</t>
  </si>
  <si>
    <t>2.1. számú melléklet C. oszlop 13. sor + 2.2. számú melléklet C. oszlop 12. sor</t>
  </si>
  <si>
    <t>1. sz. melléklet Bevételek táblázat C. oszlop 16 sora =</t>
  </si>
  <si>
    <t>2.1. számú melléklet C. oszlop 22. sor + 2.2. számú melléklet C. oszlop 25. sor</t>
  </si>
  <si>
    <t>1. sz. melléklet Bevételek táblázat C. oszlop 17 sora =</t>
  </si>
  <si>
    <t>2.1. számú melléklet C. oszlop 23. sor + 2.2. számú melléklet C. oszlop 26. sor</t>
  </si>
  <si>
    <t>1. sz. melléklet Bevételek táblázat D. oszlop 9 sora =</t>
  </si>
  <si>
    <t>2.1. számú melléklet D. oszlop 13. sor + 2.2. számú melléklet D. oszlop 12. sor</t>
  </si>
  <si>
    <t>1. sz. melléklet Bevételek táblázat D. oszlop 16 sora =</t>
  </si>
  <si>
    <t>2.1. számú melléklet D. oszlop 22. sor + 2.2. számú melléklet D. oszlop 25. sor</t>
  </si>
  <si>
    <t>1. sz. melléklet Bevételek táblázat D. oszlop 17 sora =</t>
  </si>
  <si>
    <t>2.1. számú melléklet D. oszlop 23. sor + 2.2. számú melléklet D. oszlop 26. sor</t>
  </si>
  <si>
    <t>1. sz. melléklet Bevételek táblázat E. oszlop 9 sora =</t>
  </si>
  <si>
    <t>2.1. számú melléklet E. oszlop 13. sor + 2.2. számú melléklet E. oszlop 12. sor</t>
  </si>
  <si>
    <t>1. sz. melléklet Bevételek táblázat E. oszlop 16 sora =</t>
  </si>
  <si>
    <t>2.1. számú melléklet E. oszlop 22. sor + 2.2. számú melléklet E. oszlop 25. sor</t>
  </si>
  <si>
    <t>1. sz. melléklet Bevételek táblázat E. oszlop 17 sora =</t>
  </si>
  <si>
    <t>2.1. számú melléklet E. oszlop 23. sor + 2.2. számú melléklet E. oszlop 26. sor</t>
  </si>
  <si>
    <t>1. sz. melléklet Kiadások táblázat C. oszlop 4 sora =</t>
  </si>
  <si>
    <t>2.1. számú melléklet G. oszlop 13. sor + 2.2. számú melléklet G. oszlop 12. sor</t>
  </si>
  <si>
    <t>1. sz. melléklet Kiadások táblázat C. oszlop 9 sora =</t>
  </si>
  <si>
    <t>2.1. számú melléklet G. oszlop 22. sor + 2.2. számú melléklet G. oszlop 25. sor</t>
  </si>
  <si>
    <t>1. sz. melléklet Kiadások táblázat C. oszlop 10 sora =</t>
  </si>
  <si>
    <t>2.1. számú melléklet G. oszlop 23. sor + 2.2. számú melléklet G. oszlop 26. sor</t>
  </si>
  <si>
    <t>1. sz. melléklet Kiadások táblázat D. oszlop 4 sora =</t>
  </si>
  <si>
    <t>2.1. számú melléklet H. oszlop 13. sor + 2.2. számú melléklet H. oszlop 12. sor</t>
  </si>
  <si>
    <t>1. sz. melléklet Kiadások táblázat D. oszlop 9 sora =</t>
  </si>
  <si>
    <t>2.1. számú melléklet H. oszlop 22. sor + 2.2. számú melléklet H. oszlop 25. sor</t>
  </si>
  <si>
    <t>1. sz. melléklet Kiadások táblázat D. oszlop 10 sora =</t>
  </si>
  <si>
    <t>2.1. számú melléklet H. oszlop 23. sor + 2.2. számú melléklet H. oszlop 26. sor</t>
  </si>
  <si>
    <t>1. sz. melléklet Kiadások táblázat E. oszlop 4 sora =</t>
  </si>
  <si>
    <t>2.1. számú melléklet I. oszlop 13. sor + 2.2. számú melléklet I. oszlop 12. sor</t>
  </si>
  <si>
    <t>1. sz. melléklet Kiadások táblázat E. oszlop 9 sora =</t>
  </si>
  <si>
    <t>2.1. számú melléklet I. oszlop 22. sor + 2.2. számú melléklet I. oszlop 25. sor</t>
  </si>
  <si>
    <t>1. sz. melléklet Kiadások táblázat E. oszlop 10 sora =</t>
  </si>
  <si>
    <t>2.1. számú melléklet I. oszlop 23. sor + 2.2. számú melléklet I. oszlop 26. sor</t>
  </si>
  <si>
    <t>Megjegyzés:</t>
  </si>
  <si>
    <t>A 10. és 11. fül alatt található teljesített kiadások és bevételek is egy javasolt megoldás, ami COFOG és rovat szerint mutatja az Önkormányzat, költségvetési szerv kiadásait, bevételeit.</t>
  </si>
  <si>
    <t>B E V É T E L E K</t>
  </si>
  <si>
    <t>Ezer forintban</t>
  </si>
  <si>
    <t>Sor-
szám</t>
  </si>
  <si>
    <t>Bevételi jogcím</t>
  </si>
  <si>
    <t>Eredeti előirányzat</t>
  </si>
  <si>
    <t>Módosított előirányzat</t>
  </si>
  <si>
    <t>Teljesítés</t>
  </si>
  <si>
    <t>A</t>
  </si>
  <si>
    <t>B</t>
  </si>
  <si>
    <t>C</t>
  </si>
  <si>
    <t>D</t>
  </si>
  <si>
    <t>E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</si>
  <si>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</si>
  <si>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</si>
  <si>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</si>
  <si>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</si>
  <si>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</si>
  <si>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</si>
  <si>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</si>
  <si>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</si>
  <si>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</si>
  <si>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</si>
  <si>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</si>
  <si>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>Elszámolásból származó bevételek</t>
  </si>
  <si>
    <t>1.6.</t>
  </si>
  <si>
    <t>Helyi önkormányzatok kiegészítő támogatásai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</si>
  <si>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</si>
  <si>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</si>
  <si>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</si>
  <si>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</si>
  <si>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</si>
  <si>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</si>
  <si>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</si>
  <si>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</si>
  <si>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</si>
  <si>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</si>
  <si>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</si>
  <si>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</si>
  <si>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</si>
  <si>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</si>
  <si>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</si>
  <si>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</si>
  <si>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</si>
  <si>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</si>
  <si>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</si>
  <si>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</si>
  <si>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</si>
  <si>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</si>
  <si>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</si>
  <si>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</si>
  <si>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</si>
  <si>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</si>
  <si>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</si>
  <si>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</si>
  <si>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</si>
  <si>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</si>
  <si>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</si>
  <si>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(4.1.1.+4.1.2.)</t>
  </si>
  <si>
    <t>4.1.1.</t>
  </si>
  <si>
    <t>- Vagyoni típusú adók</t>
  </si>
  <si>
    <t>4.1.2.</t>
  </si>
  <si>
    <t>- Termékek és szolgáltatások adói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</si>
  <si>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</si>
  <si>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</si>
  <si>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</si>
  <si>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</si>
  <si>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</si>
  <si>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</si>
  <si>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5.</t>
  </si>
  <si>
    <t>Működési bevételek (5.1.+…+ 5.10.)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</si>
  <si>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</si>
  <si>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</si>
  <si>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</si>
  <si>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</si>
  <si>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</si>
  <si>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</si>
  <si>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</si>
  <si>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</si>
  <si>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</si>
  <si>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</si>
  <si>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</si>
  <si>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</si>
  <si>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</si>
  <si>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</si>
  <si>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</si>
  <si>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</t>
  </si>
  <si>
    <t>5.9.</t>
  </si>
  <si>
    <t>Egyéb pénzügyi műveletek bevételei</t>
  </si>
  <si>
    <t>5.10.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</si>
  <si>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</si>
  <si>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</si>
  <si>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</si>
  <si>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</si>
  <si>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</si>
  <si>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</si>
  <si>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</si>
  <si>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</si>
  <si>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</si>
  <si>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</si>
  <si>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</si>
  <si>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</si>
  <si>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</si>
  <si>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</si>
  <si>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</si>
  <si>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</si>
  <si>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</si>
  <si>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</si>
  <si>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</si>
  <si>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</si>
  <si>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</si>
  <si>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</si>
  <si>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</si>
  <si>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</si>
  <si>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</si>
  <si>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</si>
  <si>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</si>
  <si>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</si>
  <si>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</si>
  <si>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</si>
  <si>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</si>
  <si>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</si>
  <si>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</si>
  <si>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>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</si>
  <si>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</si>
  <si>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</si>
  <si>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</si>
  <si>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</si>
  <si>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</si>
  <si>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</si>
  <si>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</si>
  <si>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</si>
  <si>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</si>
  <si>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</si>
  <si>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</si>
  <si>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</si>
  <si>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</si>
  <si>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</si>
  <si>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</si>
  <si>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</si>
  <si>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</si>
  <si>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</si>
  <si>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</si>
  <si>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</si>
  <si>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</si>
  <si>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</si>
  <si>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</si>
  <si>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</si>
  <si>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</si>
  <si>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</si>
  <si>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</si>
  <si>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</si>
  <si>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</si>
  <si>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</si>
  <si>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</si>
  <si>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</si>
  <si>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</si>
  <si>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</si>
  <si>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</si>
  <si>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</si>
  <si>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</si>
  <si>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</si>
  <si>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</si>
  <si>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</si>
  <si>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</si>
  <si>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</si>
  <si>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</si>
  <si>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</si>
  <si>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</si>
  <si>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</si>
  <si>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</si>
  <si>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 xml:space="preserve">    17.</t>
  </si>
  <si>
    <t>KÖLTSÉGVETÉSI ÉS FINANSZÍROZÁSI BEVÉTELEK ÖSSZESEN: (9+16)</t>
  </si>
  <si>
    <t>K I A D Á S O K</t>
  </si>
  <si>
    <t>2. sz. táblázat</t>
  </si>
  <si>
    <t>Kiadási jogcím</t>
  </si>
  <si>
    <t xml:space="preserve">   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</si>
  <si>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</si>
  <si>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</si>
  <si>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</si>
  <si>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</si>
  <si>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</si>
  <si>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</si>
  <si>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Elvonások és befizetések</t>
  </si>
  <si>
    <t>1.7.</t>
  </si>
  <si>
    <t xml:space="preserve">   - Garancia- és kezességvállalásból kifizetés ÁH-n belülre</t>
  </si>
  <si>
    <t>1.8.</t>
  </si>
  <si>
    <t xml:space="preserve">   -Visszatérítendő támogatások, kölcsönök nyújtása ÁH-n belülre</t>
  </si>
  <si>
    <t>1.9.</t>
  </si>
  <si>
    <t xml:space="preserve">   - Visszatérítendő támogatások, kölcsönök törlesztése ÁH-n belülre</t>
  </si>
  <si>
    <t>1.10.</t>
  </si>
  <si>
    <t xml:space="preserve">   - Egyéb működési célú támogatások ÁH-n belülre</t>
  </si>
  <si>
    <t>1.11.</t>
  </si>
  <si>
    <t xml:space="preserve">   - Garancia és kezességvállalásból kifizetés ÁH-n kívülre</t>
  </si>
  <si>
    <t>1.12.</t>
  </si>
  <si>
    <t xml:space="preserve">   - Visszatérítendő támogatások, kölcsönök nyújtása ÁH-n kívülre</t>
  </si>
  <si>
    <t>1.13.</t>
  </si>
  <si>
    <t xml:space="preserve">   - Árkiegészítések, ártámogatások</t>
  </si>
  <si>
    <t>1.14.</t>
  </si>
  <si>
    <t xml:space="preserve">   - Kamattámogatások</t>
  </si>
  <si>
    <t>1.15.</t>
  </si>
  <si>
    <t xml:space="preserve">   - Egyéb működési célú támogatások államháztartáson kívülre</t>
  </si>
  <si>
    <t xml:space="preserve">   Felhalmozási költségvetés kiadásai (2.1.+2.3.+2.5.)</t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</si>
  <si>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</si>
  <si>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</si>
  <si>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</si>
  <si>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</si>
  <si>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</si>
  <si>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</si>
  <si>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</si>
  <si>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</si>
  <si>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</si>
  <si>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</si>
  <si>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</si>
  <si>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</si>
  <si>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</si>
  <si>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</si>
  <si>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</si>
  <si>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</si>
  <si>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</si>
  <si>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</si>
  <si>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Tartalékok (3.1.+3.2.)</t>
  </si>
  <si>
    <t>Általános tartalék</t>
  </si>
  <si>
    <t>Céltartalék</t>
  </si>
  <si>
    <t>4.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</si>
  <si>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</si>
  <si>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</si>
  <si>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</si>
  <si>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</si>
  <si>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</si>
  <si>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>Belföldi értékpapírok kiadásai (6.1. + … + 6.4.)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</si>
  <si>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</si>
  <si>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</si>
  <si>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</si>
  <si>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</si>
  <si>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7.</t>
  </si>
  <si>
    <t>Belföldi finanszírozás kiadásai (7.1. + … + 7.4.)</t>
  </si>
  <si>
    <t>Államháztartáson belüli megelőlegezések folyósítása</t>
  </si>
  <si>
    <t>Államháztartáson belüli megelőlegezések visszafizetése</t>
  </si>
  <si>
    <t xml:space="preserve"> Pénzeszközök betétként elhelyezése 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</si>
  <si>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</si>
  <si>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</si>
  <si>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</si>
  <si>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</si>
  <si>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</si>
  <si>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</si>
  <si>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</si>
  <si>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10.</t>
  </si>
  <si>
    <t>KIADÁSOK ÖSSZESEN: (4+9)</t>
  </si>
  <si>
    <t>Működési célú központosított előirányzatok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</si>
  <si>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</si>
  <si>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</si>
  <si>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 xml:space="preserve"> Ezer forintban !</t>
  </si>
  <si>
    <t>Bevételek</t>
  </si>
  <si>
    <t>Kiadások</t>
  </si>
  <si>
    <t>Megnevezés</t>
  </si>
  <si>
    <t>F</t>
  </si>
  <si>
    <t>G</t>
  </si>
  <si>
    <t>H</t>
  </si>
  <si>
    <t>I</t>
  </si>
  <si>
    <t>Önkormányzatok működési támogatásai</t>
  </si>
  <si>
    <t>Személyi juttatások</t>
  </si>
  <si>
    <t>Működési célú támogatások államháztartáson belülről</t>
  </si>
  <si>
    <t>2.-ból EU-s támogatás</t>
  </si>
  <si>
    <t xml:space="preserve">Dologi kiadások </t>
  </si>
  <si>
    <t>Közhatalmi bevételek</t>
  </si>
  <si>
    <t>Működési célú átvett pénzeszközök</t>
  </si>
  <si>
    <t>5.-ből EU-s támogatás</t>
  </si>
  <si>
    <t>Tartalékok</t>
  </si>
  <si>
    <t>11.</t>
  </si>
  <si>
    <t>12.</t>
  </si>
  <si>
    <t>13.</t>
  </si>
  <si>
    <t>Költségvetési bevételek összesen (1.+2.+4.+5.+7.+…+12.)</t>
  </si>
  <si>
    <t>Költségvetési kiadások összesen (1.+...+12.)</t>
  </si>
  <si>
    <t>14.</t>
  </si>
  <si>
    <t>Hiány belső finanszírozásának bevételei (15.+…+18. )</t>
  </si>
  <si>
    <t>Értékpapír vásárlása, visszavásárlása</t>
  </si>
  <si>
    <t>15.</t>
  </si>
  <si>
    <t xml:space="preserve">   Költségvetési maradvány igénybevétele </t>
  </si>
  <si>
    <t>Likviditási célú hitelek törlesztése</t>
  </si>
  <si>
    <t>16.</t>
  </si>
  <si>
    <t xml:space="preserve">   Vállalkozási maradvány igénybevétele </t>
  </si>
  <si>
    <t>Rövid lejáratú hitelek törlesztése</t>
  </si>
  <si>
    <t>17.</t>
  </si>
  <si>
    <t xml:space="preserve">   Betét visszavonásából származó bevétel </t>
  </si>
  <si>
    <t>Hosszú lejáratú hitelek törlesztése</t>
  </si>
  <si>
    <t>18.</t>
  </si>
  <si>
    <t xml:space="preserve">   Egyéb belső finanszírozási bevételek</t>
  </si>
  <si>
    <t>Kölcsön törlesztése</t>
  </si>
  <si>
    <t>19.</t>
  </si>
  <si>
    <t xml:space="preserve">Hiány külső finanszírozásának bevételei (20.+…+21.) </t>
  </si>
  <si>
    <t>Forgatási célú belföldi, külföldi értékpapírok vásárlása</t>
  </si>
  <si>
    <t>20.</t>
  </si>
  <si>
    <t xml:space="preserve">   Likviditási célú hitelek, kölcsönök felvétele</t>
  </si>
  <si>
    <t>Betét elhelyezése</t>
  </si>
  <si>
    <t>21.</t>
  </si>
  <si>
    <t xml:space="preserve">   Értékpapírok bevételei</t>
  </si>
  <si>
    <t>Áht-on belüli megelőlegezések visszafizetése</t>
  </si>
  <si>
    <t>22.</t>
  </si>
  <si>
    <t>Működési célú finanszírozási bevételek összesen (14.+19.)</t>
  </si>
  <si>
    <t>Működési célú finanszírozási kiadások összesen (14.+...+21.)</t>
  </si>
  <si>
    <t>23.</t>
  </si>
  <si>
    <t>BEVÉTEL ÖSSZESEN (13.+22.)</t>
  </si>
  <si>
    <t>KIADÁSOK ÖSSZESEN (13.+22.)</t>
  </si>
  <si>
    <t>24.</t>
  </si>
  <si>
    <t>Költségvetési hiány:</t>
  </si>
  <si>
    <t>Költségvetési többlet:</t>
  </si>
  <si>
    <t>25.</t>
  </si>
  <si>
    <t>Tárgyévi  hiány:</t>
  </si>
  <si>
    <t>Tárgyévi  többlet:</t>
  </si>
  <si>
    <t>Felhalmozási célú támogatások államháztartáson belülről</t>
  </si>
  <si>
    <t>1.-ből EU-s támogatás</t>
  </si>
  <si>
    <t>1.-ből EU-s forrásból megvalósuló beruházás</t>
  </si>
  <si>
    <t>Felhalmozási bevételek</t>
  </si>
  <si>
    <t>Felhalmozási célú átvett pénzeszközök átvétele</t>
  </si>
  <si>
    <t>3.-ból EU-s forrásból megvalósuló felújítás</t>
  </si>
  <si>
    <t>4.-ből EU-s támogatás (közvetlen)</t>
  </si>
  <si>
    <t>Egyéb felhalmozási célú bevételek</t>
  </si>
  <si>
    <t>Költségvetési bevételek összesen: (1.+3.+4.+6.+…+11.)</t>
  </si>
  <si>
    <t>Költségvetési kiadások összesen: (1.+3.+5.+...+11.)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</si>
  <si>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</si>
  <si>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</si>
  <si>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</si>
  <si>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</si>
  <si>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</si>
  <si>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</si>
  <si>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</si>
  <si>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</si>
  <si>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</si>
  <si>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Hosszú lejáratú hitelek, kölcsönök felvétele</t>
  </si>
  <si>
    <t>Pénzügyi lízing kiadásai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</si>
  <si>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</si>
  <si>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</si>
  <si>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</si>
  <si>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</si>
  <si>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(13.+19.)</t>
  </si>
  <si>
    <t>Felhalmozási célú finanszírozási kiadások összesen (13.+...+24.)</t>
  </si>
  <si>
    <t>26.</t>
  </si>
  <si>
    <t>BEVÉTEL ÖSSZESEN (12+25)</t>
  </si>
  <si>
    <t>KIADÁSOK ÖSSZESEN (12+25)</t>
  </si>
  <si>
    <t>27.</t>
  </si>
  <si>
    <t>28.</t>
  </si>
  <si>
    <t>ELTÉRÉS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</si>
  <si>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</si>
  <si>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</si>
  <si>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</si>
  <si>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</si>
  <si>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G=(D+F)</t>
  </si>
  <si>
    <t>Járda építési terv (Hilltop)</t>
  </si>
  <si>
    <t>Út tervezési díj (Kápolna köz)</t>
  </si>
  <si>
    <t>ÖSSZESEN:</t>
  </si>
  <si>
    <t>Felújítási kiadások előirányzata felújításonként</t>
  </si>
  <si>
    <t>Felújítás  megnevezése</t>
  </si>
  <si>
    <r>
      <t>EU-s projekt neve, azonosítója:</t>
    </r>
    <r>
      <rPr>
        <sz val="12"/>
        <rFont val="Times New Roman"/>
        <family val="1"/>
        <charset val="238"/>
      </rPr>
      <t>*</t>
    </r>
  </si>
  <si>
    <t>Források</t>
  </si>
  <si>
    <t>Támogatási szerződés szerinti bevételek, kiadások</t>
  </si>
  <si>
    <t>Eredeti</t>
  </si>
  <si>
    <t>Módosított</t>
  </si>
  <si>
    <t>Évenkénti üteme</t>
  </si>
  <si>
    <t>Összes bevétel,
kiadás</t>
  </si>
  <si>
    <t>Összesen</t>
  </si>
  <si>
    <t>J</t>
  </si>
  <si>
    <t>K</t>
  </si>
  <si>
    <t>L=(J+K)</t>
  </si>
  <si>
    <t>M=(L/C)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</si>
  <si>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</si>
  <si>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</si>
  <si>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</si>
  <si>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</si>
  <si>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</si>
  <si>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</si>
  <si>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</si>
  <si>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</si>
  <si>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</si>
  <si>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</si>
  <si>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</si>
  <si>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</si>
  <si>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Kiadások összesen:</t>
  </si>
  <si>
    <t>* Amennyiben több projekt megvalósítása történi egy időben akkor azokat külön-külön, projektenként be kell mutatni!</t>
  </si>
  <si>
    <t>Támogatott neve</t>
  </si>
  <si>
    <t>Eredeti ei.</t>
  </si>
  <si>
    <t>Módosított ei.</t>
  </si>
  <si>
    <t>Összesen:</t>
  </si>
  <si>
    <t>Önkormányzat</t>
  </si>
  <si>
    <t>01</t>
  </si>
  <si>
    <t>Feladat
megnevezése</t>
  </si>
  <si>
    <t>Összes bevétel, kiadás</t>
  </si>
  <si>
    <t>Ezer forintban !</t>
  </si>
  <si>
    <t>Száma</t>
  </si>
  <si>
    <t>Előirányzat-csoport, kiemelt előirányzat megnevezése</t>
  </si>
  <si>
    <t>Felhalm. célú visszatérítendő tám., kölcsönök visszatér. ÁH-n kívülről</t>
  </si>
  <si>
    <t xml:space="preserve"> 10.</t>
  </si>
  <si>
    <t xml:space="preserve">    Rövid lejáratú  hitelek, kölcsönök felvétele</t>
  </si>
  <si>
    <t>BEVÉTELEK ÖSSZESEN: (9+16)</t>
  </si>
  <si>
    <t>Hitel-, kölcsöntörlesztés államháztartáson kívülre (5.1.+…+5.3.)</t>
  </si>
  <si>
    <t>Belföldi finanszírozás kiadásai (7.1. + … + 7.5.)</t>
  </si>
  <si>
    <t>Irányító szervi támogatás folyósítása (intézményfinanszírozás)</t>
  </si>
  <si>
    <t>7.5.</t>
  </si>
  <si>
    <t>Külföldi finanszírozás kiadásai (8.1. + … + 8.4.)</t>
  </si>
  <si>
    <t>Éves engedélyezett létszám előirányzat (fő)</t>
  </si>
  <si>
    <t>Közfoglalkoztatottak létszáma (fő)</t>
  </si>
  <si>
    <t xml:space="preserve">Kötelező feladatok </t>
  </si>
  <si>
    <t>02</t>
  </si>
  <si>
    <t>Éves engedélyezett létszám előirányzat  (fő)</t>
  </si>
  <si>
    <t xml:space="preserve">Önként vállalt feladatok </t>
  </si>
  <si>
    <t>03</t>
  </si>
  <si>
    <t>Államigazgatási feladatok</t>
  </si>
  <si>
    <t>04</t>
  </si>
  <si>
    <t>Költségvetési szerv megnevezése</t>
  </si>
  <si>
    <t>Polgármesteri /közös/ hivatal</t>
  </si>
  <si>
    <t>Feladat 
megnevezése</t>
  </si>
  <si>
    <t>Működési bevételek (1.1.+…+1.10.)</t>
  </si>
  <si>
    <t>Kiszámlázott általános forgalmi adó</t>
  </si>
  <si>
    <t>Általános forgalmi adó visszatérülése</t>
  </si>
  <si>
    <t>Működési célú támogatások államháztartáson belülről (2.1.+…+2.3.)</t>
  </si>
  <si>
    <t>Visszatérítendő támogatások, kölcsönök visszatérülése ÁH-n belülről</t>
  </si>
  <si>
    <t>Egyéb működési célú támogatások bevételei államháztartáson belülről</t>
  </si>
  <si>
    <t xml:space="preserve"> - 2.3-ból EU-s támogatás</t>
  </si>
  <si>
    <t>Felhalmozási célú támogatások államháztartáson belülről (4.1.+4.2.)</t>
  </si>
  <si>
    <t>Egyéb felhalmozási célú támogatások bevételei államháztartáson belülről</t>
  </si>
  <si>
    <t>- 4.2-ből EU-s támogatás</t>
  </si>
  <si>
    <t>Felhalmozási bevételek (5.1.+…+5.3.)</t>
  </si>
  <si>
    <t>Felhalmozási célú átvett pénzeszközök</t>
  </si>
  <si>
    <t>KÖLTSÉGVETÉSI BEVÉTELEK ÖSSZESEN: (1.+…+7.)</t>
  </si>
  <si>
    <t>Finanszírozási bevételek (9.1.+…+9.3.)</t>
  </si>
  <si>
    <t>9.1.</t>
  </si>
  <si>
    <t>9.2.</t>
  </si>
  <si>
    <t>Vállalkozási maradvány igénybevétele</t>
  </si>
  <si>
    <t>9.3.</t>
  </si>
  <si>
    <t>Irányító szervi (önkormányzati) támogatás (intézményfinanszírozás)</t>
  </si>
  <si>
    <t>BEVÉTELEK ÖSSZESEN: (8.+9.)</t>
  </si>
  <si>
    <t>Működési költségvetés kiadásai (1.1+…+1.5.)</t>
  </si>
  <si>
    <t>Felhalmozási költségvetés kiadásai (2.1.+…+2.3.)</t>
  </si>
  <si>
    <t>Egyéb fejlesztési célú kiadások</t>
  </si>
  <si>
    <t xml:space="preserve"> - 2.3-ból EU-s forrásból tám. megvalósuló programok, projektek kiadásai</t>
  </si>
  <si>
    <t>KIADÁSOK ÖSSZESEN: (1.+2.)</t>
  </si>
  <si>
    <t>Önként vállalt feladatok</t>
  </si>
  <si>
    <t>Költségvetési szerv I.</t>
  </si>
  <si>
    <t>Feladat megnevezése</t>
  </si>
  <si>
    <t xml:space="preserve"> - 2.3.-ból EU-s támogatás</t>
  </si>
  <si>
    <t>- 4.2.-ből EU-s támogatás</t>
  </si>
  <si>
    <t>Költségvetési bevételek összesen (1.+…+7.)</t>
  </si>
  <si>
    <t xml:space="preserve"> - 2.3.-ból EU-s forrásból tám. megvalósuló programok, projektek kiadásai</t>
  </si>
  <si>
    <t>Kötelező feladatok</t>
  </si>
  <si>
    <t xml:space="preserve">Államigazgatási feladatok </t>
  </si>
  <si>
    <t>Költségvetési szerv II.</t>
  </si>
  <si>
    <t>Költségvetési szerv III.</t>
  </si>
  <si>
    <t>05</t>
  </si>
  <si>
    <t>Államigazgataási feladatok</t>
  </si>
  <si>
    <t>Sor-szám</t>
  </si>
  <si>
    <t>Költségvetési szerv neve</t>
  </si>
  <si>
    <t>Költségvetési maradvány összege</t>
  </si>
  <si>
    <t>Elvonás
(-)</t>
  </si>
  <si>
    <t>Intézményt megillető maradvány</t>
  </si>
  <si>
    <t>Jóváhagyott</t>
  </si>
  <si>
    <t>Jóváhagyott-ból működési</t>
  </si>
  <si>
    <t>Jóváhagyott-ból felhalmozási</t>
  </si>
  <si>
    <r>
      <t>E=(C</t>
    </r>
    <r>
      <rPr>
        <b/>
        <sz val="8"/>
        <rFont val="Arial"/>
        <family val="2"/>
        <charset val="238"/>
      </rPr>
      <t>-D</t>
    </r>
    <r>
      <rPr>
        <b/>
        <sz val="8"/>
        <rFont val="Times New Roman CE"/>
        <family val="1"/>
        <charset val="238"/>
      </rPr>
      <t>)</t>
    </r>
  </si>
  <si>
    <t>Óvoda</t>
  </si>
  <si>
    <t>Közös Hivatal</t>
  </si>
  <si>
    <t>29.</t>
  </si>
  <si>
    <t>30.</t>
  </si>
  <si>
    <t>31.</t>
  </si>
  <si>
    <t>1. sz. táblázat</t>
  </si>
  <si>
    <t>Elszámolásból adódó bevételek</t>
  </si>
  <si>
    <t>Működési célú visszatérítendő támogatások kölcsönök visszatér. ÁH-n kívülről</t>
  </si>
  <si>
    <t>Felhalm. célú visszatérítendő támogatások kölcsönök visszatér. ÁH-n kívülről</t>
  </si>
  <si>
    <t>Hitel-, kölcsönfelvétel államháztartáson kívülről  (10.1.+…+10.3.)</t>
  </si>
  <si>
    <r>
      <t xml:space="preserve">Működési költségvetés kiadásai </t>
    </r>
    <r>
      <rPr>
        <sz val="8"/>
        <rFont val="Times New Roman CE"/>
        <charset val="238"/>
      </rPr>
      <t>(1.1+…+1.5.)</t>
    </r>
  </si>
  <si>
    <r>
      <t xml:space="preserve">Felhalmozási költségvetés kiadásai </t>
    </r>
    <r>
      <rPr>
        <sz val="8"/>
        <rFont val="Times New Roman CE"/>
        <charset val="238"/>
      </rPr>
      <t>(2.1.+2.3.+2.5.)</t>
    </r>
  </si>
  <si>
    <t>Hosszú lejáratú hitelek, kölcsönök törlesztése</t>
  </si>
  <si>
    <t>Likviditási célú hitelek, kölcsönök törlesztése pénzügyi vállalkozásnak</t>
  </si>
  <si>
    <t>Rövid lejáratú hitelek, kölcsönök törlesztése</t>
  </si>
  <si>
    <t>Forgatási célú belföldi értékpapírok vásárlása</t>
  </si>
  <si>
    <t>Forgatási célú belföldi értékpapírok beváltása</t>
  </si>
  <si>
    <t>Befektetési célú belföldi értékpapírok vásárlása</t>
  </si>
  <si>
    <t>Befektetési célú belföldi értékpapírok beváltása</t>
  </si>
  <si>
    <t xml:space="preserve">Pénzeszközök betétként elhelyezése </t>
  </si>
  <si>
    <t>Kötelezettség
jogcíme</t>
  </si>
  <si>
    <t>Kötelezettség- 
vállalás 
éve</t>
  </si>
  <si>
    <t>Összes vállalt kötelezettség</t>
  </si>
  <si>
    <t>Kötelezettségek a következő években</t>
  </si>
  <si>
    <t>Még fennálló kötelezettség</t>
  </si>
  <si>
    <t xml:space="preserve">B </t>
  </si>
  <si>
    <t>J=(F+…+I)</t>
  </si>
  <si>
    <t>Működési célú
hiteltörlesztés (tőke+kamat)</t>
  </si>
  <si>
    <t>............................</t>
  </si>
  <si>
    <t>Felhalmozási célú
hiteltörlesztés (tőke+kamat)</t>
  </si>
  <si>
    <t>Beruházás feladatonként</t>
  </si>
  <si>
    <t>Felújítás célonként</t>
  </si>
  <si>
    <t>Egyéb</t>
  </si>
  <si>
    <t>Összesen (1+4+7+9+11)</t>
  </si>
  <si>
    <t xml:space="preserve">Hitel, kölcsön </t>
  </si>
  <si>
    <t>Kölcsön-
nyújtás
éve</t>
  </si>
  <si>
    <t xml:space="preserve">Lejárat
éve </t>
  </si>
  <si>
    <t>Hitel, kölcsön állomány december 31-én</t>
  </si>
  <si>
    <t xml:space="preserve">Rövid lejáratú </t>
  </si>
  <si>
    <t>Hosszú lejáratú</t>
  </si>
  <si>
    <t>Összesen (1+8)</t>
  </si>
  <si>
    <t>Ezer forintban!</t>
  </si>
  <si>
    <t xml:space="preserve">Adósságállomány 
eszközök szerint </t>
  </si>
  <si>
    <t>Nem lejárt</t>
  </si>
  <si>
    <t>Lejárt</t>
  </si>
  <si>
    <t>Nem lejárt, lejárt összes tartozás</t>
  </si>
  <si>
    <t>1-90 nap közötti</t>
  </si>
  <si>
    <t>91-180 nap közötti</t>
  </si>
  <si>
    <t>181-360 nap közötti</t>
  </si>
  <si>
    <t>360 napon 
túli</t>
  </si>
  <si>
    <t>Összes lejárt tartozás</t>
  </si>
  <si>
    <t>H=(D+…+G)</t>
  </si>
  <si>
    <t>I=(C+H)</t>
  </si>
  <si>
    <t>I. Belföldi hitelezők</t>
  </si>
  <si>
    <t>Adóhatósággal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</si>
  <si>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</si>
  <si>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</si>
  <si>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</si>
  <si>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</si>
  <si>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Szállítói tartozás</t>
  </si>
  <si>
    <t>Egyéb adósság</t>
  </si>
  <si>
    <t>Belföldi összesen:</t>
  </si>
  <si>
    <t>II. Külföldi hitelezők</t>
  </si>
  <si>
    <t>Külföldi szállítók</t>
  </si>
  <si>
    <t>Külföldi összesen:</t>
  </si>
  <si>
    <t>Adósságállomány mindösszesen:</t>
  </si>
  <si>
    <t>Tervezett</t>
  </si>
  <si>
    <t>Tényleges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</si>
  <si>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</si>
  <si>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</si>
  <si>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</si>
  <si>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</si>
  <si>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</si>
  <si>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</si>
  <si>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</si>
  <si>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</si>
  <si>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</si>
  <si>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</si>
  <si>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</si>
  <si>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</si>
  <si>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menteség</t>
  </si>
  <si>
    <t>Eszközök hasznosítása utáni kedvezmény, menteség</t>
  </si>
  <si>
    <t>Egyéb kedvezmény</t>
  </si>
  <si>
    <t>Egyéb kölcsön elengedése</t>
  </si>
  <si>
    <t>A helyi adókból biztosított kedvezményeket, mentességeket, adónemenként kell feltüntetni.</t>
  </si>
  <si>
    <t>Támogatott szervezet neve</t>
  </si>
  <si>
    <t>Támogatás célja</t>
  </si>
  <si>
    <t>Tervezett 
(E Ft)</t>
  </si>
  <si>
    <t>Tényleges 
(E Ft)</t>
  </si>
  <si>
    <t>32.</t>
  </si>
  <si>
    <t>33.</t>
  </si>
  <si>
    <t>ESZKÖZÖK</t>
  </si>
  <si>
    <t>Sorszám</t>
  </si>
  <si>
    <t>Bruttó</t>
  </si>
  <si>
    <t xml:space="preserve">Könyv szerinti </t>
  </si>
  <si>
    <t xml:space="preserve">Becsült </t>
  </si>
  <si>
    <t>állományi érték</t>
  </si>
  <si>
    <t xml:space="preserve">A </t>
  </si>
  <si>
    <t xml:space="preserve"> I. Immateriális javak </t>
  </si>
  <si>
    <t>01.</t>
  </si>
  <si>
    <t>II. Tárgyi eszközök (03+08+13+18+23)</t>
  </si>
  <si>
    <t>02.</t>
  </si>
  <si>
    <t>1. Ingatlanok és kapcsolódó vagyoni értékű jogok   (04+05+06+07)</t>
  </si>
  <si>
    <t>03.</t>
  </si>
  <si>
    <t>1.1. Forgalomképtelen ingatlanok és kapcsolódó vagyoni értékű jogok</t>
  </si>
  <si>
    <t>04.</t>
  </si>
  <si>
    <t>1.2. Nemzetgazdasági szempontból kiemelt jelentőségű ingatlanok és kapcsolódó 
       vagyoni értékű jogok</t>
  </si>
  <si>
    <t>05.</t>
  </si>
  <si>
    <t>1.3. Korlátozottan forgalomképes ingatlanok és kapcsolódó vagyoni értékű jogok</t>
  </si>
  <si>
    <t>06.</t>
  </si>
  <si>
    <t>1.4. Üzleti ingatlanok és kapcsolódó vagyoni értékű jogok</t>
  </si>
  <si>
    <t>07.</t>
  </si>
  <si>
    <t>2. Gépek, berendezések, felszerelések, járművek (09+10+11+12)</t>
  </si>
  <si>
    <t>08.</t>
  </si>
  <si>
    <t>2.1. Forgalomképtelen gépek, berendezések, felszerelések, járművek</t>
  </si>
  <si>
    <t>09.</t>
  </si>
  <si>
    <t>2.2. Nemzetgazdasági szempontból kiemelt jelentőségű gépek, berendezések, 
       felszerelések, járművek</t>
  </si>
  <si>
    <t>2.3. Korlátozottan forgalomképes gépek, berendezések, felszerelések, járművek</t>
  </si>
  <si>
    <t>2.4. Üzleti gépek, berendezések, felszerelések, járművek</t>
  </si>
  <si>
    <t>3. Tenyészállatok (14+15+16+17)</t>
  </si>
  <si>
    <t>3.1. Forgalomképtelen tenyészállatok</t>
  </si>
  <si>
    <t>3.2. Nemzetgazdasági szempontból kiemelt jelentőségű tenyészállatok</t>
  </si>
  <si>
    <t>3.3. Korlátozottan forgalomképes tenyészállatok</t>
  </si>
  <si>
    <t>3.4. Üzleti tenyészállatok</t>
  </si>
  <si>
    <t>4. Beruházások, felújítások (19+20+21+22)</t>
  </si>
  <si>
    <t>4.1. Forgalomképtelen beruházások, felújítások</t>
  </si>
  <si>
    <t>4.2. Nemzetgazdasági szempontból kiemelt jelentőségű beruházások, felújítások</t>
  </si>
  <si>
    <t>4.3. Korlátozottan forgalomképes beruházások, felújítások</t>
  </si>
  <si>
    <t>4.4. Üzleti beruházások, felújítások</t>
  </si>
  <si>
    <t>5. Tárgyi eszközök értékhelyesbítése (24+25+26+27)</t>
  </si>
  <si>
    <t>5.1. Forgalomképtelen tárgyi eszközök értékhelyesbítése</t>
  </si>
  <si>
    <t>5.2. Nemzetgazdasági szempontból kiemelt jelentőségű tárgyi eszközök 
       értékhelyesbítése</t>
  </si>
  <si>
    <t>5.3. Korlátozottan forgalomképes tárgyi eszközök értékhelyesbítése</t>
  </si>
  <si>
    <t>5.4. Üzleti tárgyi eszközök értékhelyesbítése</t>
  </si>
  <si>
    <t>III. Befektetett pénzügyi eszközök (29+34+39)</t>
  </si>
  <si>
    <t>1. Tartós részesedések (30+31+32+33)</t>
  </si>
  <si>
    <t>1.1. Forgalomképtelen tartós részesedések</t>
  </si>
  <si>
    <t>1.2. Nemzetgazdasági szempontból kiemelt jelentőségű tartós részesedések</t>
  </si>
  <si>
    <t>1.3. Korlátozottan forgalomképes tartós részesedések</t>
  </si>
  <si>
    <t>1.4. Üzleti tartós részesedések</t>
  </si>
  <si>
    <t>2. Tartós hitelviszonyt megtestesítő értékpapírok (35+36+37+38)</t>
  </si>
  <si>
    <t>34.</t>
  </si>
  <si>
    <t>2.1. Forgalomképtelen tartós hitelviszonyt megtestesítő értékpapírok</t>
  </si>
  <si>
    <t>35.</t>
  </si>
  <si>
    <t>2.2. Nemzetgazdasági szempontból kiemelt jelentőségű tartós hitelviszonyt 
       megtestesítő értékpapírok</t>
  </si>
  <si>
    <t>36.</t>
  </si>
  <si>
    <t>2.3. Korlátozottan forgalomképes tartós hitelviszonyt megtestesítő értékpapírok</t>
  </si>
  <si>
    <t>37.</t>
  </si>
  <si>
    <t>2.4. Üzleti tartós hitelviszonyt megtestesítő értékpapírok</t>
  </si>
  <si>
    <t>38.</t>
  </si>
  <si>
    <t>3. Befektetett pénzügyi eszközök értékhelyesbítése (40+41+42+43)</t>
  </si>
  <si>
    <t>39.</t>
  </si>
  <si>
    <t>3.1. Forgalomképtelen befektetett pénzügyi eszközök értékhelyesbítése</t>
  </si>
  <si>
    <t>40.</t>
  </si>
  <si>
    <t>3.2. Nemzetgazdasági szempontból kiemelt jelentőségű befektetett pénzügyi 
       eszközök értékhelyesbítése</t>
  </si>
  <si>
    <t>41.</t>
  </si>
  <si>
    <t>3.3. Korlátozottan forgalomképes befektetett pénzügyi eszközök értékhelyesbítése</t>
  </si>
  <si>
    <t>42.</t>
  </si>
  <si>
    <t>3.4. Üzleti befektetett pénzügyi eszközök értékhelyesbítése</t>
  </si>
  <si>
    <t>43.</t>
  </si>
  <si>
    <t>IV. Koncesszióba, vagyonkezelésbe adott eszközök</t>
  </si>
  <si>
    <t>44.</t>
  </si>
  <si>
    <t>A) NEMZETI VAGYONBA TARTOZÓ BEFEKTETETT ESZKÖZÖK 
     (01+02+28+44)</t>
  </si>
  <si>
    <t>45.</t>
  </si>
  <si>
    <t>I. Készletek</t>
  </si>
  <si>
    <t>46.</t>
  </si>
  <si>
    <t>II. Értékpapírok</t>
  </si>
  <si>
    <t>47.</t>
  </si>
  <si>
    <t>B) NEMZETI VAGYONBA TARTOZÓ FORGÓESZKÖZÖK (46+47)</t>
  </si>
  <si>
    <t>48.</t>
  </si>
  <si>
    <t>I. Lekötött bankbetétek</t>
  </si>
  <si>
    <t>49.</t>
  </si>
  <si>
    <t>II. Pénztárak, csekkek, betétkönyvek</t>
  </si>
  <si>
    <t>50.</t>
  </si>
  <si>
    <t>III. Forintszámlák</t>
  </si>
  <si>
    <t>51.</t>
  </si>
  <si>
    <t>IV. Devizaszámlák</t>
  </si>
  <si>
    <t>52.</t>
  </si>
  <si>
    <t>C) PÉNZESZKÖZÖK (49+50+51+52)</t>
  </si>
  <si>
    <t>53.</t>
  </si>
  <si>
    <t>I. Költségvetési évben esedékes követelések</t>
  </si>
  <si>
    <t>54.</t>
  </si>
  <si>
    <t>II. Költségvetési évet követően esedékes követelések</t>
  </si>
  <si>
    <t>55.</t>
  </si>
  <si>
    <t>III. Követelés jellegű sajátos elszámolások</t>
  </si>
  <si>
    <t>56.</t>
  </si>
  <si>
    <t>D) KÖVETELÉSEK (54+55+56)</t>
  </si>
  <si>
    <t>57.</t>
  </si>
  <si>
    <t>I. December havi illetmények, munkabérek elszámolása</t>
  </si>
  <si>
    <t>58.</t>
  </si>
  <si>
    <t>59.</t>
  </si>
  <si>
    <t>E) EGYÉB SAJÁTOS ESZKÖZOLDALI ELSZÁMOLÁSOK (58+59)</t>
  </si>
  <si>
    <t>60.</t>
  </si>
  <si>
    <t>F) AKTÍV IDŐBELI ELHATÁROLÁSOK</t>
  </si>
  <si>
    <t>61.</t>
  </si>
  <si>
    <t>ESZKÖZÖK ÖSSZESEN  (45+48+53+57+60+61)</t>
  </si>
  <si>
    <t>62.</t>
  </si>
  <si>
    <t>VAGYONKIMUTATÁS
a könyvviteli mérlegben értékkel szereplő forrásokról</t>
  </si>
  <si>
    <t>FORRÁSOK</t>
  </si>
  <si>
    <t>állományi 
érték</t>
  </si>
  <si>
    <t>I. Nemzeti vagyon induláskori értéke</t>
  </si>
  <si>
    <t>II. Nemzeti vagyon változásai</t>
  </si>
  <si>
    <t>III. Egyéb eszközök induláskori értéke és változásai</t>
  </si>
  <si>
    <t>IV. Felhalmozott eredmény</t>
  </si>
  <si>
    <t>V. Eszközök értékhelyesbítésének forrása</t>
  </si>
  <si>
    <t>VI. Mérleg szerinti eredmény</t>
  </si>
  <si>
    <t>G) SAJÁT TŐKE (01+….+06)</t>
  </si>
  <si>
    <t>I. Költségvetési évben esedékes kötelezettségek</t>
  </si>
  <si>
    <t>II. Költségvetési évet követően esedékes kötelezettségek</t>
  </si>
  <si>
    <t>III. Kötelezettség jellegű sajátos elszámolások</t>
  </si>
  <si>
    <t>H) KÖTELEZETTSÉGEK (08+09+10)</t>
  </si>
  <si>
    <t>I) KINCSTÁRI SZÁMLAVEZETÉSSEL KAPCSOLATOS ELSZÁMOLÁSOK</t>
  </si>
  <si>
    <t>J) PASSZÍV IDŐBELI ELHATÁROLÁSOK</t>
  </si>
  <si>
    <t>FORRÁSOK ÖSSZESEN  (07+11+12+13)</t>
  </si>
  <si>
    <t>Mennyiség
(db)</t>
  </si>
  <si>
    <t>Értéke
(E Ft)</t>
  </si>
  <si>
    <t>„0”-ra leírt eszközök</t>
  </si>
  <si>
    <t>Használatban lévő kisértékű immateriális javak</t>
  </si>
  <si>
    <t>Használatban lévő kisértékű tárgyi eszközök</t>
  </si>
  <si>
    <t>Készletek</t>
  </si>
  <si>
    <t>01 számlacsoportban nyilvántartott befektetett eszközök (6+…+9)</t>
  </si>
  <si>
    <t>Államháztartáson belüli vagyonkezelésbe adott eszközök</t>
  </si>
  <si>
    <t>Bérbe vett befektetett eszközök</t>
  </si>
  <si>
    <t>Letétbe, bizományba, üzemeltetésre átvett befektetett eszközök</t>
  </si>
  <si>
    <t> PPP konstrukcióban használt befektetett eszközök</t>
  </si>
  <si>
    <t> 02 számlacsoportban nyilvántartott készletek (11+…+13)</t>
  </si>
  <si>
    <t> Bérbe vett készletek</t>
  </si>
  <si>
    <t> Letétbe bizományba átvett készletek</t>
  </si>
  <si>
    <t> Intervenciós készletek</t>
  </si>
  <si>
    <t>Gyűjtemény, régészeti lelet* (15+…+17)</t>
  </si>
  <si>
    <t>Közgyűjtemény</t>
  </si>
  <si>
    <t> Saját gyűjteményben nyilvántartott kulturális javak</t>
  </si>
  <si>
    <t> Régészeti lelet</t>
  </si>
  <si>
    <t> Egyéb érték nélkül nyilvántartott eszközök</t>
  </si>
  <si>
    <t>Összesen (1+…+4)+5+10+14+(18+…+31):</t>
  </si>
  <si>
    <t>* Nvt. 1. § (2) bekezdés g) és h) pontja szerinti kulturális javak és régészeti eszközök</t>
  </si>
  <si>
    <t>Nyilvántartott függő követelések, kötelezettségek
(db)</t>
  </si>
  <si>
    <t>Támogatási célú előlegekkel kapcsolatos elszámolási követelések</t>
  </si>
  <si>
    <t>Egyéb függő követelések</t>
  </si>
  <si>
    <t>Biztos (jövőbeni) követelések</t>
  </si>
  <si>
    <t>Függő és biztos (jövőbeni) követelések (1+…+3)</t>
  </si>
  <si>
    <t>Kezességgel-, garanciavállalással kapcsolatos függő kötelezettségek</t>
  </si>
  <si>
    <t>Peres ügyekkel kapcsolatos függő kötelezettségek</t>
  </si>
  <si>
    <t>El nem ismert tartozások</t>
  </si>
  <si>
    <t>Támogatási célú előlegekkel kapcsolatos elszámolási kötelezettségek</t>
  </si>
  <si>
    <t>Egyéb függő kötelezettségek</t>
  </si>
  <si>
    <t>Függő kötelezettségek (5+…+9)</t>
  </si>
  <si>
    <t>Összesen (4+10)+(11+…+33):</t>
  </si>
  <si>
    <t>Gazdálkodó szervezet megnevezése</t>
  </si>
  <si>
    <t>Részesedés mértéke (%-ban)</t>
  </si>
  <si>
    <t>Részesedés összege (Ft-ban)</t>
  </si>
  <si>
    <t>Működésből származó kötelezettségek összege XII. 31-én
 (Ft-ban)</t>
  </si>
  <si>
    <t xml:space="preserve">       ÖSSZESEN:</t>
  </si>
  <si>
    <t>PÉNZESZKÖZÖK VÁLTOZÁSÁNAK LEVEZETÉSE</t>
  </si>
  <si>
    <r>
      <t xml:space="preserve"> </t>
    </r>
    <r>
      <rPr>
        <sz val="10"/>
        <rFont val="Times New Roman CE"/>
        <family val="1"/>
        <charset val="238"/>
      </rPr>
      <t>Bankszámlák egyenlege</t>
    </r>
  </si>
  <si>
    <r>
      <t xml:space="preserve"> </t>
    </r>
    <r>
      <rPr>
        <sz val="10"/>
        <rFont val="Times New Roman CE"/>
        <family val="1"/>
        <charset val="238"/>
      </rPr>
      <t>Pénztárak és betétkönyvek egyenlege</t>
    </r>
  </si>
  <si>
    <t>Bevételek   ( + )</t>
  </si>
  <si>
    <t>Kiadások    ( - )</t>
  </si>
  <si>
    <t>Rovat megnevezése</t>
  </si>
  <si>
    <t>Rovat-szám</t>
  </si>
  <si>
    <t>Kormányzati funkció száma és elnevezése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</si>
  <si>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</si>
  <si>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</si>
  <si>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</si>
  <si>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</si>
  <si>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</si>
  <si>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</si>
  <si>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</si>
  <si>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</si>
  <si>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</si>
  <si>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</si>
  <si>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</si>
  <si>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</si>
  <si>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</si>
  <si>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</si>
  <si>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</si>
  <si>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</si>
  <si>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</si>
  <si>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</si>
  <si>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</si>
  <si>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</si>
  <si>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</si>
  <si>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</si>
  <si>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</si>
  <si>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</si>
  <si>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</si>
  <si>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</si>
  <si>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</si>
  <si>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</si>
  <si>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</si>
  <si>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</si>
  <si>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</si>
  <si>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</si>
  <si>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juttatásai(&gt;=14)</t>
  </si>
  <si>
    <t>K1113</t>
  </si>
  <si>
    <t>14</t>
  </si>
  <si>
    <t>ebből:biztosítási díjak</t>
  </si>
  <si>
    <t>15</t>
  </si>
  <si>
    <t>Foglalkoztatottak személyi juttatásai (=01+…+13)</t>
  </si>
  <si>
    <t>K11</t>
  </si>
  <si>
    <t>16</t>
  </si>
  <si>
    <t>Választott tisztségviselők juttatásai</t>
  </si>
  <si>
    <t>K121</t>
  </si>
  <si>
    <t>17</t>
  </si>
  <si>
    <t>Munkavégzésre irányuló egyéb jogviszonyban nem saját foglalkoztatottnak fizetett juttatások</t>
  </si>
  <si>
    <t>K122</t>
  </si>
  <si>
    <t>18</t>
  </si>
  <si>
    <t>Egyéb külső személyi juttatások</t>
  </si>
  <si>
    <t>K123</t>
  </si>
  <si>
    <t>19</t>
  </si>
  <si>
    <t>Külső személyi juttatások (=16+17+18)</t>
  </si>
  <si>
    <t>K12</t>
  </si>
  <si>
    <t>20</t>
  </si>
  <si>
    <t>Személyi juttatások (=15+19)</t>
  </si>
  <si>
    <t>K1</t>
  </si>
  <si>
    <t xml:space="preserve">Munkaadókat terhelő járulékok és szociális hozzájárulási adó (=22+…+28)                                                                          </t>
  </si>
  <si>
    <t>K2</t>
  </si>
  <si>
    <t>ebből: szociális hozzájárulási adó</t>
  </si>
  <si>
    <t>ebből: rehabilitációs hozzájárulás</t>
  </si>
  <si>
    <t>ebből: korkedvezmény-biztosítási járulék</t>
  </si>
  <si>
    <t>ebből: egészségügyi hozzájárulás</t>
  </si>
  <si>
    <t>ebből: táppénz hozzájárulás</t>
  </si>
  <si>
    <t>ebből: munkaadót a foglalkoztatottak részére történő kifizetésekkel kapcsolatban terhelő más járulék jellegű kötelezettségek</t>
  </si>
  <si>
    <t>ebből: munkáltatót terhelő személyi jövedelemadó</t>
  </si>
  <si>
    <t>29</t>
  </si>
  <si>
    <t>Szakmai anyagok beszerzése</t>
  </si>
  <si>
    <t>K311</t>
  </si>
  <si>
    <t>30</t>
  </si>
  <si>
    <t>Üzemeltetési anyagok beszerzése</t>
  </si>
  <si>
    <t>K312</t>
  </si>
  <si>
    <t>31</t>
  </si>
  <si>
    <t>Árubeszerzés</t>
  </si>
  <si>
    <t>K313</t>
  </si>
  <si>
    <t>32</t>
  </si>
  <si>
    <t>Készletbeszerzés (=29+30+31)</t>
  </si>
  <si>
    <t>K31</t>
  </si>
  <si>
    <t>33</t>
  </si>
  <si>
    <t>Informatikai szolgáltatások igénybevétele</t>
  </si>
  <si>
    <t>K321</t>
  </si>
  <si>
    <t>34</t>
  </si>
  <si>
    <t>Egyéb kommunikációs szolgáltatások</t>
  </si>
  <si>
    <t>K322</t>
  </si>
  <si>
    <t>35</t>
  </si>
  <si>
    <t>Kommunikációs szolgáltatások (=33+34)</t>
  </si>
  <si>
    <t>K32</t>
  </si>
  <si>
    <t>36</t>
  </si>
  <si>
    <t>Közüzemi díjak</t>
  </si>
  <si>
    <t>K331</t>
  </si>
  <si>
    <t>37</t>
  </si>
  <si>
    <t>Vásárolt élelmezés</t>
  </si>
  <si>
    <t>K332</t>
  </si>
  <si>
    <t>38</t>
  </si>
  <si>
    <t>Bérleti és lízing díjak (&gt;=39)</t>
  </si>
  <si>
    <t>K333</t>
  </si>
  <si>
    <t>39</t>
  </si>
  <si>
    <t>ebből: a közszféra és a magánszféra együttműködésén (PPP) alapuló szerződéses konstrukció</t>
  </si>
  <si>
    <t>40</t>
  </si>
  <si>
    <t>Karbantartási, kisjavítási szolgáltatások</t>
  </si>
  <si>
    <t>K334</t>
  </si>
  <si>
    <t>41</t>
  </si>
  <si>
    <t>Közvetített szolgáltatások  (&gt;=42)</t>
  </si>
  <si>
    <t>K335</t>
  </si>
  <si>
    <t>42</t>
  </si>
  <si>
    <t>ebből: államháztartáson belül</t>
  </si>
  <si>
    <t>43</t>
  </si>
  <si>
    <t xml:space="preserve">Szakmai tevékenységet segítő szolgáltatások </t>
  </si>
  <si>
    <t>K336</t>
  </si>
  <si>
    <t>44</t>
  </si>
  <si>
    <t xml:space="preserve">Egyéb szolgáltatások </t>
  </si>
  <si>
    <t>K337</t>
  </si>
  <si>
    <t>Szolgáltatási kiadások (=36+37+38+40+41+43+44)</t>
  </si>
  <si>
    <t>K33</t>
  </si>
  <si>
    <t>Kiküldetések kiadásai</t>
  </si>
  <si>
    <t>K341</t>
  </si>
  <si>
    <t>Reklám- és propagandakiadások</t>
  </si>
  <si>
    <t>K342</t>
  </si>
  <si>
    <t>Kiküldetések, reklám- és propagandakiadások (=46+47)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</si>
  <si>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</si>
  <si>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</si>
  <si>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</si>
  <si>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</si>
  <si>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</si>
  <si>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Kamatkiadások   (&gt;=52+53)</t>
  </si>
  <si>
    <t>K353</t>
  </si>
  <si>
    <t>ebből: fedezeti ügyletek kamatkiadásai</t>
  </si>
  <si>
    <t>Egyéb pénzügyi műveletek kiadásai  (&gt;=55+…+57)</t>
  </si>
  <si>
    <t>K354</t>
  </si>
  <si>
    <t>ebből: valuta, deviza eszközök realizált árfolyamvesztesége</t>
  </si>
  <si>
    <t>ebből: hitelviszonyt megtestesítő értékpapírok árfolyamkülönbözete</t>
  </si>
  <si>
    <t>ebből: deviza kötelezettségek realizált árfolyamvesztesége</t>
  </si>
  <si>
    <t>Egyéb dologi kiadások</t>
  </si>
  <si>
    <t>K355</t>
  </si>
  <si>
    <t>Különféle befizetések és egyéb dologi kiadások (=49+50+51+54+58)</t>
  </si>
  <si>
    <t>K35</t>
  </si>
  <si>
    <t>Dologi kiadások (=32+35+45+48+59)</t>
  </si>
  <si>
    <t>K3</t>
  </si>
  <si>
    <t>Társadalombiztosítási ellátások</t>
  </si>
  <si>
    <t>K41</t>
  </si>
  <si>
    <t>Családi támogatások (=63+…+73)</t>
  </si>
  <si>
    <t>K42</t>
  </si>
  <si>
    <t>ebből: családi pótlék</t>
  </si>
  <si>
    <t>ebből: anyasági támogatás</t>
  </si>
  <si>
    <t>ebből: gyermekgondozási segély</t>
  </si>
  <si>
    <t>ebből: gyermeknevelési támogatás</t>
  </si>
  <si>
    <t>ebből: gyermekek születésével kapcsolatos szabadság megtérítése</t>
  </si>
  <si>
    <t>ebből: életkezdési támogatás</t>
  </si>
  <si>
    <t>ebből: otthonteremtési támogatás</t>
  </si>
  <si>
    <t>ebből: gyermektartásdíj megelőlegezése</t>
  </si>
  <si>
    <t>ebből: GYES-en és GYED-en lévők hallgatói hitelének célzott támogatása</t>
  </si>
  <si>
    <t>ebből: óvodáztatási támogatás [Gyvt. 20/C. §]</t>
  </si>
  <si>
    <t xml:space="preserve">ebből:  az egyéb pénzbeli és természetbeni gyermekvédelmi támogatások </t>
  </si>
  <si>
    <t>Pénzbeli kárpótlások, kártérítések</t>
  </si>
  <si>
    <t>K43</t>
  </si>
  <si>
    <t>Betegséggel kapcsolatos (nem társadalombiztosítási) ellátások (=76+…+82)</t>
  </si>
  <si>
    <t>K44</t>
  </si>
  <si>
    <t>ebből: ápolási díj</t>
  </si>
  <si>
    <t>ebből: fogyatékossági támogatás és vakok személyi járadéka</t>
  </si>
  <si>
    <t>ebből: mozgáskorlátozottak szerzési és átalakítási támogatása</t>
  </si>
  <si>
    <t>ebből: megváltozott munkaképességűek illetve egészségkárosodottak kereset-kiegészítése</t>
  </si>
  <si>
    <t>ebből: kormányhivatalok által folyósított közgyógyellátás [Szoctv.50.§ (1)-(2) bek.]</t>
  </si>
  <si>
    <t>ebből: cukorbetegek támogatása</t>
  </si>
  <si>
    <t xml:space="preserve">ebből: helyi megállapítású közgyógyellátás [Szoctv.50.§ (3) bek.] </t>
  </si>
  <si>
    <t>Foglalkoztatással, munkanélküliséggel kapcsolatos ellátások (=84+…+92)</t>
  </si>
  <si>
    <t>K45</t>
  </si>
  <si>
    <t>ebből: a Nemzeti Foglalkoztatási Alalpból folyósított passzív, ellátási típusú támogatások, így különösen az álláskeresési járadék, a nyugdíj előtti álláskeresési segély, valamint az ellátások megállapításával kapcsolatos utiköltség-térítés</t>
  </si>
  <si>
    <t>ebből: korhatár előtti ellátás és a fegyveres testületek volt tagjai szolgálati járandósága</t>
  </si>
  <si>
    <t>ebből: munkáltatói befizetésből finanszírozott korengedményes nyugdíj</t>
  </si>
  <si>
    <t>ebből: átmeneti bányászjáradék</t>
  </si>
  <si>
    <t>ebből: szénjárandóság pénzbeli megváltása</t>
  </si>
  <si>
    <t>ebből: mecseki bányászatban munkát végzők bányászati kereset-kiegészítése</t>
  </si>
  <si>
    <t>ebből: mezőgazdasági járadék</t>
  </si>
  <si>
    <t>ebből: foglalkoztatást helyettesítő támogatás [Szoctv. 35. § (1) bek.]</t>
  </si>
  <si>
    <t xml:space="preserve">ebből: polgármesterek korhatár előtti ellátása </t>
  </si>
  <si>
    <t>Lakhatással kapcsolatos ellátások (=94+…+99)</t>
  </si>
  <si>
    <t>K46</t>
  </si>
  <si>
    <t>ebből: hozzájárulás a lakossági energiaköltségekhez</t>
  </si>
  <si>
    <t>ebből: lakbértámogatás</t>
  </si>
  <si>
    <t xml:space="preserve">ebből: lakásfenntartási támogatás [Szoctv. 38. § (1) bek. a) és b) pontok] </t>
  </si>
  <si>
    <t>ebből: adósságcsökkentési támogatás [Szoctv. 55/A. § 1. bek. b) pont]</t>
  </si>
  <si>
    <t>ebből: természetben nyújtott lakásfenntartási támogatás [Szoctv. 47.§ (1) bek. b) pont]</t>
  </si>
  <si>
    <t>ebből: adósságkezelési szolgáltatás keretében gáz-vagy áram fogyasztást mérő készülék biztosítása [Szoctv. 55/A. § (3) bek.]</t>
  </si>
  <si>
    <t>Intézményi ellátottak pénzbeli juttatásai (&gt;=101+102)</t>
  </si>
  <si>
    <t>K47</t>
  </si>
  <si>
    <t>ebből: állami gondozottak pénzbeli juttatásai</t>
  </si>
  <si>
    <t>ebből: oktatásban résztvevők pénzbeli juttatásai</t>
  </si>
  <si>
    <t>Egyéb nem intézményi ellátások (&gt;=104+…+126)</t>
  </si>
  <si>
    <t>K48</t>
  </si>
  <si>
    <t>ebből: házastársi pótlék</t>
  </si>
  <si>
    <t>ebből: Hadigondozottak Közalapítványát terhelő hadigondozotti ellátások</t>
  </si>
  <si>
    <t>ebből: tudományos fokozattal rendelkezők nyugdíjkiegészítése</t>
  </si>
  <si>
    <t>ebből:nemzeti gondozotti ellátások</t>
  </si>
  <si>
    <t>ebből: nemzeti helytállásért pótlék</t>
  </si>
  <si>
    <t>ebből: egyes nyugdíjjogi hátrányok enyhítése miatti (közszolgálati idő után járó) nyugdíj-kiegészítés</t>
  </si>
  <si>
    <t>ebből: egyes, tartós időtartamú szabadságelvonást elszenvedettek részére járó juttatás</t>
  </si>
  <si>
    <t>ebből: a Nemzet Színésze címet viselő színészek havi életjáradéka, művészeti nyugdíjsegélyek, balettművészeti életjáradék</t>
  </si>
  <si>
    <t>ebből: az elhunyt akadémikusok hozzátartozóinak folyósított özvegyi- és árvaellátás</t>
  </si>
  <si>
    <t>ebből: a Nemzet Sportolója címmel járó járadék, olimpiai járadék, idős sportolók szociális támogatása</t>
  </si>
  <si>
    <t>ebből: életjáradék termőföldért</t>
  </si>
  <si>
    <t>ebből: Bevándorlási és Állampolgársági Hivatal által folyósított ellátások</t>
  </si>
  <si>
    <t>ebből: szépkorúak jubileumi juttatása</t>
  </si>
  <si>
    <t>ebből: időskorúak járadéka [Szoctv. 32/B. § (1) bek.]</t>
  </si>
  <si>
    <t>ebből: rendszeres szociális segély [Szoctv. 37. § (1) bek. a) - d) pontok]</t>
  </si>
  <si>
    <t>ebből: átmeneti segély [Szoctv. 45.§]</t>
  </si>
  <si>
    <t>ebből: egyéb, az önkormányzat rendeletében megállapított juttatás</t>
  </si>
  <si>
    <t>ebből: természetben nyújtott rendszeres szociális segély [Szoctv. 47.§ (1) bek. a) pont]</t>
  </si>
  <si>
    <t>ebből: átmeneti segély [Szoctv. 47.§ (1) bek. c) pont]</t>
  </si>
  <si>
    <t>ebből: köztemetés [Szoctv. 48.§]</t>
  </si>
  <si>
    <t>ebből: rászorultságtól függõ normatív kedvezmények [Gyvt. 151. § (5) bek.]</t>
  </si>
  <si>
    <t>ebből: önkormányzat által saját hatáskörben (nem szociális és gyermekvédelmi előírások alapján) adott pénzügyi ellátás</t>
  </si>
  <si>
    <t>ebből: önkormányzat által saját hatáskörben (nem szociális és gyermekvédelmi előírások alapján) adott természetbeni ellátás</t>
  </si>
  <si>
    <t>Ellátottak pénzbeli juttatásai (=61+62+74+75+83+93+100+103)</t>
  </si>
  <si>
    <t>K4</t>
  </si>
  <si>
    <t>Nemzetközi kötelezettségek (&gt;=129)</t>
  </si>
  <si>
    <t>K501</t>
  </si>
  <si>
    <t>ebből: Európai Unió</t>
  </si>
  <si>
    <t>Elvonások és befizetések</t>
  </si>
  <si>
    <t>K502</t>
  </si>
  <si>
    <t>Működési célú garancia- és kezességvállalásból származó kifizetés államháztartáson belülre</t>
  </si>
  <si>
    <t>K503</t>
  </si>
  <si>
    <t>Működési célú visszatérítendő támogatások, kölcsönök nyújtása államháztartáson belülre (=133+…+142)</t>
  </si>
  <si>
    <t>K504</t>
  </si>
  <si>
    <t>ebből: központi költségvetési szervek</t>
  </si>
  <si>
    <t>ebből: központi kezelésű előirányzatok</t>
  </si>
  <si>
    <t>ebből: fejezeti kezelésű előirányzatok EU-s programokra és azok hazai társfinanszírozása</t>
  </si>
  <si>
    <t>ebből: egyéb fejezeti kezelésű előirányzatok</t>
  </si>
  <si>
    <t>ebből: társadalombiztosítás pénzügyi alapjai</t>
  </si>
  <si>
    <t>ebből: elkülönített állami pénzalapok</t>
  </si>
  <si>
    <t>ebből: helyi önkormányzatok és költségvetési szerveik</t>
  </si>
  <si>
    <t>ebből: társulások és költségvetési szerveik</t>
  </si>
  <si>
    <t>ebből: nemzetiségi önkormányzatok és költségvetési szerveik</t>
  </si>
  <si>
    <t>ebből: térségi fejlesztési tanácsok és költségvetési szerveik</t>
  </si>
  <si>
    <t>Működési célú visszatérítendő támogatások, kölcsönök törlesztése államháztartáson belülre (=144+…+153)</t>
  </si>
  <si>
    <t>K505</t>
  </si>
  <si>
    <t>Egyéb működési célú támogatások államháztartáson belülre (=155+…+164)</t>
  </si>
  <si>
    <t>K506</t>
  </si>
  <si>
    <t>Működési célú garancia- és kezességvállalásból származó kifizetés államháztartáson kívülre (&gt;=166)</t>
  </si>
  <si>
    <t>K507</t>
  </si>
  <si>
    <t>ebből: állami vagy önkormányzati tulajdonban lévő gazdasági társaságok tartozásai miatti kifizetések</t>
  </si>
  <si>
    <t>Működési célú visszatérítendő támogatások, kölcsönök nyújtása államháztartáson kívülre (=168+…+178)</t>
  </si>
  <si>
    <t>K508</t>
  </si>
  <si>
    <t>ebből: egyházi jogi személyek</t>
  </si>
  <si>
    <t>ebből: nonprofit gazdasági társaságok</t>
  </si>
  <si>
    <t>ebből: egyéb civil szervezetek</t>
  </si>
  <si>
    <t>ebből: háztartások</t>
  </si>
  <si>
    <t>ebből: pénzügyi vállalkozások</t>
  </si>
  <si>
    <t>ebből: állami többségi tulajdonú nem pénzügyi vállalkozások</t>
  </si>
  <si>
    <t>ebből:önkormányzati többségi tulajdonú nem pénzügyi vállalkozások</t>
  </si>
  <si>
    <t>ebből: egyéb vállalkozások</t>
  </si>
  <si>
    <t xml:space="preserve">ebből: Európai Unió </t>
  </si>
  <si>
    <t>ebből: kormányok és nemzetközi szervezetek</t>
  </si>
  <si>
    <t>ebből: egyéb külföldiek</t>
  </si>
  <si>
    <t>Árkiegészítések, ártámogatások</t>
  </si>
  <si>
    <t>K509</t>
  </si>
  <si>
    <t>Kamattámogatások</t>
  </si>
  <si>
    <t>K510</t>
  </si>
  <si>
    <t>Egyéb működési célú támogatások államháztartáson kívülre (=182+…+192)</t>
  </si>
  <si>
    <t>K511</t>
  </si>
  <si>
    <t>K512</t>
  </si>
  <si>
    <t>Egyéb működési célú kiadások (=128+130+131+132+143+154+165+167+179+180+181+193)</t>
  </si>
  <si>
    <t>K5</t>
  </si>
  <si>
    <t>Immateriális javak beszerzése, létesítése</t>
  </si>
  <si>
    <t>K61</t>
  </si>
  <si>
    <t>Ingatlanok beszerzése, létesítése (&gt;=197)</t>
  </si>
  <si>
    <t>K62</t>
  </si>
  <si>
    <t>ebből: termőföld-vásárlás kiadásai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</si>
  <si>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</si>
  <si>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</si>
  <si>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</si>
  <si>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</si>
  <si>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</si>
  <si>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</si>
  <si>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</si>
  <si>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</si>
  <si>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</si>
  <si>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</si>
  <si>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Beruházások (=195+196+198+…+202)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</si>
  <si>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</si>
  <si>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</si>
  <si>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</si>
  <si>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</si>
  <si>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</si>
  <si>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</si>
  <si>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</si>
  <si>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</si>
  <si>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</si>
  <si>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Felújítások (=204+...+207)</t>
  </si>
  <si>
    <t>K7</t>
  </si>
  <si>
    <t>Felhalmozási célú garancia- és kezességvállalásból származó kifizetés államháztartáson belülre</t>
  </si>
  <si>
    <t>K81</t>
  </si>
  <si>
    <t>Felhalmozási célú visszatérítendő támogatások, kölcsönök nyújtása államháztartáson belülre (=211+…+220)</t>
  </si>
  <si>
    <t>K82</t>
  </si>
  <si>
    <t>Felhalmozási célú visszatérítendő támogatások, kölcsönök törlesztése államháztartáson belülre (=222+…+231)</t>
  </si>
  <si>
    <t>K83</t>
  </si>
  <si>
    <t>Egyéb felhalmozási célú támogatások államháztartáson belülre (=233+…+242)</t>
  </si>
  <si>
    <t>K84</t>
  </si>
  <si>
    <t>Felhalmozási célú garancia- és kezességvállalásból származó kifizetés államháztartáson kívülre (&gt;=244)</t>
  </si>
  <si>
    <t>K85</t>
  </si>
  <si>
    <t>Felhalmozási célú visszatérítendő támogatások, kölcsönök nyújtása államháztartáson kívülre (=246+…+256)</t>
  </si>
  <si>
    <t>K86</t>
  </si>
  <si>
    <t>Lakástámogatás</t>
  </si>
  <si>
    <t>K87</t>
  </si>
  <si>
    <t>Egyéb felhalmozási célú támogatások államháztartáson kívülre (=259+…+269)</t>
  </si>
  <si>
    <t>K88</t>
  </si>
  <si>
    <t>Egyéb felhalmozási célú kiadások (=209+210+221+232+243+245+257+258)</t>
  </si>
  <si>
    <t>K8</t>
  </si>
  <si>
    <t>Költségvetési kiadások (=20+21+60+127+194+203+208+270)</t>
  </si>
  <si>
    <t>K1-K8</t>
  </si>
  <si>
    <t>Hosszú lejáratú hitelek, kölcsönök törlesztése  (&gt;=273+274)</t>
  </si>
  <si>
    <t>K9111</t>
  </si>
  <si>
    <t>ebből: pénzügyi vállalkozás</t>
  </si>
  <si>
    <t>ebből: fedezeti ügyletek nettó kiadásai</t>
  </si>
  <si>
    <t>K9112</t>
  </si>
  <si>
    <t>Rövid lejáratú hitelek, kölcsönök törlesztése  (&gt;=277+278)</t>
  </si>
  <si>
    <t>K9113</t>
  </si>
  <si>
    <t>Hitel-, kölcsöntörlesztés államháztartáson kívülre (=272+275+276)</t>
  </si>
  <si>
    <t>K911</t>
  </si>
  <si>
    <t>Forgatási célú belföldi értékpapírok vásárlása (&gt;=281+282)</t>
  </si>
  <si>
    <t>K9121</t>
  </si>
  <si>
    <t>ebből: befektetési jegyek</t>
  </si>
  <si>
    <t>ebből: kárpótlási jegyek</t>
  </si>
  <si>
    <t>Forgatási célú belföldi értékpapírok beváltása (&gt;=284+285+286)</t>
  </si>
  <si>
    <t>K9122</t>
  </si>
  <si>
    <t>K9123</t>
  </si>
  <si>
    <t>Befektetési célú belföldi értékpapírok beváltása (&gt;=289)</t>
  </si>
  <si>
    <t>K9124</t>
  </si>
  <si>
    <t>Belföldi értékpapírok kiadásai (=280+283+287+288)</t>
  </si>
  <si>
    <t>K912</t>
  </si>
  <si>
    <t>K913</t>
  </si>
  <si>
    <t>K914</t>
  </si>
  <si>
    <t>Központi, irányító szervi támogatások folyósítása</t>
  </si>
  <si>
    <t>K915</t>
  </si>
  <si>
    <t>Pénzeszközök betétként elhelyezése</t>
  </si>
  <si>
    <t>K916</t>
  </si>
  <si>
    <t>K917</t>
  </si>
  <si>
    <t>Központi költségvetés sajátos finanszírozási kiadásai</t>
  </si>
  <si>
    <t>K918</t>
  </si>
  <si>
    <t>Belföldi finanszírozás kiadásai (=279+290+…+296)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</si>
  <si>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</si>
  <si>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</si>
  <si>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</si>
  <si>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</si>
  <si>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</si>
  <si>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 (&gt;=301)</t>
  </si>
  <si>
    <t>K923</t>
  </si>
  <si>
    <t>Külföldi hitelek, kölcsönök törlesztése (&gt;=303+…+306)</t>
  </si>
  <si>
    <t>K924</t>
  </si>
  <si>
    <t>ebből: nemzetközi fejlesztési szervezetek</t>
  </si>
  <si>
    <t>ebből: más kormányok</t>
  </si>
  <si>
    <t>ebből: külföldi pénzintézetek</t>
  </si>
  <si>
    <t>Külföldi finanszírozás kiadásai (=298+299+300+302)</t>
  </si>
  <si>
    <t>K92</t>
  </si>
  <si>
    <t>Adóssághoz nem kapcsolódó származékos ügyletek kiadásai</t>
  </si>
  <si>
    <t>K93</t>
  </si>
  <si>
    <t>Finanszírozási kiadások (=297+307+308)</t>
  </si>
  <si>
    <t>K9</t>
  </si>
  <si>
    <t>Kiadások összesen (=271+309)</t>
  </si>
  <si>
    <t>K1-K9</t>
  </si>
  <si>
    <t>Kapacitásmutató 1. [68/2013. (XII.29.)NGM r. 6. § (2) bek.]</t>
  </si>
  <si>
    <t>Kapacitásmutató 2. [68/2013. (XII.29.)NGM r. 6. § (2) bek.]</t>
  </si>
  <si>
    <t>Feladatmutató [68/2013. (XII.29.)NGM r. 6. § (1) bek.]</t>
  </si>
  <si>
    <t>Teljesítménymutató [68/2013. (XII.29.)NGM r. 6. § (1) bek.]</t>
  </si>
  <si>
    <t>B111</t>
  </si>
  <si>
    <t>Települési önkormányzatok egyes köznevelési feladatainak támogatása</t>
  </si>
  <si>
    <t>B112</t>
  </si>
  <si>
    <t>Települési önkormányzatok szociális gyermekjóléti ls gyermekétkeztetési feladatainak támogatása</t>
  </si>
  <si>
    <t>B113</t>
  </si>
  <si>
    <t>Települési önkormányzatok kulturális feladatainak támogatása</t>
  </si>
  <si>
    <t>B114</t>
  </si>
  <si>
    <t>B115</t>
  </si>
  <si>
    <t>B116</t>
  </si>
  <si>
    <t>Önkormányzatok működési támogatásai (=01+…+06)</t>
  </si>
  <si>
    <t>B11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</si>
  <si>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</si>
  <si>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</si>
  <si>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</si>
  <si>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 (=11+…+20)</t>
  </si>
  <si>
    <t>B14</t>
  </si>
  <si>
    <t>21</t>
  </si>
  <si>
    <t>Működési célú visszatérítendő támogatások, kölcsönök igénybevétele államháztartáson belülről (=22+…+31)</t>
  </si>
  <si>
    <t>B15</t>
  </si>
  <si>
    <t>22</t>
  </si>
  <si>
    <t>23</t>
  </si>
  <si>
    <t>24</t>
  </si>
  <si>
    <t>25</t>
  </si>
  <si>
    <t>26</t>
  </si>
  <si>
    <t>27</t>
  </si>
  <si>
    <t>28</t>
  </si>
  <si>
    <t>Egyéb működési célú támogatások bevételei államháztartáson belülről (=33+…+42)</t>
  </si>
  <si>
    <t>B16</t>
  </si>
  <si>
    <t>Működési célú támogatások államháztartáson belülről (=07+...+10+21+32)</t>
  </si>
  <si>
    <t>B1</t>
  </si>
  <si>
    <t>B21</t>
  </si>
  <si>
    <t>45</t>
  </si>
  <si>
    <t>Felhalmozási célú garancia- és kezességvállalásból származó megtérülések államháztartáson belülről</t>
  </si>
  <si>
    <t>B22</t>
  </si>
  <si>
    <t>46</t>
  </si>
  <si>
    <t>Felhalmozási célú visszatérítendő támogatások, kölcsönök visszatérülése államháztartáson belülről (=47+…+56)</t>
  </si>
  <si>
    <t>B23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</si>
  <si>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</si>
  <si>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</si>
  <si>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</si>
  <si>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</si>
  <si>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</si>
  <si>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</si>
  <si>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</si>
  <si>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</si>
  <si>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</si>
  <si>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</si>
  <si>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</si>
  <si>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Felhalmozási célú visszatérítendő támogatások, kölcsönök igénybevétele államháztartáson belülről (=58+…+67)</t>
  </si>
  <si>
    <t>B24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</si>
  <si>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</si>
  <si>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</si>
  <si>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</si>
  <si>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</si>
  <si>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</si>
  <si>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</si>
  <si>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</si>
  <si>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</si>
  <si>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</si>
  <si>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</si>
  <si>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</si>
  <si>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Egyéb felhalmozási célú támogatások bevételei államháztartáson belülről (=69+…+78)</t>
  </si>
  <si>
    <t>B25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</si>
  <si>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</si>
  <si>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</si>
  <si>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</si>
  <si>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</si>
  <si>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</si>
  <si>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</si>
  <si>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</si>
  <si>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</si>
  <si>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</si>
  <si>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</si>
  <si>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</si>
  <si>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Felhalmozási célú támogatások államháztartáson belülről (=44+45+46+57+68)</t>
  </si>
  <si>
    <t>B2</t>
  </si>
  <si>
    <t>80</t>
  </si>
  <si>
    <t>Magánszemélyek jövedelemadói (=81+82+83)</t>
  </si>
  <si>
    <t>B311</t>
  </si>
  <si>
    <t>81</t>
  </si>
  <si>
    <t>ebből: személyi jövedelemadó</t>
  </si>
  <si>
    <t>82</t>
  </si>
  <si>
    <t>ebből: magánszemély jogviszonyának megszűnéséhez kapcsolódó egyes jövedelmek különadója</t>
  </si>
  <si>
    <t>83</t>
  </si>
  <si>
    <t>ebből: termőföld bérbeadásából származó jövedelem utáni személyi jövedelemadó</t>
  </si>
  <si>
    <t>84</t>
  </si>
  <si>
    <t>Társaságok jövedelemadói (=85+…+92)</t>
  </si>
  <si>
    <t>B312</t>
  </si>
  <si>
    <t>85</t>
  </si>
  <si>
    <t>ebből: társasági adó</t>
  </si>
  <si>
    <t>86</t>
  </si>
  <si>
    <t>ebből: társas vállalkozások különadója</t>
  </si>
  <si>
    <t>87</t>
  </si>
  <si>
    <t>ebből: hitelintézetek és pénzügyi vállalkozások különadója</t>
  </si>
  <si>
    <t>88</t>
  </si>
  <si>
    <t>ebből: hiteintézeti járadék</t>
  </si>
  <si>
    <t>89</t>
  </si>
  <si>
    <t>ebből: pénzügyi szervezetek különadója</t>
  </si>
  <si>
    <t>90</t>
  </si>
  <si>
    <t>ebből: energiaellátók jövedelemadója</t>
  </si>
  <si>
    <t>91</t>
  </si>
  <si>
    <t>ebből: kisvállalati adó</t>
  </si>
  <si>
    <t>92</t>
  </si>
  <si>
    <t>ebből: kisadózó vállalkozások tételes adója</t>
  </si>
  <si>
    <t>93</t>
  </si>
  <si>
    <t>Jövedelemadók (=80+84)</t>
  </si>
  <si>
    <t>B31</t>
  </si>
  <si>
    <t>94</t>
  </si>
  <si>
    <t>Szociális hozzájárulási adó és járulékok (=95+…+103)</t>
  </si>
  <si>
    <t>B32</t>
  </si>
  <si>
    <t>95</t>
  </si>
  <si>
    <t>96</t>
  </si>
  <si>
    <t>ebből: nyugdíjjárulék, egészségbiztosítási járulék, ide értve a megállapodás alapján fizetők járulékait is</t>
  </si>
  <si>
    <t>97</t>
  </si>
  <si>
    <t>98</t>
  </si>
  <si>
    <t>ebből: egészségbiztosítási és munkaerőpiaci járulék</t>
  </si>
  <si>
    <t>99</t>
  </si>
  <si>
    <t>ebből: egészségügyi szolgáltatási járulék</t>
  </si>
  <si>
    <t>100</t>
  </si>
  <si>
    <t>ebből: egyszerűsített közteherviselési hozzájárulás</t>
  </si>
  <si>
    <t>101</t>
  </si>
  <si>
    <t>ebből: biztosítotti nyugdíjjárulék, egészségbiztosítási járulék</t>
  </si>
  <si>
    <t>102</t>
  </si>
  <si>
    <t>ebből: megállapodás alapján fizetők járulékai</t>
  </si>
  <si>
    <t>103</t>
  </si>
  <si>
    <t>ebből: munkáltatói táppénz hozzájárulás</t>
  </si>
  <si>
    <t>104</t>
  </si>
  <si>
    <t>Bérhez és foglalkoztatáshoz kapcsolódó adók (=105+…+108)</t>
  </si>
  <si>
    <t>B33</t>
  </si>
  <si>
    <t>105</t>
  </si>
  <si>
    <t xml:space="preserve">ebből: szakképzési hozzájárulás </t>
  </si>
  <si>
    <t>106</t>
  </si>
  <si>
    <t>107</t>
  </si>
  <si>
    <t>108</t>
  </si>
  <si>
    <t>ebből: egyszerűsített foglalkoztatás utáni közterhek</t>
  </si>
  <si>
    <t>109</t>
  </si>
  <si>
    <t>Vagyoni tipusú adók (=110+…+116)</t>
  </si>
  <si>
    <t>B34</t>
  </si>
  <si>
    <t>110</t>
  </si>
  <si>
    <t xml:space="preserve">ebből: építményadó </t>
  </si>
  <si>
    <t>111</t>
  </si>
  <si>
    <t xml:space="preserve">ebből: épület után fizetett idegenforgalmi adó </t>
  </si>
  <si>
    <t>112</t>
  </si>
  <si>
    <t>ebből: magánszemélyek kommunális adója</t>
  </si>
  <si>
    <t>113</t>
  </si>
  <si>
    <t>ebből: telekadó</t>
  </si>
  <si>
    <t>114</t>
  </si>
  <si>
    <t>ebből: cégautóadó</t>
  </si>
  <si>
    <t>115</t>
  </si>
  <si>
    <t>ebből: közművezetékek adója</t>
  </si>
  <si>
    <t>116</t>
  </si>
  <si>
    <t>ebből: öröklési és ajándékozási illeték</t>
  </si>
  <si>
    <t>117</t>
  </si>
  <si>
    <t>Értékesítési és forgalmi adók (=118+…+137)</t>
  </si>
  <si>
    <t>B351</t>
  </si>
  <si>
    <t>118</t>
  </si>
  <si>
    <t>ebből: általános forgalmi adó</t>
  </si>
  <si>
    <t>119</t>
  </si>
  <si>
    <t>ebből: távközlési ágazatot terhelő különadó</t>
  </si>
  <si>
    <t>120</t>
  </si>
  <si>
    <t>ebből: kiskereskedői ágazatot terhelő különadó</t>
  </si>
  <si>
    <t>121</t>
  </si>
  <si>
    <t>ebből: energia ágazatot terhelő különadó</t>
  </si>
  <si>
    <t>122</t>
  </si>
  <si>
    <t>ebből: bank- és biztosítási ágazatot terhelő különadó</t>
  </si>
  <si>
    <t>123</t>
  </si>
  <si>
    <t>ebből: visszterhes vagyonátruházási illeték</t>
  </si>
  <si>
    <t>124</t>
  </si>
  <si>
    <t>ebből: állandó jeleggel végzett iparűzési tevékenység után fizetett helyi iparűzési adó</t>
  </si>
  <si>
    <t>125</t>
  </si>
  <si>
    <t>ebből: ideiglenes jeleggel végzett tevékenység után fizetett helyi iparűzési adó</t>
  </si>
  <si>
    <t>126</t>
  </si>
  <si>
    <t>ebből: innovációs járulék</t>
  </si>
  <si>
    <t>127</t>
  </si>
  <si>
    <t>ebből: egyszerűsített vállalkozási adó</t>
  </si>
  <si>
    <t>128</t>
  </si>
  <si>
    <t>ebből: gyógyszer forgalmazási jogosultak befizetései [2006. évi XCVIII. tv. 36. § (1) bek.]</t>
  </si>
  <si>
    <t>129</t>
  </si>
  <si>
    <t>ebből: gyógyszer nagykereskedést végzők befizetései [2006. évi XCVIII. tv. 36. § (2) bek.]</t>
  </si>
  <si>
    <t>130</t>
  </si>
  <si>
    <t>ebből: gyógyszertárgyártók 10 % befizetési kötelezettsége</t>
  </si>
  <si>
    <t>131</t>
  </si>
  <si>
    <t>ebből: gyógyszer és gyógyászati segédeszköz ismertetés utáni befizetések [2006. évi XCVIII. tv. 36. § (4) bek.]</t>
  </si>
  <si>
    <t>132</t>
  </si>
  <si>
    <t>ebből:  gyógyszertámogatás többletének sávos kockázatviseléséből származó bevételek [2006. évi XCVIII. tv. 42. § ]</t>
  </si>
  <si>
    <t>133</t>
  </si>
  <si>
    <t>ebből: népegészségügyi termékadó</t>
  </si>
  <si>
    <t>134</t>
  </si>
  <si>
    <t>ebből: távközlési adó</t>
  </si>
  <si>
    <t>135</t>
  </si>
  <si>
    <t>ebből: pénzügyi tranzakciós illeték</t>
  </si>
  <si>
    <t>136</t>
  </si>
  <si>
    <t>ebből: biztosítási adó</t>
  </si>
  <si>
    <t>137</t>
  </si>
  <si>
    <t>ebből: reklámadó</t>
  </si>
  <si>
    <t>138</t>
  </si>
  <si>
    <t>Fogyasztási adók  (=139+140+141)</t>
  </si>
  <si>
    <t>B352</t>
  </si>
  <si>
    <t>139</t>
  </si>
  <si>
    <t>ebből: jövedéki adó</t>
  </si>
  <si>
    <t>140</t>
  </si>
  <si>
    <t>ebből: regisztrációs adó</t>
  </si>
  <si>
    <t>141</t>
  </si>
  <si>
    <t>ebből: energiaadó</t>
  </si>
  <si>
    <t>142</t>
  </si>
  <si>
    <t xml:space="preserve">Pénzügyi monopóliumok nyereségét terhelő adók </t>
  </si>
  <si>
    <t>B353</t>
  </si>
  <si>
    <t>143</t>
  </si>
  <si>
    <t>Gépjárműadók (=144+…+147)</t>
  </si>
  <si>
    <t>B354</t>
  </si>
  <si>
    <t>144</t>
  </si>
  <si>
    <t>ebből: belföldi gépjárművek adójának a központi költségvetést megillető része</t>
  </si>
  <si>
    <t>145</t>
  </si>
  <si>
    <t>ebből: belföldi gépjárművek adójának a helyi önkormányzatot megillető része</t>
  </si>
  <si>
    <t>146</t>
  </si>
  <si>
    <t>ebből: külföldi gépjárművek adója</t>
  </si>
  <si>
    <t>147</t>
  </si>
  <si>
    <t>ebből: gépjármű túlsúlydíj</t>
  </si>
  <si>
    <t>148</t>
  </si>
  <si>
    <t>Egyéb áruhasználati és szolgáltatási adók  (=149+…+164)</t>
  </si>
  <si>
    <t>B355</t>
  </si>
  <si>
    <t>149</t>
  </si>
  <si>
    <t>ebből: kulturális adó</t>
  </si>
  <si>
    <t>150</t>
  </si>
  <si>
    <t>ebből: baleseti adó</t>
  </si>
  <si>
    <t>151</t>
  </si>
  <si>
    <t>ebből: nukleáris létesítmények Központi Nukleáris Pénzügyi Alapba történő kötelező befizetései</t>
  </si>
  <si>
    <t>152</t>
  </si>
  <si>
    <t>ebből: környezetterhelési díj</t>
  </si>
  <si>
    <t>153</t>
  </si>
  <si>
    <t>ebből: környezetvédelmi termékdíj</t>
  </si>
  <si>
    <t>154</t>
  </si>
  <si>
    <t>ebből: bérfőzési szeszadó</t>
  </si>
  <si>
    <t>155</t>
  </si>
  <si>
    <t>ebből: szerencsejáték szervezési díj</t>
  </si>
  <si>
    <t>156</t>
  </si>
  <si>
    <t xml:space="preserve">ebből: tartózkodás után fizetett idegenforgalmi adó </t>
  </si>
  <si>
    <t>157</t>
  </si>
  <si>
    <t>ebből: talajterhelési díj</t>
  </si>
  <si>
    <t>158</t>
  </si>
  <si>
    <t>ebből: vizkészletjárulék</t>
  </si>
  <si>
    <t>159</t>
  </si>
  <si>
    <t>ebből: állami vadászjegyek díjai</t>
  </si>
  <si>
    <t>160</t>
  </si>
  <si>
    <t>ebből: erdővédelmi járulék</t>
  </si>
  <si>
    <t>161</t>
  </si>
  <si>
    <t>ebből: földvédelmi járulék</t>
  </si>
  <si>
    <t>162</t>
  </si>
  <si>
    <t>ebből: halászati haszonbérleti díj</t>
  </si>
  <si>
    <t>163</t>
  </si>
  <si>
    <t>ebből: hulladéklerakási járulék</t>
  </si>
  <si>
    <t>164</t>
  </si>
  <si>
    <t>ebből: korábbi évek megszünt adónemei áthúzódó fizetéseiből befolyt bevételek</t>
  </si>
  <si>
    <t>165</t>
  </si>
  <si>
    <t xml:space="preserve">Termékek és szolgáltatások adói (=117+138+142+143+148) </t>
  </si>
  <si>
    <t>B35</t>
  </si>
  <si>
    <t>166</t>
  </si>
  <si>
    <t>Egyéb közhatalmi bevételek (&gt;=167+…+178)</t>
  </si>
  <si>
    <t>B36</t>
  </si>
  <si>
    <t>167</t>
  </si>
  <si>
    <t>ebből: cégnyílvántartás bevételei</t>
  </si>
  <si>
    <t>168</t>
  </si>
  <si>
    <t>ebből: eljárási illetékek</t>
  </si>
  <si>
    <t>169</t>
  </si>
  <si>
    <t>ebből: igazgatási szolgáltatási díjak</t>
  </si>
  <si>
    <t>170</t>
  </si>
  <si>
    <t>ebből: felügyeleti díjak</t>
  </si>
  <si>
    <t>171</t>
  </si>
  <si>
    <t>ebből:ebrendészeti hozzájárulás</t>
  </si>
  <si>
    <t>172</t>
  </si>
  <si>
    <t>ebből: mezőgazdasági termelést érintő időjárási és más természeti kockázatok kezeléséről szóló törvény szerinti kárenyhítési hozzájárulás</t>
  </si>
  <si>
    <t>173</t>
  </si>
  <si>
    <t>ebből: környezetvédelmi bírság</t>
  </si>
  <si>
    <t>174</t>
  </si>
  <si>
    <t>ebből: természetvédelmi bírság</t>
  </si>
  <si>
    <t>175</t>
  </si>
  <si>
    <t>ebből: műemlékvédelmi bírság</t>
  </si>
  <si>
    <t>176</t>
  </si>
  <si>
    <t>ebből: építésügyi bírság</t>
  </si>
  <si>
    <t>177</t>
  </si>
  <si>
    <t>ebből: szabálysértési pénz- és helyszíni bírság és a közlekedési szabályszegések után kiszabott közigazgatási bírság helyi önkormányzatot megillető része</t>
  </si>
  <si>
    <t>178</t>
  </si>
  <si>
    <t>ebből: egyéb bírság</t>
  </si>
  <si>
    <t>179</t>
  </si>
  <si>
    <t>Közhatalmi bevételek (=93+94+104+109+165+166)</t>
  </si>
  <si>
    <t>B3</t>
  </si>
  <si>
    <t>180</t>
  </si>
  <si>
    <t>B401</t>
  </si>
  <si>
    <t>181</t>
  </si>
  <si>
    <t>Szolgáltatások ellenértéke (&gt;=182+183)</t>
  </si>
  <si>
    <t>B402</t>
  </si>
  <si>
    <t>182</t>
  </si>
  <si>
    <t>ebből:tárgyi eszközök bérbeadásából származó bevétel</t>
  </si>
  <si>
    <t>183</t>
  </si>
  <si>
    <t>ebből: utak használata ellenében beszedett használati díj, pótdíj, elektronikus útdíj</t>
  </si>
  <si>
    <t>184</t>
  </si>
  <si>
    <t>Közvetített szolgáltatások ellenértéke  (&gt;=185)</t>
  </si>
  <si>
    <t>B403</t>
  </si>
  <si>
    <t>185</t>
  </si>
  <si>
    <t>186</t>
  </si>
  <si>
    <t>Tulajdonosi bevételek (&gt;=187+…+192)</t>
  </si>
  <si>
    <t>B404</t>
  </si>
  <si>
    <t>187</t>
  </si>
  <si>
    <t>ebből: vadászati jog bérbeadásból származó bevétel</t>
  </si>
  <si>
    <t>188</t>
  </si>
  <si>
    <t>ebből: önkormányzati vagyon üzemeltetéséből, koncesszióból származó bevétel</t>
  </si>
  <si>
    <t>189</t>
  </si>
  <si>
    <t>ebből: önkormányzati vagyon vagyonkezelésbe adásából származó bevétel</t>
  </si>
  <si>
    <t>190</t>
  </si>
  <si>
    <t>ebből: állami többségi tulajdonú vállalkozástól kapott osztalék</t>
  </si>
  <si>
    <t>191</t>
  </si>
  <si>
    <t>ebből:  önkormányzati többségi tulajdonú vállalkozástól kapott osztalék</t>
  </si>
  <si>
    <t>192</t>
  </si>
  <si>
    <t>ebből: egyéb részesedések után kapott osztalék</t>
  </si>
  <si>
    <t>193</t>
  </si>
  <si>
    <t>B405</t>
  </si>
  <si>
    <t>194</t>
  </si>
  <si>
    <t>B406</t>
  </si>
  <si>
    <t>195</t>
  </si>
  <si>
    <t>B407</t>
  </si>
  <si>
    <t>196</t>
  </si>
  <si>
    <t>Kamatbevételek (&gt;=197+198+199)</t>
  </si>
  <si>
    <t>B408</t>
  </si>
  <si>
    <t>197</t>
  </si>
  <si>
    <t>198</t>
  </si>
  <si>
    <t>ebből: befektetési jegyek kamatbevételei</t>
  </si>
  <si>
    <t>199</t>
  </si>
  <si>
    <t>ebből: fedezeti ügyletek kamatbevételei</t>
  </si>
  <si>
    <t>200</t>
  </si>
  <si>
    <t>Egyéb pénzügyi műveletek bevételei (&gt;=201+…+204)</t>
  </si>
  <si>
    <t>B409</t>
  </si>
  <si>
    <t>201</t>
  </si>
  <si>
    <t>ebből: részesedések értékesítéséhez kapcsolódó realizált nyereség</t>
  </si>
  <si>
    <t>202</t>
  </si>
  <si>
    <t>ebből: hitelviszonyt megtestesítő értékpapírok értékesítési nyeresége</t>
  </si>
  <si>
    <t>203</t>
  </si>
  <si>
    <t>ebből: hitelviszonyt megtestesítő értékpapírok kibocsátási nyeresége</t>
  </si>
  <si>
    <t>204</t>
  </si>
  <si>
    <t>ebből: valuta és deviza eszközök realizált árfolyamnyeresége</t>
  </si>
  <si>
    <t>205</t>
  </si>
  <si>
    <t>Egyéb működési bevételek (&gt;=206+207+208)</t>
  </si>
  <si>
    <t>B410</t>
  </si>
  <si>
    <t>206</t>
  </si>
  <si>
    <t>ebből: biztosító által fizetett kártérítés</t>
  </si>
  <si>
    <t>207</t>
  </si>
  <si>
    <t>ebből: szerződésben vállalt kötelezettségek elmulasztásához kapcsolódó bevételek, káreseményekkel kapcsolatosan kapott bevételek, biztosítási bevételek, visszakapott óvadék (kaució), bánatpénz</t>
  </si>
  <si>
    <t>208</t>
  </si>
  <si>
    <t>ebből: költségek visszatérítései</t>
  </si>
  <si>
    <t>209</t>
  </si>
  <si>
    <t>Működési bevételek (=180+181+184+186+193+…+196+200+205)</t>
  </si>
  <si>
    <t>B4</t>
  </si>
  <si>
    <t>210</t>
  </si>
  <si>
    <t>Immateriális javak értékesítése (&gt;=211)</t>
  </si>
  <si>
    <t>B51</t>
  </si>
  <si>
    <t>211</t>
  </si>
  <si>
    <t>ebből: kiotói egységek és kibocsátási egységek eladásából befolyt eladási ár</t>
  </si>
  <si>
    <t>212</t>
  </si>
  <si>
    <t>Ingatlanok értékesítése (&gt;=213)</t>
  </si>
  <si>
    <t>B52</t>
  </si>
  <si>
    <t>213</t>
  </si>
  <si>
    <t>ebből: termőföld-eladás bevételei</t>
  </si>
  <si>
    <t>214</t>
  </si>
  <si>
    <t>B53</t>
  </si>
  <si>
    <t>215</t>
  </si>
  <si>
    <t>Részesedések értékesítése (&gt;=216)</t>
  </si>
  <si>
    <t>B54</t>
  </si>
  <si>
    <t>216</t>
  </si>
  <si>
    <t>ebből: privatizációból származó bevétel</t>
  </si>
  <si>
    <t>217</t>
  </si>
  <si>
    <t>B55</t>
  </si>
  <si>
    <t>218</t>
  </si>
  <si>
    <t>Felhalmozási bevételek (=210+212+214+215+217)</t>
  </si>
  <si>
    <t>B5</t>
  </si>
  <si>
    <t>219</t>
  </si>
  <si>
    <t>Működési célú garancia- és kezességvállalásból származó megtérülések államháztartáson kívülről</t>
  </si>
  <si>
    <t>B61</t>
  </si>
  <si>
    <t>220</t>
  </si>
  <si>
    <t>Működési célú visszatérítendő támogatások, kölcsönök visszatérülése államháztartáson kívülről (=221+…+231)</t>
  </si>
  <si>
    <t>B62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</si>
  <si>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</si>
  <si>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</si>
  <si>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</si>
  <si>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</si>
  <si>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</si>
  <si>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</si>
  <si>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</si>
  <si>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</si>
  <si>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</si>
  <si>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</si>
  <si>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</si>
  <si>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</si>
  <si>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Egyéb működési célú átvett pénzeszközök (=233+…+243)</t>
  </si>
  <si>
    <t>B63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</si>
  <si>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</si>
  <si>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</si>
  <si>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</si>
  <si>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</si>
  <si>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</si>
  <si>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</si>
  <si>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</si>
  <si>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</si>
  <si>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</si>
  <si>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</si>
  <si>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</si>
  <si>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</si>
  <si>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Működési célú átvett pénzeszközök (=219+220+232)</t>
  </si>
  <si>
    <t>B6</t>
  </si>
  <si>
    <t>245</t>
  </si>
  <si>
    <t>Felhalmozási célú garancia- és kezességvállalásból származó megtérülések államháztartáson kívülről</t>
  </si>
  <si>
    <t>B71</t>
  </si>
  <si>
    <t>246</t>
  </si>
  <si>
    <t>Felhalmozási célú visszatérítendő támogatások, kölcsönök visszatérülése államháztartáson kívülről (=247+…+257)</t>
  </si>
  <si>
    <t>B72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</si>
  <si>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</si>
  <si>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</si>
  <si>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</si>
  <si>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</si>
  <si>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</si>
  <si>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</si>
  <si>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</si>
  <si>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</si>
  <si>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</si>
  <si>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</si>
  <si>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</si>
  <si>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</si>
  <si>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Egyéb felhalmozási célú átvett pénzeszközök (=259+…+269)</t>
  </si>
  <si>
    <t>B73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</si>
  <si>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</si>
  <si>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</si>
  <si>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</si>
  <si>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</si>
  <si>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</si>
  <si>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</si>
  <si>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</si>
  <si>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</si>
  <si>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</si>
  <si>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</si>
  <si>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</si>
  <si>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</si>
  <si>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Felhalmozási célú átvett pénzeszközök (=245+246+258)</t>
  </si>
  <si>
    <t>B7</t>
  </si>
  <si>
    <t>271</t>
  </si>
  <si>
    <t>Költségvetési bevételek (=43+79+179+209+218+244+270)</t>
  </si>
  <si>
    <t>B1-B7</t>
  </si>
  <si>
    <t>Hosszú lejáratú hitelek, kölcsönök felvétele (&gt;=273)</t>
  </si>
  <si>
    <t>B8111</t>
  </si>
  <si>
    <t>Likviditási célú hitelek, kölcsönök felvétele pénzügyi vállalkozástól</t>
  </si>
  <si>
    <t>B8112</t>
  </si>
  <si>
    <t>Rövid lejáratú hitelek, kölcsönök felvétele (&gt;=276)</t>
  </si>
  <si>
    <t>B8113</t>
  </si>
  <si>
    <t>Hitel-, kölcsönfelvétel államháztartáson kívülről (=272+274+275)</t>
  </si>
  <si>
    <t>B811</t>
  </si>
  <si>
    <t>Forgatási célú belföldi értékpapírok beváltása, értékesítése (&gt;=279+280)</t>
  </si>
  <si>
    <t>B8121</t>
  </si>
  <si>
    <t>B8122</t>
  </si>
  <si>
    <t xml:space="preserve">Befektetési célú belföldi értékpapírok beváltása, értékesítése </t>
  </si>
  <si>
    <t>B8123</t>
  </si>
  <si>
    <t>B8124</t>
  </si>
  <si>
    <t>Belföldi értékpapírok bevételei (=278+281+282+283)</t>
  </si>
  <si>
    <t>B812</t>
  </si>
  <si>
    <t>B8131</t>
  </si>
  <si>
    <t>B8132</t>
  </si>
  <si>
    <t>Maradvány igénybevétele (=285+286)</t>
  </si>
  <si>
    <t>B813</t>
  </si>
  <si>
    <t>B814</t>
  </si>
  <si>
    <t>B815</t>
  </si>
  <si>
    <t>Központi, irányító szervi támogatás</t>
  </si>
  <si>
    <t>B816</t>
  </si>
  <si>
    <t>B817</t>
  </si>
  <si>
    <t>Központi költségvetés sajátos finanszírozási bevételei (&gt;=293)</t>
  </si>
  <si>
    <t>B818</t>
  </si>
  <si>
    <t>ebből: tulajdonosi kölcsönök visszatérülése</t>
  </si>
  <si>
    <t>Belföldi finanszírozás bevételei (=277+284+287+…+292)</t>
  </si>
  <si>
    <t>B81</t>
  </si>
  <si>
    <t>B821</t>
  </si>
  <si>
    <t>Befektetési célú külföldi értékpapírok beváltása, értékesítése</t>
  </si>
  <si>
    <t>B822</t>
  </si>
  <si>
    <t>B823</t>
  </si>
  <si>
    <t>Külföldi hitelek, kölcsönök felvétele (&gt;=299+300+301)</t>
  </si>
  <si>
    <t>B824</t>
  </si>
  <si>
    <t>Külföldi finanszírozás bevételei (=295+…+298)</t>
  </si>
  <si>
    <t>B82</t>
  </si>
  <si>
    <t>B83</t>
  </si>
  <si>
    <t>Finanszírozási bevételek (=294+302+303)</t>
  </si>
  <si>
    <t>B8</t>
  </si>
  <si>
    <t>Bevételek összesen (271+304)</t>
  </si>
  <si>
    <t>B1-B8</t>
  </si>
  <si>
    <t>Budajenő Község Önkormányzat</t>
  </si>
  <si>
    <t>Önkormányzat közhatalmi bevételei</t>
  </si>
  <si>
    <t>MEGNEVEZÉS</t>
  </si>
  <si>
    <t>Építményadó</t>
  </si>
  <si>
    <t>Telekadó</t>
  </si>
  <si>
    <t>Magánszemélyek kommunális adója</t>
  </si>
  <si>
    <t>Iparűzési adó</t>
  </si>
  <si>
    <t>Vagyoni tipusú adok</t>
  </si>
  <si>
    <t>Gépjárműadó  (önkorm. 40%-a)</t>
  </si>
  <si>
    <t>Gépjárműadók</t>
  </si>
  <si>
    <t>Pótlékok</t>
  </si>
  <si>
    <t>Talajterhelési díj</t>
  </si>
  <si>
    <t>Bírságok, díjak, pótlékok</t>
  </si>
  <si>
    <t>ÖSSZESEN</t>
  </si>
  <si>
    <t>Támogatásértű bevételek</t>
  </si>
  <si>
    <t>Behajtási engedély, közterület használati díj</t>
  </si>
  <si>
    <t>Bérleti díjak   (Művelődési ház, tornaterem, bolt)</t>
  </si>
  <si>
    <t>Temető üzemeltetés</t>
  </si>
  <si>
    <t>Pincekaszálás</t>
  </si>
  <si>
    <t>Működési célú bevételek összesen:</t>
  </si>
  <si>
    <t>Föld értékesítés, ingatlan értékesítés</t>
  </si>
  <si>
    <t>Egyéb bírság</t>
  </si>
  <si>
    <t>Egyéb közhatalmi bevétel</t>
  </si>
  <si>
    <t>Egyéb bevételek</t>
  </si>
  <si>
    <t>Német Nemzetiségi Önkormányzat</t>
  </si>
  <si>
    <t>Civil szervezetek támogatása</t>
  </si>
  <si>
    <t>Budajenői Polgárőrség</t>
  </si>
  <si>
    <t xml:space="preserve">Ringlein </t>
  </si>
  <si>
    <t>Székely Társulat</t>
  </si>
  <si>
    <t>Egyház</t>
  </si>
  <si>
    <t>Dombtető lakóegyesület</t>
  </si>
  <si>
    <t>Budajenői civil szervezetek támogatása össz</t>
  </si>
  <si>
    <t>Tiszta Formák Alapítvány</t>
  </si>
  <si>
    <t>Civil szervezetek támogatása összesen</t>
  </si>
  <si>
    <t>ZSÁMERT</t>
  </si>
  <si>
    <t xml:space="preserve">BÖT  </t>
  </si>
  <si>
    <t>HÍD</t>
  </si>
  <si>
    <t>Duna-Vértes Köze Reg.Hulladékgaz. Társulás</t>
  </si>
  <si>
    <t>Települési Önkormányzatok Országos Szövetsége (TÖOSZ)</t>
  </si>
  <si>
    <t>Mária Úr Közhasznú Egyesület</t>
  </si>
  <si>
    <t>Társulások támogatása összesen</t>
  </si>
  <si>
    <t>Pro Budajenő Egyesület</t>
  </si>
  <si>
    <t>Megmaradni Alapítvány (kárpátaljai magyrok tám. 5/2015 hat.)</t>
  </si>
  <si>
    <t>Biatorbágy Unicredit (kárpátaljai magyrok tám. 5/2015 hat.)</t>
  </si>
  <si>
    <t>Egyéb adott támogatások</t>
  </si>
  <si>
    <t>Egyéb támogatások összesen</t>
  </si>
  <si>
    <t>Szakfeladat megnevezése</t>
  </si>
  <si>
    <t>Köztemetés</t>
  </si>
  <si>
    <t>Szociális étkezés (HÍD)</t>
  </si>
  <si>
    <t>Települési támogatás</t>
  </si>
  <si>
    <t xml:space="preserve">       rendkívüli támogatás</t>
  </si>
  <si>
    <t xml:space="preserve">       lakhatási támogatás</t>
  </si>
  <si>
    <r>
      <t xml:space="preserve">      </t>
    </r>
    <r>
      <rPr>
        <i/>
        <sz val="11"/>
        <rFont val="Arial CE"/>
        <charset val="238"/>
      </rPr>
      <t xml:space="preserve"> gyógyszer támogatás</t>
    </r>
  </si>
  <si>
    <t xml:space="preserve">       temetési támogatás</t>
  </si>
  <si>
    <t xml:space="preserve">       gyermek iskoláztatási támogatás</t>
  </si>
  <si>
    <t>Karácsonyi ajándékutalványok</t>
  </si>
  <si>
    <t>Létszám 2016          (fő)</t>
  </si>
  <si>
    <t>Polgármester</t>
  </si>
  <si>
    <t>Védőnő</t>
  </si>
  <si>
    <t>Város és községgazdálkodás</t>
  </si>
  <si>
    <t>Szabadidő-sport, kultúra</t>
  </si>
  <si>
    <t>Önkormányzat dolgozói összesen:</t>
  </si>
  <si>
    <t>Budajenő</t>
  </si>
  <si>
    <t>Tök</t>
  </si>
  <si>
    <t>Remeteszőlős</t>
  </si>
  <si>
    <t>Jegyző+ Aljegyző</t>
  </si>
  <si>
    <t>Közös Hivatal dolgozói összesen:</t>
  </si>
  <si>
    <t>óvodai nevelés</t>
  </si>
  <si>
    <t>Konyha</t>
  </si>
  <si>
    <t>Óvodai dolgozók létszáma összesen:</t>
  </si>
  <si>
    <t>MINDÖSSZESEN dolgozók létszáma:</t>
  </si>
  <si>
    <t>Bontás</t>
  </si>
  <si>
    <t>Szöveg</t>
  </si>
  <si>
    <t xml:space="preserve">Módosított </t>
  </si>
  <si>
    <t>A települési önkormányzatok működésének támogatása</t>
  </si>
  <si>
    <t xml:space="preserve">Óvodapedagógusok bértámogatása 1-8. hó, </t>
  </si>
  <si>
    <t xml:space="preserve">Óvodapedagógusok bértámogatása 9-12. hó, </t>
  </si>
  <si>
    <t xml:space="preserve">Óvodapedagógusok pótlólagos bértámogatása 9-12. hó, </t>
  </si>
  <si>
    <t xml:space="preserve">Óvodaped.nevelő munk.közvetlenül segítők bértám. 1-8. hó, </t>
  </si>
  <si>
    <t xml:space="preserve">Óvodaped.nevelő munk.közvetlenül segítők bértám. 9-12. hó, </t>
  </si>
  <si>
    <t xml:space="preserve">Óvodaműködtetési támogatás 1-8.hó, </t>
  </si>
  <si>
    <t xml:space="preserve">Óvodaműködtetési támogatás 9-12.hó, </t>
  </si>
  <si>
    <t>Műkِdési célْú köِltségvetési támogatások és kiegészítő támogatások B115</t>
  </si>
  <si>
    <t>KÖLTSÉGVETÉSI SZERVEK PÉNZMARADVÁNYÁNAK ALAKULÁSA</t>
  </si>
  <si>
    <t xml:space="preserve"> </t>
  </si>
  <si>
    <t xml:space="preserve"> Forintban</t>
  </si>
  <si>
    <t>Forintban</t>
  </si>
  <si>
    <t xml:space="preserve">Önkormányzatok működési és felhalmozási </t>
  </si>
  <si>
    <t>célú költésvetési támogatásának megbontása</t>
  </si>
  <si>
    <t>2/I/1</t>
  </si>
  <si>
    <t>2/I/6</t>
  </si>
  <si>
    <t>A 2015. évről áthúzódó bérkompenzáció támogatása</t>
  </si>
  <si>
    <t>2/II/1/a1</t>
  </si>
  <si>
    <t>2/II/1/a2</t>
  </si>
  <si>
    <t>2/II/1/b</t>
  </si>
  <si>
    <t>2/II/1/c1</t>
  </si>
  <si>
    <t>2/II/1/c2</t>
  </si>
  <si>
    <t>2/II/2/a</t>
  </si>
  <si>
    <t>2/II/2/b</t>
  </si>
  <si>
    <t>2/III/1/7</t>
  </si>
  <si>
    <t>Személyes szabadság korlátozása miatti kárp.</t>
  </si>
  <si>
    <t>2/III/5/a</t>
  </si>
  <si>
    <t>Gyermekétkeztetés, finansz.szemp.eli. szakm.dolg.bértám.</t>
  </si>
  <si>
    <t>2/III/5/b</t>
  </si>
  <si>
    <t>Gyermekétkeztetés üzemeltetési támogatás</t>
  </si>
  <si>
    <t>2/III/5/c</t>
  </si>
  <si>
    <t>A rászoruló gyermekek intézményen kívüli szünidei étk.tám.</t>
  </si>
  <si>
    <t>2/IV/1/d</t>
  </si>
  <si>
    <t>Tel.önk.tám. a nyilvános könyvtári ellátási és a közműv.fela.</t>
  </si>
  <si>
    <t>Települési ِnkormلnyzatok kulturلlis feladatainak tلmogatلsa B114</t>
  </si>
  <si>
    <t>115/EK/1/1</t>
  </si>
  <si>
    <t>2016. évi bérkompenzáció</t>
  </si>
  <si>
    <t>115/EK/1/3</t>
  </si>
  <si>
    <t>A helyi önk.szoc.célú tűzifavásárláshoz kapcs.kieg.tám.</t>
  </si>
  <si>
    <t>Helyi öِnkormányzatok műköِdésének általános támogatása B111</t>
  </si>
  <si>
    <t>Települési öِnkormázatok egyes köِznevelési feladatainak támogatása B112</t>
  </si>
  <si>
    <t>Települési önk.szociális gyermekjóَléti és gyermekétkeztetési feladatainak tám. B113</t>
  </si>
  <si>
    <t>M I D Ö S S Z E S E N</t>
  </si>
  <si>
    <t>2016.évi                 eredeti előirányzat</t>
  </si>
  <si>
    <t>2016. évi módosított előirányzat</t>
  </si>
  <si>
    <t>2016. évi teljesítés</t>
  </si>
  <si>
    <t>a …/2017. (IV. …) önkormányzati rendelet 6. sz. melléklete</t>
  </si>
  <si>
    <t>Pest Megyei Kormányhivatal - nyári diákmunka</t>
  </si>
  <si>
    <t>OEP - Védőnői szolgálat támogatása</t>
  </si>
  <si>
    <t>Kiegészítő gyermekvéd.támogatás - Erzsébet utalvány</t>
  </si>
  <si>
    <t>Bethlen Gábor Alap</t>
  </si>
  <si>
    <t>Tök és Remeteszőlős - HÍD feladataira</t>
  </si>
  <si>
    <t>Kincstár - Közfoglalkoztatottak támogatása</t>
  </si>
  <si>
    <t>EMMI - Magtár Német Közösségi Ház</t>
  </si>
  <si>
    <t>EMMI - Magtár 3.4.szint</t>
  </si>
  <si>
    <t>Nemzeti Kulturális Alap - Papi Sírkert  - utófinanszírozás</t>
  </si>
  <si>
    <t>Német Nemzetiségi Önkormányzat - kölcsön visszatérítés</t>
  </si>
  <si>
    <t>Köz.és K-eur.Tört.és Társ.K - '56-os pályázat</t>
  </si>
  <si>
    <t>Gaildorf - Magtár</t>
  </si>
  <si>
    <t>Gauldorf - Iskola IT eszközök</t>
  </si>
  <si>
    <t>Működési  bevételek</t>
  </si>
  <si>
    <t>Felhalmozási  bevételek</t>
  </si>
  <si>
    <t>Felhalmozási c.átvett pe. államháztartáson belül összesen:</t>
  </si>
  <si>
    <t>Felhalmozási bevételek összesen:</t>
  </si>
  <si>
    <t>Felhalmozási c.átvett pe. államháztartáson kívül összesen:</t>
  </si>
  <si>
    <t>Működési c.átvett pénzeszközök összesen:</t>
  </si>
  <si>
    <t>Dombtető Lakóegyesület</t>
  </si>
  <si>
    <t>Gaildorf - diákcsere,Ringlein Tánccsoport utazás</t>
  </si>
  <si>
    <t>Telek értékesítés áfa bevétele</t>
  </si>
  <si>
    <t>Házzaságkötés,fénymásolás</t>
  </si>
  <si>
    <t>Befektetett pü.eszközök kamat bevétele</t>
  </si>
  <si>
    <t>Egyéb kamat bevételek</t>
  </si>
  <si>
    <t>Közvetített szolgáltatás  (KLIK,Mo-Med Eü.Szolg.,ítelepülésrend.tervek továbbszámlázása)</t>
  </si>
  <si>
    <t>Budajenői Sportegyesületek támogatása</t>
  </si>
  <si>
    <t>Országos Mentőszolgálat Alapítvány Zsámbék Mentőállomás</t>
  </si>
  <si>
    <t>Budajenő Kempo Klub Sportegyesület</t>
  </si>
  <si>
    <t xml:space="preserve"> Forint</t>
  </si>
  <si>
    <t>Tüzifa</t>
  </si>
  <si>
    <t>Kiegészítő gyermekvéd.tám - Erzsébet utalvány</t>
  </si>
  <si>
    <t>a …/2017. (IV. …) önkormányzati rendelet 9. sz. melléklete</t>
  </si>
  <si>
    <t>a …/2017. (IV. …) önkormányzati rendelet 8. sz. melléklete</t>
  </si>
  <si>
    <t>2016. évi létszám</t>
  </si>
  <si>
    <t>a …/2017. (IV. …) önkormányzati rendelet 10. sz. melléklete</t>
  </si>
  <si>
    <r>
      <rPr>
        <b/>
        <i/>
        <sz val="12"/>
        <rFont val="Times New Roman CE"/>
        <charset val="238"/>
      </rPr>
      <t>a …/2017. (IV. …) önkormányzati rendelet 12/a. sz. melléklete</t>
    </r>
    <r>
      <rPr>
        <b/>
        <sz val="12"/>
        <rFont val="Times New Roman CE"/>
        <family val="1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I. Működési célú bevételek és kiadások mérlege
(Önkormányzati szinten)</t>
    </r>
  </si>
  <si>
    <r>
      <rPr>
        <b/>
        <i/>
        <sz val="12"/>
        <rFont val="Times New Roman CE"/>
        <charset val="238"/>
      </rPr>
      <t>a …/2017. (IV. …) önkormányzati rendelet 12/b. sz. melléklete</t>
    </r>
    <r>
      <rPr>
        <b/>
        <sz val="12"/>
        <rFont val="Times New Roman CE"/>
        <family val="1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II. Felhalmozási célú bevételek és kiadások mérlege
(Önkormányzati szinten)</t>
    </r>
  </si>
  <si>
    <t>Összeg  (  Ft )</t>
  </si>
  <si>
    <t>II. Fizetendő általásnos forgalmi adó elszámolása</t>
  </si>
  <si>
    <t>Magtár külső homlokzat</t>
  </si>
  <si>
    <t>Tanterembővítés, lépcső javítás</t>
  </si>
  <si>
    <t xml:space="preserve">Konyha rekonstrukció </t>
  </si>
  <si>
    <t>Járda tervezés (Szőlő hegy I., Kis köz, Tornaterem mellett)</t>
  </si>
  <si>
    <t xml:space="preserve">Útfelújítás (Szőlő u, Szőlő köz) </t>
  </si>
  <si>
    <t>Magtár fszt.közösségi tér</t>
  </si>
  <si>
    <t>Iskola kőrestauráslás</t>
  </si>
  <si>
    <t>Iskola ablakcseréhez értékleltár dokumentáció</t>
  </si>
  <si>
    <t>56-os emlékoszlop</t>
  </si>
  <si>
    <t>Magtár u. ( hrsz.101 )</t>
  </si>
  <si>
    <t>Közvilágítás bővités (I. ütem)</t>
  </si>
  <si>
    <t xml:space="preserve">Útépítés (Kápolna köz) </t>
  </si>
  <si>
    <t>Óvoda konyha i gépek</t>
  </si>
  <si>
    <t>Fő utca - Kossuth utca közötti átjáró Ált.Isk.mellett - 132 hrsz.</t>
  </si>
  <si>
    <t>H.H. - hangfal 2 db</t>
  </si>
  <si>
    <t>Fűkasza</t>
  </si>
  <si>
    <t>H.H. - porszívó</t>
  </si>
  <si>
    <t>Hírdető tábla 3 db</t>
  </si>
  <si>
    <t>Karácsonyi fény díszek 4 db</t>
  </si>
  <si>
    <t>Településrendezési tervek módosítása</t>
  </si>
  <si>
    <t>Iskola IT eszközök</t>
  </si>
  <si>
    <t>2016. évi eredeti előirányzat BEVÉTELEK</t>
  </si>
  <si>
    <t xml:space="preserve"> Forintban </t>
  </si>
  <si>
    <t>a …/2017. (IV. …) önkormányzati rendelet 7/b. sz. melléklete</t>
  </si>
  <si>
    <t>a …/2017. (IV. …) önkormányzati rendelet 7/a. sz. melléklete</t>
  </si>
  <si>
    <t>Egyéb működési célú támogatások bevételei áht.-n belülről</t>
  </si>
  <si>
    <t>Egyéb felhalmozási célú támogatások bevételei áht-n belülről</t>
  </si>
  <si>
    <t>Központi irányítószervi támogatás</t>
  </si>
  <si>
    <t>Központi irányító szervi támogatás</t>
  </si>
  <si>
    <t>2019. évi</t>
  </si>
  <si>
    <t>adatok Ft-ban</t>
  </si>
  <si>
    <t>Forrása</t>
  </si>
  <si>
    <t>Intézmény megnevezése</t>
  </si>
  <si>
    <t>Támogatás</t>
  </si>
  <si>
    <t xml:space="preserve"> Hitel</t>
  </si>
  <si>
    <t>Átvett pénzeszköz</t>
  </si>
  <si>
    <t>Kötvény kibocsátás</t>
  </si>
  <si>
    <t>Beruházások összesen</t>
  </si>
  <si>
    <t>Polgármesteri Hivatal</t>
  </si>
  <si>
    <t>Zöldfa Bölcsőde</t>
  </si>
  <si>
    <t>Kék Géza Művelődési Ház és Könyvtár</t>
  </si>
  <si>
    <t>Felújítások összesen</t>
  </si>
  <si>
    <t>Lakótelep rehabilitációs pályázat</t>
  </si>
  <si>
    <t>Felhalmozási kiadások  összesen</t>
  </si>
  <si>
    <t>adatok főben</t>
  </si>
  <si>
    <t>Intézmények</t>
  </si>
  <si>
    <t>Teljes munkaidőben foglakoztatott</t>
  </si>
  <si>
    <t xml:space="preserve">Teljes munkaidős rehabilitációs foglakoztatott </t>
  </si>
  <si>
    <t>Részmunkaidőben foglalkoztatott</t>
  </si>
  <si>
    <t>Részmunkaidős rehabilitációs foglalkoztatott</t>
  </si>
  <si>
    <t xml:space="preserve">Diósd Város Önkormányzata (polgármester) </t>
  </si>
  <si>
    <t xml:space="preserve">Diósd Város Önkormányzata (alpolgármester) </t>
  </si>
  <si>
    <t>Család- és nővédelmi egészségügyi gondozás Védőnői Szolgálat (közalkalmazott)</t>
  </si>
  <si>
    <t>Önkormányzat összesen</t>
  </si>
  <si>
    <t>Diósd Polgármesteri Hivatal (köztisztviselő)</t>
  </si>
  <si>
    <t>Közterület rendjének fenntartása Polgármesteri Hivatal (köztisztviselő)</t>
  </si>
  <si>
    <t>Diósd Polgármesteri Hivatal (munkaviszony)</t>
  </si>
  <si>
    <t>Polgármesteri Hivatal összesen</t>
  </si>
  <si>
    <t>Óvodai nevelés, ellátás szakmai feladatai Dió Óvoda (közalkalmazott)</t>
  </si>
  <si>
    <t>Óvodai nevelés, ellátás működési feladatai Dió Óvoda (közalkalmazott)</t>
  </si>
  <si>
    <t>Gyermekétkeztetés köznevelési intézményben Dió Óvoda (közalkalmazott)</t>
  </si>
  <si>
    <t>Dió Óvoda összesen</t>
  </si>
  <si>
    <t>Bölcsődei ellátás Zöldfa Bölcsőde  (közalkalmazott)</t>
  </si>
  <si>
    <t>Gyermekétkeztetés bölcsődében Zöldfa Bölcsőde  (közalkalmazott)</t>
  </si>
  <si>
    <t>Zöldfa Bölcsőde összesen</t>
  </si>
  <si>
    <t>Közművelődés - közösségi és társadalmi részvétel fejlesztés Kék Géza Művelődési Ház (közalkalmazott)</t>
  </si>
  <si>
    <t>Könyvtári szolgáltatások Kék Géza Művelődési Ház  (közalkalmazott)</t>
  </si>
  <si>
    <t>Kék Géza Művelődési Ház összesen</t>
  </si>
  <si>
    <t>Összes foglalkoztatott</t>
  </si>
  <si>
    <t>Ebből: köztisztviselő</t>
  </si>
  <si>
    <t xml:space="preserve">            közalkalmazott</t>
  </si>
  <si>
    <t xml:space="preserve">            munkaviszony</t>
  </si>
  <si>
    <t>Összeg</t>
  </si>
  <si>
    <t xml:space="preserve">Közhatalmi bevételek </t>
  </si>
  <si>
    <t xml:space="preserve"> Lízing kiadásai</t>
  </si>
  <si>
    <t>2018.év talajtarhelési díj átvezetése</t>
  </si>
  <si>
    <t>gyalogátkelő(Gárdonyi u, Kossuth-Dózsa, Szt Gellért tér, Alsbach-Hahnlein tér, Tisza u, Szabadság u)</t>
  </si>
  <si>
    <t>felszíni vízelvezetés tervezés</t>
  </si>
  <si>
    <t>önerős útpályázat (Tulipán u. Cinege u)</t>
  </si>
  <si>
    <t>temető átépítés (pénzmaradvány 12,7 M)</t>
  </si>
  <si>
    <t>teherautó vásárlás önrész (pénzmaradvány)</t>
  </si>
  <si>
    <t>FABULOS projekt (10/2018)</t>
  </si>
  <si>
    <t>GRACE projekt (9/2018)</t>
  </si>
  <si>
    <t>Kisértékű tárgyi eszköz ( Polgármesteri Hivatal)</t>
  </si>
  <si>
    <t>Kisértékű tárgyi eszköz ( Diósdi Dió Óvoda)</t>
  </si>
  <si>
    <t>Kisértékű tárgyi eszköz (Zöldfa Bölcsőde)</t>
  </si>
  <si>
    <t>Hangtechnikai eszköz beszerzés (Kék Géza MHK)</t>
  </si>
  <si>
    <t>Könyvtári állomány gyarapítás Kék Géza MHK)</t>
  </si>
  <si>
    <t>Számítógép (Kék Géza MHK)</t>
  </si>
  <si>
    <t xml:space="preserve">Kisértékű tárgyi eszközök (Kék Géza MHK) </t>
  </si>
  <si>
    <t>Diósdi Dió Óvoda</t>
  </si>
  <si>
    <t>útjavítás</t>
  </si>
  <si>
    <t>ÉTV bérleti díjból</t>
  </si>
  <si>
    <t>Működési bevétel</t>
  </si>
  <si>
    <t>Konszolidált bevételek összesen</t>
  </si>
  <si>
    <t>Konszolidált kiadások összesen:</t>
  </si>
  <si>
    <t>Működési tartalék</t>
  </si>
  <si>
    <t xml:space="preserve">            önkormányzat szabad maradványa:</t>
  </si>
  <si>
    <t xml:space="preserve">             intézmények elvont szabad maradványai:</t>
  </si>
  <si>
    <t xml:space="preserve">             közhatalmi bevétel többlet:</t>
  </si>
  <si>
    <t xml:space="preserve">            normatíva kiegészítések:</t>
  </si>
  <si>
    <t xml:space="preserve">            meg nem valosuló beruházások:</t>
  </si>
  <si>
    <t xml:space="preserve">            intézményi elvonások dologiból:</t>
  </si>
  <si>
    <t xml:space="preserve">            PH kárérítés támogatás:</t>
  </si>
  <si>
    <t>Felhalmozási tartalék</t>
  </si>
  <si>
    <t>Tartalék  összesen</t>
  </si>
  <si>
    <t>Diósd Város Önkormányzata 2019. évi bevételeinek és kiadásainak mérlegszerű bemutatása</t>
  </si>
  <si>
    <t xml:space="preserve">Bevételek </t>
  </si>
  <si>
    <t>2019. évi eredeti előirányzat</t>
  </si>
  <si>
    <t>I.</t>
  </si>
  <si>
    <t>MŰKÖDÉSI KÖLTSÉGVETÉSI BEVÉTELEK</t>
  </si>
  <si>
    <t>MŰKÖDÉSI KÖLTSÉGVETÉSI KIADÁSOK</t>
  </si>
  <si>
    <t>A helyi önkormányzatok, helyi nemzetiségi önkormányzatok általános működéséhez és ágazati feladataihoz kapcsolódó támogatások</t>
  </si>
  <si>
    <t>A központi költségvetésből származó egyéb költségvetési támogatások</t>
  </si>
  <si>
    <t>Működési célú támogatás Áht.-on belülről</t>
  </si>
  <si>
    <t>Elkülönített állami pénzalapból</t>
  </si>
  <si>
    <t>Társadalombiztosítás pénzügyi alapjaiból</t>
  </si>
  <si>
    <t>Dologi kiadások</t>
  </si>
  <si>
    <t>Helyi önkormányzattól</t>
  </si>
  <si>
    <t>Térségi fejlesztési tanácstól az Áht.központi  alrendszerén belülről kapott európai uniós forrásból származó pénzeszközből</t>
  </si>
  <si>
    <t>Fejezeti kezelésű előirányzat bevételként elszámolható összeg</t>
  </si>
  <si>
    <t>A központi költségvetés előirányzat-módosítási kötelezettség nélkül túlteljesíthető előirányzatból</t>
  </si>
  <si>
    <t>Adók</t>
  </si>
  <si>
    <t>Illetékek</t>
  </si>
  <si>
    <t>Járulékok</t>
  </si>
  <si>
    <t>Hozzájárulások</t>
  </si>
  <si>
    <t>Bírságok</t>
  </si>
  <si>
    <t>Díjak</t>
  </si>
  <si>
    <t>Más fizetési kötelezettségek</t>
  </si>
  <si>
    <t>Intézményi működési bevétel</t>
  </si>
  <si>
    <t>Áru-és készletértékesítés</t>
  </si>
  <si>
    <t>Nyújtott szolgáltatások ellenértéke</t>
  </si>
  <si>
    <t>Bérleti díj bevételek</t>
  </si>
  <si>
    <t>Intézményi ellátási díjak</t>
  </si>
  <si>
    <t>Alkalmazottak térítése</t>
  </si>
  <si>
    <t>Egyéb sajátos bevétel</t>
  </si>
  <si>
    <t>Áfa bevételek</t>
  </si>
  <si>
    <t>Hozam -és kamatbevételek</t>
  </si>
  <si>
    <t>Működési célú átvett pénzeszköz áh-on kívülről</t>
  </si>
  <si>
    <t>Működési bevételek összesen</t>
  </si>
  <si>
    <t>Működési kiadások összesen</t>
  </si>
  <si>
    <t>II.</t>
  </si>
  <si>
    <t>FELHALMOZÁSI KÖLTSÉGVETÉSI BEVÉTELEK</t>
  </si>
  <si>
    <t>FELHALMOZÁSI KÖLTSÉGVETÉSI KIADÁSOK</t>
  </si>
  <si>
    <t>Felhalmozási célú támogatás Áht.-on belülről</t>
  </si>
  <si>
    <t>Nemzetiségi önkormányzattól</t>
  </si>
  <si>
    <t>Fejezeti kezelésű előirányzat bevételként elszámolható összegből</t>
  </si>
  <si>
    <t>Felhalmozási bevétel</t>
  </si>
  <si>
    <t xml:space="preserve">  tárgyi eszközök és immateriális javak értékesítése</t>
  </si>
  <si>
    <t xml:space="preserve">  pénzügyi befektetések bevételei</t>
  </si>
  <si>
    <t>Felhalmozási célú átvett pénzeszköz</t>
  </si>
  <si>
    <t>Felhalmozási bevételek összesen</t>
  </si>
  <si>
    <t>Felhalmozási kiadások összesen</t>
  </si>
  <si>
    <t>III.</t>
  </si>
  <si>
    <t>MŰKÖDÉSI FINANSZÍROZÁSI BEVÉTELEK</t>
  </si>
  <si>
    <t>MŰKÖDÉSI FINANSZÍROZÁSI KIADÁSOK</t>
  </si>
  <si>
    <t xml:space="preserve"> Befektetési vagy forgatási célú hitelviszonyt megtestesítő értékpapír kibocsátása, értékesítése, beváltása az eladási árban elismert kamat kivételével</t>
  </si>
  <si>
    <t>Befektetési vagy forgatási célú hitelviszonyt megtestesítő értékpapír vásárlása a vételárban elismert kamat kivételével</t>
  </si>
  <si>
    <t>Hosszú lejáratú hitel felvétele</t>
  </si>
  <si>
    <t>Hosszú lejáratú hitel tőkeösszegének törlesztése</t>
  </si>
  <si>
    <t>Rövid lejáratú hitel felvétele</t>
  </si>
  <si>
    <t>Rövid lejáratú hitel tőkeösszegének törlesztése</t>
  </si>
  <si>
    <t>Kölcsön felvétele/visszatérülése</t>
  </si>
  <si>
    <t>Kölcsön tőkeösszegének törlesztése</t>
  </si>
  <si>
    <t>Szabad pénzeszközök betétként való elhelyezése</t>
  </si>
  <si>
    <t>Szabad pénzeszközök betétként való visszavonása</t>
  </si>
  <si>
    <t>Költségvetési maradvány, vállalkozási maradvány</t>
  </si>
  <si>
    <t>Pénzügyi lízing lízingbevevői félként a lízíingszerződésben kikötött tőkerész törlesztésére teljesített kiadások</t>
  </si>
  <si>
    <t>Irányító szervi támogatásként folyósított támogatás fizetési számlán történő jóváírása</t>
  </si>
  <si>
    <t>Irányító szervi támogatásként folyósított támogatás kiutalása</t>
  </si>
  <si>
    <t>Államháztartási megelőlegezések</t>
  </si>
  <si>
    <t>Államháztartási megelőlegezések visszafizetése</t>
  </si>
  <si>
    <t>Működési finanszírozási bevételek</t>
  </si>
  <si>
    <t>Működési finanszírozási kiadások</t>
  </si>
  <si>
    <t>IV.</t>
  </si>
  <si>
    <t>FELHALMOZÁSI FINANSZÍROZÁSI BEVÉTELEK</t>
  </si>
  <si>
    <t>FELHALMOZÁSI FINANSZÍROZÁSI KIADÁSOK</t>
  </si>
  <si>
    <t>Befektetési vagy forgatási célú hitelviszonyt megtestesítő értékpapír kibocsátása, értékesítése, beváltása az eladási árban elismert kamat kivételével</t>
  </si>
  <si>
    <t>Felhalmozási finanszírozási bevételek</t>
  </si>
  <si>
    <t>Felhalmozási  finanszírozási kiadások</t>
  </si>
  <si>
    <t>BEVÉTELEK MINDÖSSZESEN</t>
  </si>
  <si>
    <t>KIADÁSOK MINDÖSSZESEN</t>
  </si>
  <si>
    <t>eredeti előirányzat</t>
  </si>
  <si>
    <t>2019. évi előirányzat</t>
  </si>
  <si>
    <t>064010 Közvilágítás</t>
  </si>
  <si>
    <t>0900020 Funkcióra nem sorolható bevételek ÁH-n kívülről</t>
  </si>
  <si>
    <t>013350 Önkormányzati vagyonnal való gazdálkodás</t>
  </si>
  <si>
    <t>074031 Család-és nővédelmi egészségügyi gondozás</t>
  </si>
  <si>
    <t>072112 Háziorvosi ügyeleti ellátás</t>
  </si>
  <si>
    <t>011130 Önkormányzatok és önk hivatalok jogalkotó és ált. igazg. tev.</t>
  </si>
  <si>
    <t>031030 Közterület rendjének fenntartása</t>
  </si>
  <si>
    <t>016080 Kiemelt állami és önk. rendezvények</t>
  </si>
  <si>
    <t>066010      Zöldterület kezelés</t>
  </si>
  <si>
    <t>066020 Város-, községgazdálkodási egyéb szolgáltatások</t>
  </si>
  <si>
    <t>045160 Közutak, hidak, alagutak üzemeltetése, fenntartása</t>
  </si>
  <si>
    <t>013320 Köztemető-fenntartás és működtetés</t>
  </si>
  <si>
    <t>083030    Egyéb kiadói tevékenység</t>
  </si>
  <si>
    <t>084040 Egyházak működési támogatása</t>
  </si>
  <si>
    <t>084031 Civil szervezetek működési támogatása</t>
  </si>
  <si>
    <t>107051 Szociális étkeztetés</t>
  </si>
  <si>
    <t>107060 Egyéb szociális pénzbeli ellátások, támogatások</t>
  </si>
  <si>
    <t>094260 Hallgatói és oktatói ösztöndíjak és egyéb juttatások</t>
  </si>
  <si>
    <t>104042 Család-és gyermekjóléti szolgáltatások</t>
  </si>
  <si>
    <t>104052   Családtámogatások</t>
  </si>
  <si>
    <t>107052 Házi segítségnyújtás</t>
  </si>
  <si>
    <t>107053 Jelzőrendszeres házi segítségnyújtás</t>
  </si>
  <si>
    <t>101221 Fogyatékossággal élők nappali ellátása</t>
  </si>
  <si>
    <t>104051 Gyermekvédelmi pénzbeli és természetbeli ellátások</t>
  </si>
  <si>
    <t>096015 Gyermekétkeztetés köznevelési intézetben</t>
  </si>
  <si>
    <t>104037 Szünidei étkeztetés</t>
  </si>
  <si>
    <t>096025 Munkahelyi étkeztetés köznevelési intézményben</t>
  </si>
  <si>
    <t>045140 Városi és elővárosi személyszállítás</t>
  </si>
  <si>
    <t>018030 Támogatási célú finanszírozási műveletek</t>
  </si>
  <si>
    <t>900060 Forgatási és befektetési célú finanszírozási műveletek</t>
  </si>
  <si>
    <t>018010 Önkormányzatok elszámolási a központi költségvetéssel</t>
  </si>
  <si>
    <t>072311 Fogorvosi alapellátás</t>
  </si>
  <si>
    <t>L</t>
  </si>
  <si>
    <t>M</t>
  </si>
  <si>
    <t>N</t>
  </si>
  <si>
    <t>O</t>
  </si>
  <si>
    <t>P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</si>
  <si>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</si>
  <si>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</si>
  <si>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</si>
  <si>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</si>
  <si>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</si>
  <si>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</si>
  <si>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</si>
  <si>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</si>
  <si>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</si>
  <si>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</si>
  <si>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</si>
  <si>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</si>
  <si>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</si>
  <si>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</si>
  <si>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</si>
  <si>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</si>
  <si>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</si>
  <si>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</si>
  <si>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</si>
  <si>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066020 Város-és községgazdálkodási egyéb szolg.</t>
  </si>
  <si>
    <t>091110 Óvodai nevelés ellátás szakmai feladatai</t>
  </si>
  <si>
    <t>091140 Óvodai nevelés ellátás működtetési feladatai</t>
  </si>
  <si>
    <t>096015 Gyermekétkeztetés köznevelési intézményben</t>
  </si>
  <si>
    <t>091120 Sajátos nevelési igényű gyermekek óvodai nevelésének, ellátásának szakmai feladatai</t>
  </si>
  <si>
    <t>018130 Támogatási célú finanszírozási műveletek</t>
  </si>
  <si>
    <t>096025 Munkahelyi étkezés köznevelési intézményben</t>
  </si>
  <si>
    <t>104031 Gyermekek bölcsődei ellátása</t>
  </si>
  <si>
    <t>104035 Gyermekétkeztetés bölcsődében</t>
  </si>
  <si>
    <t>104036 Munkahelyi étkeztetés bölcsődében</t>
  </si>
  <si>
    <t>082091 Közművelődés - közösségi és társadalmi részvétel fejlesztés</t>
  </si>
  <si>
    <t>082042 Könyvtári állomány gyarapítása, nyilvántartása</t>
  </si>
  <si>
    <t>082043 Könyvtári állomány feltárása, megőrzése, védelme</t>
  </si>
  <si>
    <t>082044 Könyvtári szolgáltatások</t>
  </si>
  <si>
    <t>086020 Helyi térségi közösségi tér biztosítása, működtetése</t>
  </si>
  <si>
    <t>104042   Család és gyermekjóléti szolgáltatások</t>
  </si>
  <si>
    <t>011130 Önkormányzatok és önk. hivatalok jogalkotó és ált. igazg. tev.</t>
  </si>
  <si>
    <t>016010 Országgyűlési, önkormányzati és ep képviselő választás</t>
  </si>
  <si>
    <r>
      <t xml:space="preserve">   Működési költségvetés kiadásai </t>
    </r>
    <r>
      <rPr>
        <sz val="9"/>
        <rFont val="Times New Roman CE"/>
        <charset val="238"/>
      </rPr>
      <t>(1.1+…+1.5.)</t>
    </r>
  </si>
  <si>
    <r>
      <t xml:space="preserve">   Felhalmozási költségvetés kiadásai </t>
    </r>
    <r>
      <rPr>
        <sz val="9"/>
        <rFont val="Times New Roman CE"/>
        <charset val="238"/>
      </rPr>
      <t>(2.1.+2.3.+2.5.)</t>
    </r>
  </si>
  <si>
    <t>Kedvezmény, mentesség fajtája</t>
  </si>
  <si>
    <t>Helyi iparűzési adó</t>
  </si>
  <si>
    <t>Gépjárműadó (nincs helyi csak központi mentesség)</t>
  </si>
  <si>
    <t>DTC közüzemi díjak</t>
  </si>
  <si>
    <t>Előirányzat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</si>
  <si>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</si>
  <si>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</si>
  <si>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</si>
  <si>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</si>
  <si>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</si>
  <si>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</si>
  <si>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</si>
  <si>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</si>
  <si>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</si>
  <si>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</si>
  <si>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</si>
  <si>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</si>
  <si>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 xml:space="preserve">Önkormányzat működési támogatásai </t>
  </si>
  <si>
    <t xml:space="preserve">Felhalmozási célú támogatások államháztartáson belülről </t>
  </si>
  <si>
    <t xml:space="preserve">Működési bevételek </t>
  </si>
  <si>
    <t xml:space="preserve">Felhalmozási bevételek </t>
  </si>
  <si>
    <t xml:space="preserve">Működési célú átvett pénzeszközök </t>
  </si>
  <si>
    <t xml:space="preserve">Felhalmozási célú átvett pénzeszközök </t>
  </si>
  <si>
    <t>KÖLTSÉGVETÉSI BEVÉTELEK ÖSSZESEN:</t>
  </si>
  <si>
    <t xml:space="preserve">Hitel-, kölcsönfelvétel államháztartáson kívülről </t>
  </si>
  <si>
    <t xml:space="preserve">Belföldi értékpapírok bevételei </t>
  </si>
  <si>
    <t xml:space="preserve">Maradvány igénybevétele </t>
  </si>
  <si>
    <t xml:space="preserve">Belföldi finanszírozás bevételei </t>
  </si>
  <si>
    <t xml:space="preserve">Külföldi finanszírozás bevételei </t>
  </si>
  <si>
    <t xml:space="preserve">   FINANSZÍROZÁSI BEVÉTELEK ÖSSZESEN:</t>
  </si>
  <si>
    <t xml:space="preserve">   BEVÉTELEK ÖSSZESEN</t>
  </si>
  <si>
    <t xml:space="preserve">   Működési költségvetés kiadásai </t>
  </si>
  <si>
    <t xml:space="preserve">   Felhalmozási költségvetés kiadásai</t>
  </si>
  <si>
    <t xml:space="preserve">Tartalékok </t>
  </si>
  <si>
    <t>KÖLTSÉGVETÉSI KIADÁSOK ÖSSZESEN</t>
  </si>
  <si>
    <t xml:space="preserve">Hitel-, kölcsöntörlesztés államháztartáson kívülre </t>
  </si>
  <si>
    <t xml:space="preserve">Belföldi értékpapírok kiadásai </t>
  </si>
  <si>
    <t xml:space="preserve">Belföldi finanszírozás kiadásai </t>
  </si>
  <si>
    <t>Külföldi finanszírozás kiadásai</t>
  </si>
  <si>
    <t xml:space="preserve">FINANSZÍROZÁSI KIADÁSOK ÖSSZESEN: </t>
  </si>
  <si>
    <t>KIADÁSOK ÖSSZESEN:</t>
  </si>
  <si>
    <t xml:space="preserve">2019. évi </t>
  </si>
  <si>
    <t xml:space="preserve">2020. évi </t>
  </si>
  <si>
    <t xml:space="preserve">2021. évi </t>
  </si>
  <si>
    <t xml:space="preserve">2022. évi </t>
  </si>
  <si>
    <t>terv</t>
  </si>
  <si>
    <t>1.   Önkormányzat bevételei</t>
  </si>
  <si>
    <t>Működési bevételek</t>
  </si>
  <si>
    <t xml:space="preserve">   Önkormányzat működési támogatásai</t>
  </si>
  <si>
    <t xml:space="preserve">   Működési célú támogatások </t>
  </si>
  <si>
    <t xml:space="preserve">   Közhatalmi bevételek</t>
  </si>
  <si>
    <t xml:space="preserve">   Működési bevétel</t>
  </si>
  <si>
    <t xml:space="preserve">   Működési célú átvett pénzeszközök</t>
  </si>
  <si>
    <t xml:space="preserve">   Felhalmozási bevétel</t>
  </si>
  <si>
    <t xml:space="preserve">   Felhalmozási célú átvett pénzeszközök</t>
  </si>
  <si>
    <t xml:space="preserve">   Felhalmozási célú önkormányzati támogatás</t>
  </si>
  <si>
    <t xml:space="preserve">   Maradvány igénybevétele</t>
  </si>
  <si>
    <t>Finanszírozási bevételek</t>
  </si>
  <si>
    <t>2.   Polgármesteri Hivatal bevételei</t>
  </si>
  <si>
    <t xml:space="preserve">   Intézményi működési bevétel</t>
  </si>
  <si>
    <t xml:space="preserve">   Működési célú támogatások Áh-n belülről</t>
  </si>
  <si>
    <t>3.   Intézmények bevételei</t>
  </si>
  <si>
    <t xml:space="preserve">   Egyéb működési c. támogatások ÁH-n belülről</t>
  </si>
  <si>
    <t>Bevételek összesen:</t>
  </si>
  <si>
    <t>ezer Ft</t>
  </si>
  <si>
    <t>2020. évi</t>
  </si>
  <si>
    <t>2021. évi</t>
  </si>
  <si>
    <t>2022. évi</t>
  </si>
  <si>
    <t>1. Önkormányzat kiadásai</t>
  </si>
  <si>
    <t>Működési célú kiadások</t>
  </si>
  <si>
    <t xml:space="preserve">   Személyi juttatások</t>
  </si>
  <si>
    <t xml:space="preserve">   Munkaadókat terhelő járulékok</t>
  </si>
  <si>
    <t xml:space="preserve">   Dologi kiadások</t>
  </si>
  <si>
    <t xml:space="preserve">   Ellátottak pénzbeli juttatásai</t>
  </si>
  <si>
    <t xml:space="preserve">   Egyéb működési célú kiadások</t>
  </si>
  <si>
    <t>Felhalmozási célú kiadások</t>
  </si>
  <si>
    <t xml:space="preserve">   Beruházások</t>
  </si>
  <si>
    <t xml:space="preserve">   Felújítások</t>
  </si>
  <si>
    <t xml:space="preserve">   Egyéb felhalmozási kiadások</t>
  </si>
  <si>
    <t>Finanszírozási kiadások</t>
  </si>
  <si>
    <t>2. Polgármesteri Hivatal kiadásai</t>
  </si>
  <si>
    <t>3. Intézmények kiadásai</t>
  </si>
  <si>
    <t>Felhalmozási kiadások</t>
  </si>
  <si>
    <t xml:space="preserve">1. melléklet </t>
  </si>
  <si>
    <t>2. melléklet</t>
  </si>
  <si>
    <t>5. melléklet</t>
  </si>
  <si>
    <t>6.melléklet</t>
  </si>
  <si>
    <t>7. melléklet</t>
  </si>
  <si>
    <t>8. melléklet</t>
  </si>
  <si>
    <t>9. melléklet</t>
  </si>
  <si>
    <t>10. melléklet</t>
  </si>
  <si>
    <t>11. melléklet</t>
  </si>
  <si>
    <t>12. melléklet</t>
  </si>
  <si>
    <t>13. melléklet</t>
  </si>
  <si>
    <t>14. melléklet</t>
  </si>
  <si>
    <t>15. melléklet</t>
  </si>
  <si>
    <t>16. melléklet</t>
  </si>
  <si>
    <t>18. melléklet</t>
  </si>
  <si>
    <t>17. melléklet</t>
  </si>
  <si>
    <t>19. melléklet</t>
  </si>
  <si>
    <t>20. melléklet</t>
  </si>
  <si>
    <t>21. melléklet</t>
  </si>
  <si>
    <t>22. melléklet</t>
  </si>
  <si>
    <t>23. melléklet</t>
  </si>
  <si>
    <t>24. melléklet</t>
  </si>
  <si>
    <t>Kötelező feladazok</t>
  </si>
  <si>
    <t>Módosított                május 29.</t>
  </si>
  <si>
    <t>Módosított                     augusztus 29.</t>
  </si>
  <si>
    <t>módosított                 május 29.</t>
  </si>
  <si>
    <t>módosított     augusztus 29.</t>
  </si>
  <si>
    <t>módosított         május 29</t>
  </si>
  <si>
    <t>módosított         augusztus 29</t>
  </si>
  <si>
    <t>Bölcsöde projekt tervezés</t>
  </si>
  <si>
    <t xml:space="preserve">2019. évi nyitóegyenleg </t>
  </si>
  <si>
    <t>Közhatalmi bevételek 2019</t>
  </si>
  <si>
    <t>Ebből 2019-ben felhasznált zöld terület karbantartás</t>
  </si>
  <si>
    <t xml:space="preserve">Az Alap bevételei </t>
  </si>
  <si>
    <t xml:space="preserve">Az Alap kiadásai </t>
  </si>
  <si>
    <t>Ebből: eredeti/módosított előirányzat</t>
  </si>
  <si>
    <t>Visszatérítendő, kölcsönök Viziközmű Társulás</t>
  </si>
  <si>
    <t>kötvál maradvány településrendezés</t>
  </si>
  <si>
    <t>ÉTH törzstőke emelés 315/2012 öh alapján</t>
  </si>
  <si>
    <t>temető építés módosította a 274/2019 öh</t>
  </si>
  <si>
    <t>ÉTV gördülő felújítás 2018 évi elszámolás alapján</t>
  </si>
  <si>
    <t xml:space="preserve">            Hó- és síkosság mentesítés ellenjegyzésére januári szla</t>
  </si>
  <si>
    <t xml:space="preserve">            Hó- és síkosság mentesítés 2019. évi alapdíj 258/2019. öh</t>
  </si>
  <si>
    <t xml:space="preserve">            Inter-Ambulance szerződés, különbözet 259/2019. öh</t>
  </si>
  <si>
    <t xml:space="preserve">          Kaszálásra Polgármesteri döntés alapján 2019.07.05.</t>
  </si>
  <si>
    <t xml:space="preserve">          Hulladék gyűjtő Polgármesteri döntés alapján 2019.07.09.</t>
  </si>
  <si>
    <t xml:space="preserve">          Bölcsöde projekt tervezése 281/2019. öh alapján</t>
  </si>
  <si>
    <t xml:space="preserve">           új szociális szerződésre 275/2019. öh. alapján</t>
  </si>
  <si>
    <t xml:space="preserve">          Kék Géza rendezvényeire</t>
  </si>
  <si>
    <t xml:space="preserve">           PH köztisztviselők bérkiegészítése 271/2019. öh. (1)</t>
  </si>
  <si>
    <t xml:space="preserve">           Városüzemeltetés dolgozóinak 271/2019. öh (2)</t>
  </si>
  <si>
    <t xml:space="preserve">           Rendőr Járőrszolgálat 265/2019. öh</t>
  </si>
  <si>
    <t xml:space="preserve">            Diósd Város Közbiztonságáért Polgárőr Egyesület 264/2019. öh</t>
  </si>
  <si>
    <t xml:space="preserve">           Junior szerződésből eredő többlet kiadás</t>
  </si>
  <si>
    <t xml:space="preserve">           ÉTH követelés csökkenése miatt</t>
  </si>
  <si>
    <t xml:space="preserve">           Egyéb közhatalmi bevételek túltervezése miatt</t>
  </si>
  <si>
    <t xml:space="preserve">          Óvoda Elvonás visszavezetése</t>
  </si>
  <si>
    <t>Érdekeltség növelő támogatás</t>
  </si>
  <si>
    <t>Felhalm. célú visszatérítendő támogatások, kölcsönök visszatérülése</t>
  </si>
  <si>
    <t xml:space="preserve">  </t>
  </si>
  <si>
    <t>Módosított                     december 12.</t>
  </si>
  <si>
    <t>módosított     december 12.</t>
  </si>
  <si>
    <t>módosított         december 12.</t>
  </si>
  <si>
    <t>Módosított     május 29.</t>
  </si>
  <si>
    <t>Módosított augusztus 29.</t>
  </si>
  <si>
    <t>Módosított december 12.</t>
  </si>
  <si>
    <t>Módosított május 29.</t>
  </si>
  <si>
    <t>Módosított      május 29.</t>
  </si>
  <si>
    <t xml:space="preserve">Módosított augusztus 29. </t>
  </si>
  <si>
    <t>Módosított  december 12.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</si>
  <si>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</si>
  <si>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módosított         december 31.</t>
  </si>
  <si>
    <t>módosított     december 31.</t>
  </si>
  <si>
    <t>Módosított december 31.</t>
  </si>
  <si>
    <t>Módosított                     december 31.</t>
  </si>
  <si>
    <t xml:space="preserve">Módosított előirányzat május 29. </t>
  </si>
  <si>
    <t>Módosított előirányzat augusztus 29.</t>
  </si>
  <si>
    <t>Módosított előirányzat december 12.</t>
  </si>
  <si>
    <t>Módosított előirányzat december 31.</t>
  </si>
  <si>
    <t>gyalogátkelők kialakítása</t>
  </si>
  <si>
    <t>településrendezés kötvál maradvány</t>
  </si>
  <si>
    <t>sportpark, játszóterek, parkok</t>
  </si>
  <si>
    <t>Módosított  december 31.</t>
  </si>
  <si>
    <t>Egyenleg 2019. december 31-én</t>
  </si>
  <si>
    <t>0900020 Funkcióra nem sorolható kiadások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</si>
</sst>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* #,##0.00\ &quot;Ft&quot;_-;\-* #,##0.00\ &quot;Ft&quot;_-;_-* &quot;-&quot;??\ &quot;Ft&quot;_-;_-@_-"/>
    <numFmt numFmtId="164" formatCode="_-* #,##0.00\ _F_t_-;\-* #,##0.00\ _F_t_-;_-* &quot;-&quot;??\ _F_t_-;_-@_-"/>
    <numFmt numFmtId="165" formatCode="#,###"/>
    <numFmt numFmtId="166" formatCode="#"/>
    <numFmt numFmtId="167" formatCode="_-* #,##0\ _F_t_-;\-* #,##0\ _F_t_-;_-* &quot;-&quot;??\ _F_t_-;_-@_-"/>
    <numFmt numFmtId="168" formatCode="#,##0.0"/>
    <numFmt numFmtId="169" formatCode="#,###__;\-#,###__"/>
    <numFmt numFmtId="170" formatCode="00"/>
    <numFmt numFmtId="171" formatCode="#,###\ _F_t;\-#,###\ _F_t"/>
    <numFmt numFmtId="172" formatCode="#,###__"/>
    <numFmt numFmtId="173" formatCode="0__"/>
    <numFmt numFmtId="174" formatCode="\ #,##0&quot;     &quot;;\-#,##0&quot;     &quot;;&quot; -&quot;#&quot;     &quot;;@\ "/>
    <numFmt numFmtId="175" formatCode="\ #,##0.0&quot;     &quot;;\-#,##0.0&quot;     &quot;;&quot; -&quot;#&quot;     &quot;;@\ "/>
  </numFmts>
  <fonts count="149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sz val="11"/>
      <name val="Times New Roman CE"/>
      <family val="1"/>
      <charset val="238"/>
    </font>
    <font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1"/>
      <name val="Times New Roman CE"/>
      <family val="1"/>
      <charset val="238"/>
    </font>
    <font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2"/>
      <color indexed="10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i/>
      <sz val="8"/>
      <name val="Times New Roman CE"/>
      <charset val="238"/>
    </font>
    <font>
      <b/>
      <sz val="11"/>
      <name val="Times New Roman CE"/>
      <charset val="238"/>
    </font>
    <font>
      <b/>
      <i/>
      <sz val="9"/>
      <name val="Times New Roman CE"/>
      <charset val="238"/>
    </font>
    <font>
      <b/>
      <sz val="14"/>
      <name val="Times New Roman CE"/>
      <charset val="238"/>
    </font>
    <font>
      <sz val="9"/>
      <name val="Times New Roman CE"/>
      <charset val="238"/>
    </font>
    <font>
      <b/>
      <sz val="9"/>
      <color indexed="8"/>
      <name val="Times New Roman"/>
      <family val="1"/>
      <charset val="238"/>
    </font>
    <font>
      <sz val="9"/>
      <name val="Times New Roman"/>
      <family val="1"/>
      <charset val="238"/>
    </font>
    <font>
      <sz val="9"/>
      <color indexed="17"/>
      <name val="Times New Roman CE"/>
      <charset val="238"/>
    </font>
    <font>
      <sz val="10"/>
      <color indexed="17"/>
      <name val="Times New Roman CE"/>
      <charset val="238"/>
    </font>
    <font>
      <i/>
      <sz val="8"/>
      <name val="Times New Roman"/>
      <family val="1"/>
      <charset val="238"/>
    </font>
    <font>
      <b/>
      <i/>
      <sz val="8"/>
      <name val="Times New Roman"/>
      <family val="1"/>
      <charset val="238"/>
    </font>
    <font>
      <sz val="12"/>
      <name val="Times New Roman"/>
      <family val="1"/>
      <charset val="238"/>
    </font>
    <font>
      <b/>
      <sz val="11"/>
      <name val="Times New Roman CE"/>
      <family val="1"/>
      <charset val="238"/>
    </font>
    <font>
      <b/>
      <i/>
      <sz val="10"/>
      <name val="Times New Roman CE"/>
      <charset val="238"/>
    </font>
    <font>
      <b/>
      <sz val="6"/>
      <name val="Times New Roman CE"/>
      <family val="1"/>
      <charset val="238"/>
    </font>
    <font>
      <b/>
      <sz val="12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8"/>
      <name val="Times New Roman"/>
      <family val="1"/>
    </font>
    <font>
      <b/>
      <i/>
      <sz val="8"/>
      <name val="Times New Roman"/>
      <family val="1"/>
    </font>
    <font>
      <b/>
      <sz val="12"/>
      <color indexed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Wingdings"/>
      <charset val="2"/>
    </font>
    <font>
      <b/>
      <sz val="8"/>
      <name val="Arial"/>
      <family val="2"/>
      <charset val="238"/>
    </font>
    <font>
      <b/>
      <i/>
      <sz val="4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3"/>
      <color indexed="8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i/>
      <sz val="9"/>
      <name val="Times New Roman"/>
      <family val="1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charset val="238"/>
    </font>
    <font>
      <b/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sz val="8"/>
      <name val="Arial"/>
      <family val="2"/>
      <charset val="238"/>
    </font>
    <font>
      <b/>
      <i/>
      <sz val="10"/>
      <name val="Arial"/>
      <family val="2"/>
      <charset val="238"/>
    </font>
    <font>
      <b/>
      <sz val="9"/>
      <name val="Arial"/>
      <family val="2"/>
      <charset val="238"/>
    </font>
    <font>
      <sz val="8"/>
      <color indexed="10"/>
      <name val="Arial"/>
      <family val="2"/>
      <charset val="238"/>
    </font>
    <font>
      <sz val="14"/>
      <name val="Arial"/>
      <family val="2"/>
      <charset val="238"/>
    </font>
    <font>
      <sz val="16"/>
      <name val="Arial"/>
      <family val="2"/>
      <charset val="238"/>
    </font>
    <font>
      <sz val="16"/>
      <color indexed="10"/>
      <name val="Arial"/>
      <family val="2"/>
      <charset val="238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color rgb="FFFF0000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1"/>
      <name val="Arial CE"/>
      <charset val="238"/>
    </font>
    <font>
      <sz val="10"/>
      <color rgb="FFFF0000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sz val="11"/>
      <name val="Arial CE"/>
      <charset val="238"/>
    </font>
    <font>
      <b/>
      <sz val="10"/>
      <name val="Arial CE"/>
      <charset val="238"/>
    </font>
    <font>
      <sz val="10"/>
      <name val="Times New Roman"/>
      <family val="1"/>
      <charset val="238"/>
    </font>
    <font>
      <sz val="16"/>
      <name val="Arial CE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b/>
      <i/>
      <sz val="20"/>
      <color rgb="FF000080"/>
      <name val="Times New Roman"/>
      <family val="1"/>
      <charset val="238"/>
    </font>
    <font>
      <b/>
      <i/>
      <sz val="11"/>
      <color rgb="FF000080"/>
      <name val="Times New Roman"/>
      <family val="1"/>
      <charset val="238"/>
    </font>
    <font>
      <b/>
      <sz val="11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i/>
      <sz val="9"/>
      <color rgb="FF000080"/>
      <name val="Times New Roman"/>
      <family val="1"/>
      <charset val="238"/>
    </font>
    <font>
      <b/>
      <i/>
      <sz val="11"/>
      <name val="Times New Roman CE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i/>
      <sz val="12"/>
      <name val="Times New Roman CE"/>
      <charset val="238"/>
    </font>
    <font>
      <b/>
      <sz val="7"/>
      <name val="Times New Roman"/>
      <family val="1"/>
    </font>
    <font>
      <b/>
      <i/>
      <sz val="7"/>
      <name val="Times New Roman"/>
      <family val="1"/>
    </font>
    <font>
      <sz val="7"/>
      <name val="Times New Roman"/>
      <family val="1"/>
    </font>
    <font>
      <sz val="7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6"/>
      <color indexed="81"/>
      <name val="Segoe U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i/>
      <sz val="12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i/>
      <sz val="8"/>
      <color theme="1"/>
      <name val="Times New Roman"/>
      <family val="1"/>
      <charset val="238"/>
    </font>
    <font>
      <sz val="8"/>
      <color indexed="81"/>
      <name val="Segoe UI"/>
      <family val="2"/>
      <charset val="238"/>
    </font>
    <font>
      <b/>
      <sz val="10"/>
      <name val="Arial CE"/>
      <family val="2"/>
      <charset val="238"/>
    </font>
    <font>
      <sz val="11"/>
      <name val="Times New Roman"/>
      <family val="1"/>
      <charset val="238"/>
    </font>
    <font>
      <b/>
      <i/>
      <sz val="8"/>
      <name val="Times New Roman CE"/>
      <charset val="238"/>
    </font>
    <font>
      <b/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rgb="FFFF0000"/>
      <name val="Calibri"/>
      <family val="2"/>
      <charset val="238"/>
      <scheme val="minor"/>
    </font>
    <font>
      <b/>
      <sz val="8"/>
      <color rgb="FFFF0000"/>
      <name val="Times New Roman"/>
      <family val="1"/>
      <charset val="238"/>
    </font>
    <font>
      <b/>
      <sz val="8"/>
      <name val="Calibri"/>
      <family val="2"/>
      <charset val="238"/>
    </font>
    <font>
      <sz val="8"/>
      <color theme="1"/>
      <name val="Calibri"/>
      <family val="2"/>
      <charset val="238"/>
    </font>
    <font>
      <b/>
      <i/>
      <sz val="8"/>
      <name val="Calibri"/>
      <family val="2"/>
      <charset val="238"/>
    </font>
    <font>
      <sz val="8"/>
      <name val="Calibri"/>
      <family val="2"/>
      <charset val="238"/>
    </font>
    <font>
      <i/>
      <sz val="8"/>
      <name val="Calibri"/>
      <family val="2"/>
      <charset val="238"/>
    </font>
    <font>
      <b/>
      <sz val="7"/>
      <name val="Times New Roman CE"/>
      <charset val="238"/>
    </font>
    <font>
      <sz val="7"/>
      <name val="Times New Roman CE"/>
      <charset val="238"/>
    </font>
    <font>
      <b/>
      <sz val="7"/>
      <name val="Times New Roman"/>
      <family val="1"/>
      <charset val="238"/>
    </font>
    <font>
      <sz val="7"/>
      <name val="Times New Roman CE"/>
      <family val="1"/>
      <charset val="238"/>
    </font>
    <font>
      <b/>
      <sz val="7"/>
      <name val="Times New Roman CE"/>
      <family val="1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4">
    <fill>
      <patternFill patternType="none"/>
    </fill>
    <fill>
      <patternFill patternType="gray125"/>
    </fill>
    <fill>
      <patternFill patternType="lightHorizontal"/>
    </fill>
    <fill>
      <patternFill patternType="gray125">
        <bgColor indexed="47"/>
      </patternFill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5">
    <xf numFmtId="0" fontId="0" fillId="0" borderId="0"/>
    <xf numFmtId="164" fontId="8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70" fillId="0" borderId="0"/>
    <xf numFmtId="0" fontId="70" fillId="0" borderId="0"/>
    <xf numFmtId="0" fontId="17" fillId="0" borderId="0"/>
    <xf numFmtId="0" fontId="21" fillId="0" borderId="0"/>
    <xf numFmtId="0" fontId="47" fillId="0" borderId="0"/>
    <xf numFmtId="9" fontId="8" fillId="0" borderId="0" applyFont="0" applyFill="0" applyBorder="0" applyAlignment="0" applyProtection="0"/>
    <xf numFmtId="0" fontId="7" fillId="0" borderId="0"/>
    <xf numFmtId="0" fontId="6" fillId="0" borderId="0"/>
    <xf numFmtId="0" fontId="112" fillId="0" borderId="0"/>
    <xf numFmtId="164" fontId="112" fillId="0" borderId="0" applyFont="0" applyFill="0" applyBorder="0" applyAlignment="0" applyProtection="0"/>
    <xf numFmtId="0" fontId="70" fillId="0" borderId="0"/>
    <xf numFmtId="164" fontId="70" fillId="0" borderId="0" applyFont="0" applyFill="0" applyBorder="0" applyAlignment="0" applyProtection="0"/>
    <xf numFmtId="0" fontId="8" fillId="0" borderId="0"/>
    <xf numFmtId="0" fontId="5" fillId="0" borderId="0"/>
    <xf numFmtId="0" fontId="4" fillId="0" borderId="0"/>
    <xf numFmtId="0" fontId="8" fillId="0" borderId="0"/>
    <xf numFmtId="0" fontId="8" fillId="0" borderId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882">
    <xf numFmtId="0" fontId="0" fillId="0" borderId="0" xfId="0"/>
    <xf numFmtId="0" fontId="0" fillId="0" borderId="0" xfId="0" applyFill="1" applyAlignment="1">
      <alignment vertical="center" wrapText="1"/>
    </xf>
    <xf numFmtId="165" fontId="25" fillId="0" borderId="1" xfId="0" applyNumberFormat="1" applyFont="1" applyFill="1" applyBorder="1" applyAlignment="1" applyProtection="1">
      <alignment vertical="center" wrapText="1"/>
      <protection locked="0"/>
    </xf>
    <xf numFmtId="165" fontId="25" fillId="0" borderId="2" xfId="0" applyNumberFormat="1" applyFont="1" applyFill="1" applyBorder="1" applyAlignment="1" applyProtection="1">
      <alignment vertical="center" wrapText="1"/>
      <protection locked="0"/>
    </xf>
    <xf numFmtId="165" fontId="0" fillId="0" borderId="0" xfId="0" applyNumberFormat="1" applyFill="1" applyAlignment="1">
      <alignment vertical="center" wrapText="1"/>
    </xf>
    <xf numFmtId="165" fontId="0" fillId="0" borderId="0" xfId="0" applyNumberFormat="1" applyFill="1" applyAlignment="1">
      <alignment horizontal="center" vertical="center" wrapText="1"/>
    </xf>
    <xf numFmtId="165" fontId="11" fillId="0" borderId="0" xfId="0" applyNumberFormat="1" applyFont="1" applyFill="1" applyAlignment="1">
      <alignment horizontal="center" vertical="center" wrapText="1"/>
    </xf>
    <xf numFmtId="165" fontId="25" fillId="0" borderId="3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0" xfId="0" applyFill="1"/>
    <xf numFmtId="0" fontId="0" fillId="0" borderId="0" xfId="0" applyFill="1" applyAlignment="1"/>
    <xf numFmtId="165" fontId="0" fillId="0" borderId="0" xfId="0" applyNumberFormat="1" applyFill="1" applyAlignment="1" applyProtection="1">
      <alignment vertical="center" wrapText="1"/>
    </xf>
    <xf numFmtId="1" fontId="25" fillId="0" borderId="1" xfId="0" applyNumberFormat="1" applyFont="1" applyFill="1" applyBorder="1" applyAlignment="1" applyProtection="1">
      <alignment vertical="center" wrapText="1"/>
      <protection locked="0"/>
    </xf>
    <xf numFmtId="165" fontId="25" fillId="0" borderId="5" xfId="0" applyNumberFormat="1" applyFont="1" applyFill="1" applyBorder="1" applyAlignment="1" applyProtection="1">
      <alignment horizontal="left" vertical="center" wrapText="1" indent="1"/>
      <protection locked="0"/>
    </xf>
    <xf numFmtId="1" fontId="25" fillId="0" borderId="2" xfId="0" applyNumberFormat="1" applyFont="1" applyFill="1" applyBorder="1" applyAlignment="1" applyProtection="1">
      <alignment vertical="center" wrapText="1"/>
      <protection locked="0"/>
    </xf>
    <xf numFmtId="165" fontId="24" fillId="0" borderId="6" xfId="0" applyNumberFormat="1" applyFont="1" applyFill="1" applyBorder="1" applyAlignment="1" applyProtection="1">
      <alignment vertical="center" wrapText="1"/>
    </xf>
    <xf numFmtId="165" fontId="24" fillId="0" borderId="7" xfId="0" applyNumberFormat="1" applyFont="1" applyFill="1" applyBorder="1" applyAlignment="1" applyProtection="1">
      <alignment vertical="center" wrapText="1"/>
    </xf>
    <xf numFmtId="165" fontId="11" fillId="0" borderId="0" xfId="0" applyNumberFormat="1" applyFont="1" applyFill="1" applyAlignment="1">
      <alignment vertical="center" wrapText="1"/>
    </xf>
    <xf numFmtId="165" fontId="23" fillId="0" borderId="3" xfId="0" applyNumberFormat="1" applyFont="1" applyFill="1" applyBorder="1" applyAlignment="1" applyProtection="1">
      <alignment horizontal="left" vertical="center" wrapText="1" indent="1"/>
      <protection locked="0"/>
    </xf>
    <xf numFmtId="165" fontId="23" fillId="0" borderId="5" xfId="0" applyNumberFormat="1" applyFont="1" applyFill="1" applyBorder="1" applyAlignment="1" applyProtection="1">
      <alignment horizontal="left" vertical="center" wrapText="1" indent="1"/>
      <protection locked="0"/>
    </xf>
    <xf numFmtId="165" fontId="16" fillId="0" borderId="0" xfId="0" applyNumberFormat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165" fontId="24" fillId="2" borderId="6" xfId="0" applyNumberFormat="1" applyFont="1" applyFill="1" applyBorder="1" applyAlignment="1" applyProtection="1">
      <alignment vertical="center" wrapText="1"/>
    </xf>
    <xf numFmtId="0" fontId="0" fillId="0" borderId="0" xfId="0" applyFill="1" applyProtection="1">
      <protection locked="0"/>
    </xf>
    <xf numFmtId="165" fontId="33" fillId="0" borderId="1" xfId="0" applyNumberFormat="1" applyFont="1" applyFill="1" applyBorder="1" applyAlignment="1" applyProtection="1">
      <alignment vertical="center"/>
      <protection locked="0"/>
    </xf>
    <xf numFmtId="165" fontId="33" fillId="0" borderId="2" xfId="0" applyNumberFormat="1" applyFont="1" applyFill="1" applyBorder="1" applyAlignment="1" applyProtection="1">
      <alignment vertical="center"/>
      <protection locked="0"/>
    </xf>
    <xf numFmtId="0" fontId="11" fillId="0" borderId="0" xfId="0" applyFont="1" applyFill="1"/>
    <xf numFmtId="165" fontId="0" fillId="0" borderId="0" xfId="0" applyNumberFormat="1" applyFill="1" applyAlignment="1" applyProtection="1">
      <alignment horizontal="center" vertical="center" wrapText="1"/>
    </xf>
    <xf numFmtId="165" fontId="14" fillId="0" borderId="8" xfId="0" applyNumberFormat="1" applyFont="1" applyFill="1" applyBorder="1" applyAlignment="1" applyProtection="1">
      <alignment horizontal="center" vertical="center" wrapText="1"/>
    </xf>
    <xf numFmtId="165" fontId="14" fillId="0" borderId="6" xfId="0" applyNumberFormat="1" applyFont="1" applyFill="1" applyBorder="1" applyAlignment="1" applyProtection="1">
      <alignment horizontal="center" vertical="center" wrapText="1"/>
    </xf>
    <xf numFmtId="165" fontId="14" fillId="0" borderId="8" xfId="0" applyNumberFormat="1" applyFont="1" applyFill="1" applyBorder="1" applyAlignment="1" applyProtection="1">
      <alignment horizontal="left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vertical="center" wrapText="1"/>
    </xf>
    <xf numFmtId="0" fontId="33" fillId="0" borderId="3" xfId="0" applyFont="1" applyFill="1" applyBorder="1" applyAlignment="1" applyProtection="1">
      <alignment horizontal="center" vertical="center"/>
    </xf>
    <xf numFmtId="165" fontId="32" fillId="0" borderId="9" xfId="0" applyNumberFormat="1" applyFont="1" applyFill="1" applyBorder="1" applyAlignment="1" applyProtection="1">
      <alignment vertical="center"/>
    </xf>
    <xf numFmtId="0" fontId="33" fillId="0" borderId="5" xfId="0" applyFont="1" applyFill="1" applyBorder="1" applyAlignment="1" applyProtection="1">
      <alignment horizontal="center" vertical="center"/>
    </xf>
    <xf numFmtId="0" fontId="33" fillId="0" borderId="2" xfId="0" applyFont="1" applyFill="1" applyBorder="1" applyAlignment="1" applyProtection="1">
      <alignment vertical="center" wrapText="1"/>
    </xf>
    <xf numFmtId="165" fontId="32" fillId="0" borderId="6" xfId="0" applyNumberFormat="1" applyFont="1" applyFill="1" applyBorder="1" applyAlignment="1" applyProtection="1">
      <alignment vertical="center"/>
    </xf>
    <xf numFmtId="165" fontId="32" fillId="0" borderId="7" xfId="0" applyNumberFormat="1" applyFont="1" applyFill="1" applyBorder="1" applyAlignment="1" applyProtection="1">
      <alignment vertical="center"/>
    </xf>
    <xf numFmtId="165" fontId="12" fillId="0" borderId="0" xfId="0" applyNumberFormat="1" applyFont="1" applyFill="1" applyAlignment="1" applyProtection="1">
      <alignment horizontal="right" vertical="center"/>
    </xf>
    <xf numFmtId="165" fontId="36" fillId="0" borderId="10" xfId="0" applyNumberFormat="1" applyFont="1" applyFill="1" applyBorder="1" applyAlignment="1" applyProtection="1">
      <alignment horizontal="right" vertical="center" wrapText="1" indent="1"/>
    </xf>
    <xf numFmtId="165" fontId="32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5" fontId="38" fillId="0" borderId="11" xfId="8" applyNumberFormat="1" applyFont="1" applyFill="1" applyBorder="1" applyAlignment="1" applyProtection="1">
      <alignment vertical="center"/>
    </xf>
    <xf numFmtId="165" fontId="38" fillId="0" borderId="11" xfId="8" applyNumberFormat="1" applyFont="1" applyFill="1" applyBorder="1" applyAlignment="1" applyProtection="1"/>
    <xf numFmtId="0" fontId="14" fillId="0" borderId="13" xfId="8" applyFont="1" applyFill="1" applyBorder="1" applyAlignment="1" applyProtection="1">
      <alignment horizontal="center" vertical="center" wrapText="1"/>
    </xf>
    <xf numFmtId="165" fontId="24" fillId="0" borderId="14" xfId="0" applyNumberFormat="1" applyFont="1" applyFill="1" applyBorder="1" applyAlignment="1" applyProtection="1">
      <alignment horizontal="center" vertical="center" wrapText="1"/>
    </xf>
    <xf numFmtId="165" fontId="25" fillId="0" borderId="15" xfId="0" applyNumberFormat="1" applyFont="1" applyFill="1" applyBorder="1" applyAlignment="1" applyProtection="1">
      <alignment vertical="center" wrapText="1"/>
      <protection locked="0"/>
    </xf>
    <xf numFmtId="165" fontId="32" fillId="0" borderId="9" xfId="0" applyNumberFormat="1" applyFont="1" applyFill="1" applyBorder="1" applyAlignment="1" applyProtection="1">
      <alignment vertical="center" wrapText="1"/>
    </xf>
    <xf numFmtId="165" fontId="25" fillId="0" borderId="16" xfId="0" applyNumberFormat="1" applyFont="1" applyFill="1" applyBorder="1" applyAlignment="1" applyProtection="1">
      <alignment vertical="center" wrapText="1"/>
      <protection locked="0"/>
    </xf>
    <xf numFmtId="165" fontId="24" fillId="0" borderId="18" xfId="0" applyNumberFormat="1" applyFont="1" applyFill="1" applyBorder="1" applyAlignment="1">
      <alignment horizontal="center" vertical="center"/>
    </xf>
    <xf numFmtId="165" fontId="24" fillId="0" borderId="19" xfId="0" applyNumberFormat="1" applyFont="1" applyFill="1" applyBorder="1" applyAlignment="1">
      <alignment horizontal="center" vertical="center"/>
    </xf>
    <xf numFmtId="165" fontId="24" fillId="0" borderId="19" xfId="0" applyNumberFormat="1" applyFont="1" applyFill="1" applyBorder="1" applyAlignment="1">
      <alignment horizontal="center" vertical="center" wrapText="1"/>
    </xf>
    <xf numFmtId="49" fontId="33" fillId="0" borderId="20" xfId="0" applyNumberFormat="1" applyFont="1" applyFill="1" applyBorder="1" applyAlignment="1">
      <alignment horizontal="left" vertical="center"/>
    </xf>
    <xf numFmtId="3" fontId="33" fillId="0" borderId="21" xfId="0" applyNumberFormat="1" applyFont="1" applyFill="1" applyBorder="1" applyAlignment="1" applyProtection="1">
      <alignment horizontal="right" vertical="center"/>
      <protection locked="0"/>
    </xf>
    <xf numFmtId="165" fontId="32" fillId="0" borderId="22" xfId="0" applyNumberFormat="1" applyFont="1" applyFill="1" applyBorder="1" applyAlignment="1">
      <alignment horizontal="right" vertical="center" wrapText="1"/>
    </xf>
    <xf numFmtId="49" fontId="36" fillId="0" borderId="23" xfId="0" quotePrefix="1" applyNumberFormat="1" applyFont="1" applyFill="1" applyBorder="1" applyAlignment="1">
      <alignment horizontal="left" vertical="center" indent="1"/>
    </xf>
    <xf numFmtId="3" fontId="36" fillId="0" borderId="24" xfId="0" applyNumberFormat="1" applyFont="1" applyFill="1" applyBorder="1" applyAlignment="1" applyProtection="1">
      <alignment horizontal="right" vertical="center"/>
      <protection locked="0"/>
    </xf>
    <xf numFmtId="3" fontId="36" fillId="0" borderId="24" xfId="0" applyNumberFormat="1" applyFont="1" applyFill="1" applyBorder="1" applyAlignment="1" applyProtection="1">
      <alignment horizontal="right" vertical="center" wrapText="1"/>
      <protection locked="0"/>
    </xf>
    <xf numFmtId="165" fontId="32" fillId="0" borderId="24" xfId="0" applyNumberFormat="1" applyFont="1" applyFill="1" applyBorder="1" applyAlignment="1">
      <alignment horizontal="right" vertical="center" wrapText="1"/>
    </xf>
    <xf numFmtId="49" fontId="33" fillId="0" borderId="23" xfId="0" applyNumberFormat="1" applyFont="1" applyFill="1" applyBorder="1" applyAlignment="1">
      <alignment horizontal="left" vertical="center"/>
    </xf>
    <xf numFmtId="3" fontId="33" fillId="0" borderId="24" xfId="0" applyNumberFormat="1" applyFont="1" applyFill="1" applyBorder="1" applyAlignment="1" applyProtection="1">
      <alignment horizontal="right" vertical="center"/>
      <protection locked="0"/>
    </xf>
    <xf numFmtId="49" fontId="33" fillId="0" borderId="25" xfId="0" applyNumberFormat="1" applyFont="1" applyFill="1" applyBorder="1" applyAlignment="1" applyProtection="1">
      <alignment horizontal="left" vertical="center"/>
      <protection locked="0"/>
    </xf>
    <xf numFmtId="3" fontId="33" fillId="0" borderId="26" xfId="0" applyNumberFormat="1" applyFont="1" applyFill="1" applyBorder="1" applyAlignment="1" applyProtection="1">
      <alignment horizontal="right" vertical="center"/>
      <protection locked="0"/>
    </xf>
    <xf numFmtId="49" fontId="32" fillId="0" borderId="27" xfId="0" applyNumberFormat="1" applyFont="1" applyFill="1" applyBorder="1" applyAlignment="1" applyProtection="1">
      <alignment horizontal="left" vertical="center" indent="1"/>
      <protection locked="0"/>
    </xf>
    <xf numFmtId="165" fontId="32" fillId="0" borderId="17" xfId="0" applyNumberFormat="1" applyFont="1" applyFill="1" applyBorder="1" applyAlignment="1">
      <alignment vertical="center"/>
    </xf>
    <xf numFmtId="4" fontId="25" fillId="0" borderId="17" xfId="0" applyNumberFormat="1" applyFont="1" applyFill="1" applyBorder="1" applyAlignment="1" applyProtection="1">
      <alignment vertical="center" wrapText="1"/>
      <protection locked="0"/>
    </xf>
    <xf numFmtId="49" fontId="32" fillId="0" borderId="28" xfId="0" applyNumberFormat="1" applyFont="1" applyFill="1" applyBorder="1" applyAlignment="1" applyProtection="1">
      <alignment vertical="center"/>
      <protection locked="0"/>
    </xf>
    <xf numFmtId="49" fontId="32" fillId="0" borderId="28" xfId="0" applyNumberFormat="1" applyFont="1" applyFill="1" applyBorder="1" applyAlignment="1" applyProtection="1">
      <alignment horizontal="right" vertical="center"/>
      <protection locked="0"/>
    </xf>
    <xf numFmtId="3" fontId="25" fillId="0" borderId="28" xfId="0" applyNumberFormat="1" applyFont="1" applyFill="1" applyBorder="1" applyAlignment="1" applyProtection="1">
      <alignment horizontal="right" vertical="center" wrapText="1"/>
      <protection locked="0"/>
    </xf>
    <xf numFmtId="49" fontId="32" fillId="0" borderId="11" xfId="0" applyNumberFormat="1" applyFont="1" applyFill="1" applyBorder="1" applyAlignment="1" applyProtection="1">
      <alignment vertical="center"/>
      <protection locked="0"/>
    </xf>
    <xf numFmtId="49" fontId="32" fillId="0" borderId="11" xfId="0" applyNumberFormat="1" applyFont="1" applyFill="1" applyBorder="1" applyAlignment="1" applyProtection="1">
      <alignment horizontal="right" vertical="center"/>
      <protection locked="0"/>
    </xf>
    <xf numFmtId="3" fontId="25" fillId="0" borderId="11" xfId="0" applyNumberFormat="1" applyFont="1" applyFill="1" applyBorder="1" applyAlignment="1" applyProtection="1">
      <alignment horizontal="right" vertical="center" wrapText="1"/>
      <protection locked="0"/>
    </xf>
    <xf numFmtId="49" fontId="33" fillId="0" borderId="29" xfId="0" applyNumberFormat="1" applyFont="1" applyFill="1" applyBorder="1" applyAlignment="1">
      <alignment horizontal="left" vertical="center"/>
    </xf>
    <xf numFmtId="3" fontId="33" fillId="0" borderId="21" xfId="0" applyNumberFormat="1" applyFont="1" applyFill="1" applyBorder="1" applyAlignment="1" applyProtection="1">
      <alignment horizontal="right" vertical="center" wrapText="1"/>
      <protection locked="0"/>
    </xf>
    <xf numFmtId="165" fontId="24" fillId="0" borderId="21" xfId="0" applyNumberFormat="1" applyFont="1" applyFill="1" applyBorder="1" applyAlignment="1" applyProtection="1">
      <alignment horizontal="right" vertical="center" wrapText="1"/>
    </xf>
    <xf numFmtId="49" fontId="33" fillId="0" borderId="3" xfId="0" applyNumberFormat="1" applyFont="1" applyFill="1" applyBorder="1" applyAlignment="1">
      <alignment horizontal="left" vertical="center"/>
    </xf>
    <xf numFmtId="3" fontId="33" fillId="0" borderId="24" xfId="0" applyNumberFormat="1" applyFont="1" applyFill="1" applyBorder="1" applyAlignment="1" applyProtection="1">
      <alignment horizontal="right" vertical="center" wrapText="1"/>
      <protection locked="0"/>
    </xf>
    <xf numFmtId="165" fontId="32" fillId="0" borderId="24" xfId="0" applyNumberFormat="1" applyFont="1" applyFill="1" applyBorder="1" applyAlignment="1" applyProtection="1">
      <alignment horizontal="right" vertical="center" wrapText="1"/>
    </xf>
    <xf numFmtId="49" fontId="33" fillId="0" borderId="3" xfId="0" applyNumberFormat="1" applyFont="1" applyFill="1" applyBorder="1" applyAlignment="1" applyProtection="1">
      <alignment horizontal="left" vertical="center"/>
      <protection locked="0"/>
    </xf>
    <xf numFmtId="49" fontId="33" fillId="0" borderId="5" xfId="0" applyNumberFormat="1" applyFont="1" applyFill="1" applyBorder="1" applyAlignment="1" applyProtection="1">
      <alignment horizontal="left" vertical="center"/>
      <protection locked="0"/>
    </xf>
    <xf numFmtId="3" fontId="33" fillId="0" borderId="26" xfId="0" applyNumberFormat="1" applyFont="1" applyFill="1" applyBorder="1" applyAlignment="1" applyProtection="1">
      <alignment horizontal="right" vertical="center" wrapText="1"/>
      <protection locked="0"/>
    </xf>
    <xf numFmtId="168" fontId="24" fillId="0" borderId="17" xfId="0" applyNumberFormat="1" applyFont="1" applyFill="1" applyBorder="1" applyAlignment="1">
      <alignment horizontal="left" vertical="center" wrapText="1" indent="1"/>
    </xf>
    <xf numFmtId="168" fontId="46" fillId="0" borderId="0" xfId="0" applyNumberFormat="1" applyFont="1" applyFill="1" applyBorder="1" applyAlignment="1">
      <alignment horizontal="left" vertical="center" wrapText="1"/>
    </xf>
    <xf numFmtId="165" fontId="32" fillId="0" borderId="17" xfId="0" applyNumberFormat="1" applyFont="1" applyFill="1" applyBorder="1" applyAlignment="1">
      <alignment horizontal="center" vertical="center" wrapText="1"/>
    </xf>
    <xf numFmtId="3" fontId="33" fillId="0" borderId="22" xfId="0" applyNumberFormat="1" applyFont="1" applyFill="1" applyBorder="1" applyAlignment="1" applyProtection="1">
      <alignment horizontal="right" vertical="center" wrapText="1"/>
      <protection locked="0"/>
    </xf>
    <xf numFmtId="3" fontId="33" fillId="0" borderId="30" xfId="0" applyNumberFormat="1" applyFont="1" applyFill="1" applyBorder="1" applyAlignment="1" applyProtection="1">
      <alignment horizontal="right" vertical="center" wrapText="1"/>
      <protection locked="0"/>
    </xf>
    <xf numFmtId="3" fontId="33" fillId="0" borderId="31" xfId="0" applyNumberFormat="1" applyFont="1" applyFill="1" applyBorder="1" applyAlignment="1" applyProtection="1">
      <alignment horizontal="right" vertical="center" wrapText="1"/>
      <protection locked="0"/>
    </xf>
    <xf numFmtId="165" fontId="32" fillId="0" borderId="17" xfId="0" applyNumberFormat="1" applyFont="1" applyFill="1" applyBorder="1" applyAlignment="1">
      <alignment horizontal="right" vertical="center" wrapText="1"/>
    </xf>
    <xf numFmtId="4" fontId="24" fillId="0" borderId="22" xfId="0" applyNumberFormat="1" applyFont="1" applyFill="1" applyBorder="1" applyAlignment="1">
      <alignment horizontal="right" vertical="center" wrapText="1"/>
    </xf>
    <xf numFmtId="4" fontId="24" fillId="0" borderId="24" xfId="0" applyNumberFormat="1" applyFont="1" applyFill="1" applyBorder="1" applyAlignment="1">
      <alignment horizontal="right" vertical="center" wrapText="1"/>
    </xf>
    <xf numFmtId="4" fontId="24" fillId="0" borderId="31" xfId="0" applyNumberFormat="1" applyFont="1" applyFill="1" applyBorder="1" applyAlignment="1">
      <alignment horizontal="right" vertical="center" wrapText="1"/>
    </xf>
    <xf numFmtId="0" fontId="14" fillId="0" borderId="32" xfId="0" applyFont="1" applyFill="1" applyBorder="1" applyAlignment="1" applyProtection="1">
      <alignment horizontal="center" vertical="center" wrapText="1"/>
    </xf>
    <xf numFmtId="165" fontId="25" fillId="0" borderId="33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12" xfId="8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6" xfId="0" applyNumberFormat="1" applyFont="1" applyBorder="1" applyAlignment="1" applyProtection="1">
      <alignment horizontal="right" vertical="center" wrapText="1" indent="1"/>
    </xf>
    <xf numFmtId="165" fontId="35" fillId="0" borderId="6" xfId="0" applyNumberFormat="1" applyFont="1" applyFill="1" applyBorder="1" applyAlignment="1" applyProtection="1">
      <alignment horizontal="right" vertical="center" wrapText="1" indent="1"/>
    </xf>
    <xf numFmtId="165" fontId="35" fillId="0" borderId="7" xfId="0" applyNumberFormat="1" applyFont="1" applyFill="1" applyBorder="1" applyAlignment="1" applyProtection="1">
      <alignment horizontal="right" vertical="center" wrapText="1" indent="1"/>
    </xf>
    <xf numFmtId="165" fontId="33" fillId="0" borderId="34" xfId="0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35" xfId="0" applyNumberFormat="1" applyFont="1" applyFill="1" applyBorder="1" applyAlignment="1" applyProtection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165" fontId="25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6" xfId="0" applyNumberFormat="1" applyFont="1" applyFill="1" applyBorder="1" applyAlignment="1" applyProtection="1">
      <alignment horizontal="right" vertical="center" wrapText="1" indent="1"/>
    </xf>
    <xf numFmtId="0" fontId="24" fillId="0" borderId="35" xfId="0" applyFont="1" applyFill="1" applyBorder="1" applyAlignment="1" applyProtection="1">
      <alignment horizontal="center" vertical="center" wrapText="1"/>
    </xf>
    <xf numFmtId="3" fontId="11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36" xfId="0" applyFont="1" applyFill="1" applyBorder="1" applyAlignment="1" applyProtection="1">
      <alignment horizontal="center" vertical="center" wrapText="1"/>
    </xf>
    <xf numFmtId="3" fontId="11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37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38" xfId="0" applyNumberFormat="1" applyFont="1" applyFill="1" applyBorder="1" applyAlignment="1" applyProtection="1">
      <alignment horizontal="right" vertical="center" wrapText="1" indent="1"/>
      <protection locked="0"/>
    </xf>
    <xf numFmtId="165" fontId="0" fillId="0" borderId="0" xfId="0" applyNumberFormat="1" applyFill="1" applyAlignment="1" applyProtection="1">
      <alignment horizontal="center" vertical="center" wrapText="1"/>
      <protection locked="0"/>
    </xf>
    <xf numFmtId="165" fontId="0" fillId="0" borderId="0" xfId="0" applyNumberFormat="1" applyFill="1" applyAlignment="1" applyProtection="1">
      <alignment vertical="center" wrapText="1"/>
      <protection locked="0"/>
    </xf>
    <xf numFmtId="165" fontId="12" fillId="0" borderId="0" xfId="0" applyNumberFormat="1" applyFont="1" applyFill="1" applyAlignment="1" applyProtection="1">
      <alignment horizontal="right" vertical="center"/>
      <protection locked="0"/>
    </xf>
    <xf numFmtId="165" fontId="14" fillId="0" borderId="39" xfId="0" applyNumberFormat="1" applyFont="1" applyFill="1" applyBorder="1" applyAlignment="1" applyProtection="1">
      <alignment horizontal="centerContinuous" vertical="center"/>
    </xf>
    <xf numFmtId="165" fontId="14" fillId="0" borderId="40" xfId="0" applyNumberFormat="1" applyFont="1" applyFill="1" applyBorder="1" applyAlignment="1" applyProtection="1">
      <alignment horizontal="centerContinuous" vertical="center"/>
    </xf>
    <xf numFmtId="165" fontId="14" fillId="0" borderId="41" xfId="0" applyNumberFormat="1" applyFont="1" applyFill="1" applyBorder="1" applyAlignment="1" applyProtection="1">
      <alignment horizontal="centerContinuous" vertical="center"/>
    </xf>
    <xf numFmtId="165" fontId="48" fillId="0" borderId="0" xfId="0" applyNumberFormat="1" applyFont="1" applyFill="1" applyAlignment="1">
      <alignment vertical="center"/>
    </xf>
    <xf numFmtId="165" fontId="14" fillId="0" borderId="14" xfId="0" applyNumberFormat="1" applyFont="1" applyFill="1" applyBorder="1" applyAlignment="1" applyProtection="1">
      <alignment horizontal="center" vertical="center"/>
    </xf>
    <xf numFmtId="165" fontId="14" fillId="0" borderId="42" xfId="0" applyNumberFormat="1" applyFont="1" applyFill="1" applyBorder="1" applyAlignment="1" applyProtection="1">
      <alignment horizontal="center" vertical="center"/>
    </xf>
    <xf numFmtId="165" fontId="14" fillId="0" borderId="13" xfId="0" applyNumberFormat="1" applyFont="1" applyFill="1" applyBorder="1" applyAlignment="1" applyProtection="1">
      <alignment horizontal="center" vertical="center" wrapText="1"/>
    </xf>
    <xf numFmtId="165" fontId="48" fillId="0" borderId="0" xfId="0" applyNumberFormat="1" applyFont="1" applyFill="1" applyAlignment="1">
      <alignment horizontal="center" vertical="center"/>
    </xf>
    <xf numFmtId="165" fontId="24" fillId="0" borderId="6" xfId="0" applyNumberFormat="1" applyFont="1" applyFill="1" applyBorder="1" applyAlignment="1" applyProtection="1">
      <alignment horizontal="center" vertical="center" wrapText="1"/>
    </xf>
    <xf numFmtId="165" fontId="24" fillId="0" borderId="0" xfId="0" applyNumberFormat="1" applyFont="1" applyFill="1" applyAlignment="1">
      <alignment horizontal="center" vertical="center" wrapText="1"/>
    </xf>
    <xf numFmtId="165" fontId="24" fillId="0" borderId="43" xfId="0" applyNumberFormat="1" applyFont="1" applyFill="1" applyBorder="1" applyAlignment="1" applyProtection="1">
      <alignment horizontal="right" vertical="center" wrapText="1" indent="1"/>
    </xf>
    <xf numFmtId="165" fontId="32" fillId="0" borderId="33" xfId="0" applyNumberFormat="1" applyFont="1" applyFill="1" applyBorder="1" applyAlignment="1" applyProtection="1">
      <alignment horizontal="left" vertical="center" wrapText="1" indent="1"/>
    </xf>
    <xf numFmtId="1" fontId="35" fillId="2" borderId="33" xfId="0" applyNumberFormat="1" applyFont="1" applyFill="1" applyBorder="1" applyAlignment="1" applyProtection="1">
      <alignment horizontal="center" vertical="center" wrapText="1"/>
    </xf>
    <xf numFmtId="165" fontId="32" fillId="0" borderId="33" xfId="0" applyNumberFormat="1" applyFont="1" applyFill="1" applyBorder="1" applyAlignment="1" applyProtection="1">
      <alignment vertical="center" wrapText="1"/>
    </xf>
    <xf numFmtId="165" fontId="32" fillId="0" borderId="39" xfId="0" applyNumberFormat="1" applyFont="1" applyFill="1" applyBorder="1" applyAlignment="1" applyProtection="1">
      <alignment vertical="center" wrapText="1"/>
    </xf>
    <xf numFmtId="165" fontId="32" fillId="0" borderId="22" xfId="0" applyNumberFormat="1" applyFont="1" applyFill="1" applyBorder="1" applyAlignment="1" applyProtection="1">
      <alignment vertical="center" wrapText="1"/>
    </xf>
    <xf numFmtId="165" fontId="24" fillId="0" borderId="3" xfId="0" applyNumberFormat="1" applyFont="1" applyFill="1" applyBorder="1" applyAlignment="1" applyProtection="1">
      <alignment horizontal="right" vertical="center" wrapText="1" indent="1"/>
    </xf>
    <xf numFmtId="165" fontId="25" fillId="0" borderId="1" xfId="0" applyNumberFormat="1" applyFont="1" applyFill="1" applyBorder="1" applyAlignment="1" applyProtection="1">
      <alignment horizontal="left" vertical="center" wrapText="1" indent="1"/>
      <protection locked="0"/>
    </xf>
    <xf numFmtId="1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165" fontId="25" fillId="0" borderId="24" xfId="0" applyNumberFormat="1" applyFont="1" applyFill="1" applyBorder="1" applyAlignment="1" applyProtection="1">
      <alignment vertical="center" wrapText="1"/>
    </xf>
    <xf numFmtId="165" fontId="32" fillId="0" borderId="1" xfId="0" applyNumberFormat="1" applyFont="1" applyFill="1" applyBorder="1" applyAlignment="1" applyProtection="1">
      <alignment horizontal="left" vertical="center" wrapText="1" indent="1"/>
    </xf>
    <xf numFmtId="1" fontId="35" fillId="2" borderId="1" xfId="0" applyNumberFormat="1" applyFont="1" applyFill="1" applyBorder="1" applyAlignment="1" applyProtection="1">
      <alignment horizontal="center" vertical="center" wrapText="1"/>
    </xf>
    <xf numFmtId="165" fontId="32" fillId="0" borderId="1" xfId="0" applyNumberFormat="1" applyFont="1" applyFill="1" applyBorder="1" applyAlignment="1" applyProtection="1">
      <alignment vertical="center" wrapText="1"/>
    </xf>
    <xf numFmtId="165" fontId="32" fillId="0" borderId="15" xfId="0" applyNumberFormat="1" applyFont="1" applyFill="1" applyBorder="1" applyAlignment="1" applyProtection="1">
      <alignment vertical="center" wrapText="1"/>
    </xf>
    <xf numFmtId="165" fontId="32" fillId="0" borderId="24" xfId="0" applyNumberFormat="1" applyFont="1" applyFill="1" applyBorder="1" applyAlignment="1" applyProtection="1">
      <alignment vertical="center" wrapText="1"/>
    </xf>
    <xf numFmtId="165" fontId="24" fillId="0" borderId="1" xfId="0" applyNumberFormat="1" applyFont="1" applyFill="1" applyBorder="1" applyAlignment="1" applyProtection="1">
      <alignment horizontal="left" vertical="center" wrapText="1" indent="1"/>
    </xf>
    <xf numFmtId="165" fontId="24" fillId="0" borderId="4" xfId="0" applyNumberFormat="1" applyFont="1" applyFill="1" applyBorder="1" applyAlignment="1" applyProtection="1">
      <alignment horizontal="right" vertical="center" wrapText="1" indent="1"/>
    </xf>
    <xf numFmtId="165" fontId="32" fillId="0" borderId="10" xfId="0" applyNumberFormat="1" applyFont="1" applyFill="1" applyBorder="1" applyAlignment="1" applyProtection="1">
      <alignment horizontal="left" vertical="center" wrapText="1" indent="1"/>
    </xf>
    <xf numFmtId="1" fontId="35" fillId="2" borderId="2" xfId="0" applyNumberFormat="1" applyFont="1" applyFill="1" applyBorder="1" applyAlignment="1" applyProtection="1">
      <alignment horizontal="center" vertical="center" wrapText="1"/>
    </xf>
    <xf numFmtId="165" fontId="32" fillId="0" borderId="10" xfId="0" applyNumberFormat="1" applyFont="1" applyFill="1" applyBorder="1" applyAlignment="1" applyProtection="1">
      <alignment vertical="center" wrapText="1"/>
    </xf>
    <xf numFmtId="165" fontId="32" fillId="0" borderId="44" xfId="0" applyNumberFormat="1" applyFont="1" applyFill="1" applyBorder="1" applyAlignment="1" applyProtection="1">
      <alignment vertical="center" wrapText="1"/>
    </xf>
    <xf numFmtId="1" fontId="20" fillId="0" borderId="44" xfId="0" applyNumberFormat="1" applyFont="1" applyFill="1" applyBorder="1" applyAlignment="1" applyProtection="1">
      <alignment horizontal="center" vertical="center" wrapText="1"/>
      <protection locked="0"/>
    </xf>
    <xf numFmtId="165" fontId="25" fillId="0" borderId="10" xfId="0" applyNumberFormat="1" applyFont="1" applyFill="1" applyBorder="1" applyAlignment="1" applyProtection="1">
      <alignment vertical="center" wrapText="1"/>
      <protection locked="0"/>
    </xf>
    <xf numFmtId="165" fontId="25" fillId="0" borderId="44" xfId="0" applyNumberFormat="1" applyFont="1" applyFill="1" applyBorder="1" applyAlignment="1" applyProtection="1">
      <alignment vertical="center" wrapText="1"/>
      <protection locked="0"/>
    </xf>
    <xf numFmtId="165" fontId="24" fillId="0" borderId="8" xfId="0" applyNumberFormat="1" applyFont="1" applyFill="1" applyBorder="1" applyAlignment="1" applyProtection="1">
      <alignment horizontal="right" vertical="center" wrapText="1" indent="1"/>
    </xf>
    <xf numFmtId="165" fontId="24" fillId="0" borderId="6" xfId="0" applyNumberFormat="1" applyFont="1" applyFill="1" applyBorder="1" applyAlignment="1" applyProtection="1">
      <alignment horizontal="left" vertical="center" wrapText="1" indent="1"/>
    </xf>
    <xf numFmtId="1" fontId="25" fillId="2" borderId="45" xfId="0" applyNumberFormat="1" applyFont="1" applyFill="1" applyBorder="1" applyAlignment="1" applyProtection="1">
      <alignment vertical="center" wrapText="1"/>
    </xf>
    <xf numFmtId="165" fontId="32" fillId="0" borderId="6" xfId="0" applyNumberFormat="1" applyFont="1" applyFill="1" applyBorder="1" applyAlignment="1" applyProtection="1">
      <alignment vertical="center" wrapText="1"/>
    </xf>
    <xf numFmtId="165" fontId="32" fillId="0" borderId="45" xfId="0" applyNumberFormat="1" applyFont="1" applyFill="1" applyBorder="1" applyAlignment="1" applyProtection="1">
      <alignment vertical="center" wrapText="1"/>
    </xf>
    <xf numFmtId="165" fontId="32" fillId="0" borderId="17" xfId="0" applyNumberFormat="1" applyFont="1" applyFill="1" applyBorder="1" applyAlignment="1" applyProtection="1">
      <alignment vertical="center" wrapText="1"/>
    </xf>
    <xf numFmtId="165" fontId="16" fillId="0" borderId="0" xfId="0" applyNumberFormat="1" applyFont="1" applyFill="1" applyAlignment="1">
      <alignment horizontal="center" vertical="center" wrapText="1"/>
    </xf>
    <xf numFmtId="165" fontId="12" fillId="0" borderId="0" xfId="0" applyNumberFormat="1" applyFont="1" applyFill="1" applyAlignment="1">
      <alignment horizontal="right" vertical="center"/>
    </xf>
    <xf numFmtId="165" fontId="14" fillId="0" borderId="42" xfId="0" applyNumberFormat="1" applyFont="1" applyFill="1" applyBorder="1" applyAlignment="1">
      <alignment horizontal="center" vertical="center"/>
    </xf>
    <xf numFmtId="165" fontId="14" fillId="0" borderId="12" xfId="0" applyNumberFormat="1" applyFont="1" applyFill="1" applyBorder="1" applyAlignment="1">
      <alignment horizontal="center" vertical="center"/>
    </xf>
    <xf numFmtId="165" fontId="14" fillId="0" borderId="27" xfId="0" applyNumberFormat="1" applyFont="1" applyFill="1" applyBorder="1" applyAlignment="1">
      <alignment horizontal="center" vertical="center" wrapText="1"/>
    </xf>
    <xf numFmtId="165" fontId="14" fillId="0" borderId="45" xfId="0" applyNumberFormat="1" applyFont="1" applyFill="1" applyBorder="1" applyAlignment="1">
      <alignment horizontal="center" vertical="center" wrapText="1"/>
    </xf>
    <xf numFmtId="165" fontId="14" fillId="0" borderId="7" xfId="0" applyNumberFormat="1" applyFont="1" applyFill="1" applyBorder="1" applyAlignment="1">
      <alignment horizontal="center" vertical="center" wrapText="1"/>
    </xf>
    <xf numFmtId="165" fontId="48" fillId="0" borderId="0" xfId="0" applyNumberFormat="1" applyFont="1" applyFill="1" applyAlignment="1">
      <alignment horizontal="center" vertical="center" wrapText="1"/>
    </xf>
    <xf numFmtId="165" fontId="24" fillId="0" borderId="8" xfId="0" applyNumberFormat="1" applyFont="1" applyFill="1" applyBorder="1" applyAlignment="1">
      <alignment horizontal="right" vertical="center" wrapText="1" indent="1"/>
    </xf>
    <xf numFmtId="165" fontId="24" fillId="0" borderId="17" xfId="0" applyNumberFormat="1" applyFont="1" applyFill="1" applyBorder="1" applyAlignment="1">
      <alignment horizontal="left" vertical="center" wrapText="1" indent="1"/>
    </xf>
    <xf numFmtId="165" fontId="20" fillId="2" borderId="17" xfId="0" applyNumberFormat="1" applyFont="1" applyFill="1" applyBorder="1" applyAlignment="1">
      <alignment horizontal="left" vertical="center" wrapText="1" indent="2"/>
    </xf>
    <xf numFmtId="165" fontId="20" fillId="2" borderId="36" xfId="0" applyNumberFormat="1" applyFont="1" applyFill="1" applyBorder="1" applyAlignment="1">
      <alignment horizontal="left" vertical="center" wrapText="1" indent="2"/>
    </xf>
    <xf numFmtId="165" fontId="24" fillId="0" borderId="8" xfId="0" applyNumberFormat="1" applyFont="1" applyFill="1" applyBorder="1" applyAlignment="1">
      <alignment vertical="center" wrapText="1"/>
    </xf>
    <xf numFmtId="165" fontId="24" fillId="0" borderId="6" xfId="0" applyNumberFormat="1" applyFont="1" applyFill="1" applyBorder="1" applyAlignment="1">
      <alignment vertical="center" wrapText="1"/>
    </xf>
    <xf numFmtId="165" fontId="24" fillId="0" borderId="7" xfId="0" applyNumberFormat="1" applyFont="1" applyFill="1" applyBorder="1" applyAlignment="1">
      <alignment vertical="center" wrapText="1"/>
    </xf>
    <xf numFmtId="165" fontId="24" fillId="0" borderId="3" xfId="0" applyNumberFormat="1" applyFont="1" applyFill="1" applyBorder="1" applyAlignment="1">
      <alignment horizontal="right" vertical="center" wrapText="1" indent="1"/>
    </xf>
    <xf numFmtId="165" fontId="25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6" fontId="20" fillId="0" borderId="24" xfId="0" applyNumberFormat="1" applyFont="1" applyFill="1" applyBorder="1" applyAlignment="1" applyProtection="1">
      <alignment horizontal="right" vertical="center" wrapText="1" indent="2"/>
      <protection locked="0"/>
    </xf>
    <xf numFmtId="166" fontId="20" fillId="0" borderId="1" xfId="0" applyNumberFormat="1" applyFont="1" applyFill="1" applyBorder="1" applyAlignment="1" applyProtection="1">
      <alignment horizontal="right" vertical="center" wrapText="1" indent="2"/>
      <protection locked="0"/>
    </xf>
    <xf numFmtId="165" fontId="25" fillId="0" borderId="3" xfId="0" applyNumberFormat="1" applyFont="1" applyFill="1" applyBorder="1" applyAlignment="1" applyProtection="1">
      <alignment vertical="center" wrapText="1"/>
      <protection locked="0"/>
    </xf>
    <xf numFmtId="165" fontId="25" fillId="0" borderId="9" xfId="0" applyNumberFormat="1" applyFont="1" applyFill="1" applyBorder="1" applyAlignment="1" applyProtection="1">
      <alignment vertical="center" wrapText="1"/>
      <protection locked="0"/>
    </xf>
    <xf numFmtId="165" fontId="20" fillId="2" borderId="17" xfId="0" applyNumberFormat="1" applyFont="1" applyFill="1" applyBorder="1" applyAlignment="1">
      <alignment horizontal="right" vertical="center" wrapText="1" indent="2"/>
    </xf>
    <xf numFmtId="165" fontId="20" fillId="2" borderId="36" xfId="0" applyNumberFormat="1" applyFont="1" applyFill="1" applyBorder="1" applyAlignment="1">
      <alignment horizontal="right" vertical="center" wrapText="1" indent="2"/>
    </xf>
    <xf numFmtId="0" fontId="14" fillId="0" borderId="6" xfId="0" applyFont="1" applyFill="1" applyBorder="1" applyAlignment="1">
      <alignment horizontal="center" vertical="center" wrapText="1"/>
    </xf>
    <xf numFmtId="0" fontId="14" fillId="0" borderId="4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 applyProtection="1">
      <alignment vertical="center" wrapText="1"/>
      <protection locked="0"/>
    </xf>
    <xf numFmtId="165" fontId="33" fillId="0" borderId="15" xfId="0" applyNumberFormat="1" applyFont="1" applyFill="1" applyBorder="1" applyAlignment="1" applyProtection="1">
      <alignment vertical="center"/>
      <protection locked="0"/>
    </xf>
    <xf numFmtId="165" fontId="32" fillId="0" borderId="15" xfId="0" applyNumberFormat="1" applyFont="1" applyFill="1" applyBorder="1" applyAlignment="1" applyProtection="1">
      <alignment vertical="center"/>
    </xf>
    <xf numFmtId="165" fontId="33" fillId="0" borderId="16" xfId="0" applyNumberFormat="1" applyFont="1" applyFill="1" applyBorder="1" applyAlignment="1" applyProtection="1">
      <alignment vertical="center"/>
      <protection locked="0"/>
    </xf>
    <xf numFmtId="0" fontId="33" fillId="0" borderId="46" xfId="0" applyFont="1" applyFill="1" applyBorder="1" applyAlignment="1" applyProtection="1">
      <alignment horizontal="center" vertical="center"/>
    </xf>
    <xf numFmtId="0" fontId="33" fillId="0" borderId="12" xfId="0" applyFont="1" applyFill="1" applyBorder="1" applyAlignment="1" applyProtection="1">
      <alignment vertical="center" wrapText="1"/>
    </xf>
    <xf numFmtId="0" fontId="33" fillId="0" borderId="12" xfId="0" applyFont="1" applyFill="1" applyBorder="1" applyAlignment="1" applyProtection="1">
      <alignment vertical="center" wrapText="1"/>
      <protection locked="0"/>
    </xf>
    <xf numFmtId="165" fontId="33" fillId="0" borderId="12" xfId="0" applyNumberFormat="1" applyFont="1" applyFill="1" applyBorder="1" applyAlignment="1" applyProtection="1">
      <alignment vertical="center"/>
      <protection locked="0"/>
    </xf>
    <xf numFmtId="165" fontId="33" fillId="0" borderId="42" xfId="0" applyNumberFormat="1" applyFont="1" applyFill="1" applyBorder="1" applyAlignment="1" applyProtection="1">
      <alignment vertical="center"/>
      <protection locked="0"/>
    </xf>
    <xf numFmtId="165" fontId="32" fillId="0" borderId="45" xfId="0" applyNumberFormat="1" applyFont="1" applyFill="1" applyBorder="1" applyAlignment="1" applyProtection="1">
      <alignment vertical="center"/>
    </xf>
    <xf numFmtId="165" fontId="32" fillId="0" borderId="13" xfId="0" applyNumberFormat="1" applyFont="1" applyFill="1" applyBorder="1" applyAlignment="1" applyProtection="1">
      <alignment vertical="center"/>
    </xf>
    <xf numFmtId="165" fontId="34" fillId="0" borderId="6" xfId="0" applyNumberFormat="1" applyFont="1" applyFill="1" applyBorder="1" applyAlignment="1" applyProtection="1">
      <alignment vertical="center"/>
    </xf>
    <xf numFmtId="0" fontId="14" fillId="0" borderId="8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50" fillId="0" borderId="8" xfId="0" applyFont="1" applyFill="1" applyBorder="1" applyAlignment="1">
      <alignment horizontal="center" vertical="center" wrapText="1"/>
    </xf>
    <xf numFmtId="0" fontId="50" fillId="0" borderId="6" xfId="0" applyFont="1" applyFill="1" applyBorder="1" applyAlignment="1">
      <alignment horizontal="center" vertical="center" wrapText="1"/>
    </xf>
    <xf numFmtId="0" fontId="50" fillId="0" borderId="7" xfId="0" applyFont="1" applyFill="1" applyBorder="1" applyAlignment="1">
      <alignment horizontal="center" vertical="center" wrapText="1"/>
    </xf>
    <xf numFmtId="0" fontId="33" fillId="0" borderId="29" xfId="0" applyFont="1" applyFill="1" applyBorder="1" applyAlignment="1" applyProtection="1">
      <alignment horizontal="right" vertical="center" wrapText="1" indent="1"/>
    </xf>
    <xf numFmtId="0" fontId="30" fillId="0" borderId="47" xfId="0" applyFont="1" applyFill="1" applyBorder="1" applyAlignment="1" applyProtection="1">
      <alignment horizontal="left" vertical="center" wrapText="1" indent="1"/>
      <protection locked="0"/>
    </xf>
    <xf numFmtId="165" fontId="33" fillId="0" borderId="34" xfId="0" applyNumberFormat="1" applyFont="1" applyFill="1" applyBorder="1" applyAlignment="1" applyProtection="1">
      <alignment horizontal="right" vertical="center" wrapText="1" indent="2"/>
      <protection locked="0"/>
    </xf>
    <xf numFmtId="165" fontId="33" fillId="0" borderId="48" xfId="0" applyNumberFormat="1" applyFont="1" applyFill="1" applyBorder="1" applyAlignment="1" applyProtection="1">
      <alignment horizontal="right" vertical="center" wrapText="1" indent="2"/>
      <protection locked="0"/>
    </xf>
    <xf numFmtId="0" fontId="33" fillId="0" borderId="3" xfId="0" applyFont="1" applyFill="1" applyBorder="1" applyAlignment="1" applyProtection="1">
      <alignment horizontal="right" vertical="center" wrapText="1" indent="1"/>
    </xf>
    <xf numFmtId="0" fontId="30" fillId="0" borderId="49" xfId="0" applyFont="1" applyFill="1" applyBorder="1" applyAlignment="1" applyProtection="1">
      <alignment horizontal="left" vertical="center" wrapText="1" indent="1"/>
      <protection locked="0"/>
    </xf>
    <xf numFmtId="165" fontId="33" fillId="0" borderId="1" xfId="0" applyNumberFormat="1" applyFont="1" applyFill="1" applyBorder="1" applyAlignment="1" applyProtection="1">
      <alignment horizontal="right" vertical="center" wrapText="1" indent="2"/>
      <protection locked="0"/>
    </xf>
    <xf numFmtId="165" fontId="33" fillId="0" borderId="9" xfId="0" applyNumberFormat="1" applyFont="1" applyFill="1" applyBorder="1" applyAlignment="1" applyProtection="1">
      <alignment horizontal="right" vertical="center" wrapText="1" indent="2"/>
      <protection locked="0"/>
    </xf>
    <xf numFmtId="0" fontId="33" fillId="0" borderId="3" xfId="0" applyFont="1" applyFill="1" applyBorder="1" applyAlignment="1">
      <alignment horizontal="right" vertical="center" wrapText="1" indent="1"/>
    </xf>
    <xf numFmtId="0" fontId="30" fillId="0" borderId="49" xfId="0" applyFont="1" applyFill="1" applyBorder="1" applyAlignment="1" applyProtection="1">
      <alignment horizontal="left" vertical="center" wrapText="1" indent="8"/>
      <protection locked="0"/>
    </xf>
    <xf numFmtId="0" fontId="33" fillId="0" borderId="46" xfId="0" applyFont="1" applyFill="1" applyBorder="1" applyAlignment="1">
      <alignment horizontal="right" vertical="center" wrapText="1" indent="1"/>
    </xf>
    <xf numFmtId="165" fontId="33" fillId="0" borderId="12" xfId="0" applyNumberFormat="1" applyFont="1" applyFill="1" applyBorder="1" applyAlignment="1" applyProtection="1">
      <alignment horizontal="right" vertical="center" wrapText="1" indent="2"/>
      <protection locked="0"/>
    </xf>
    <xf numFmtId="165" fontId="33" fillId="0" borderId="13" xfId="0" applyNumberFormat="1" applyFont="1" applyFill="1" applyBorder="1" applyAlignment="1" applyProtection="1">
      <alignment horizontal="right" vertical="center" wrapText="1" indent="2"/>
      <protection locked="0"/>
    </xf>
    <xf numFmtId="0" fontId="0" fillId="0" borderId="0" xfId="0" applyFill="1" applyAlignment="1">
      <alignment horizontal="right" vertical="center" wrapText="1"/>
    </xf>
    <xf numFmtId="0" fontId="0" fillId="0" borderId="0" xfId="0" applyFill="1" applyAlignment="1">
      <alignment horizontal="center" vertical="center" wrapText="1"/>
    </xf>
    <xf numFmtId="0" fontId="49" fillId="0" borderId="0" xfId="0" applyFont="1" applyFill="1" applyAlignment="1">
      <alignment horizontal="right"/>
    </xf>
    <xf numFmtId="0" fontId="34" fillId="0" borderId="50" xfId="0" applyFont="1" applyFill="1" applyBorder="1" applyAlignment="1">
      <alignment horizontal="center" vertical="center" wrapText="1"/>
    </xf>
    <xf numFmtId="0" fontId="34" fillId="0" borderId="51" xfId="0" applyFont="1" applyFill="1" applyBorder="1" applyAlignment="1">
      <alignment horizontal="center" vertical="center"/>
    </xf>
    <xf numFmtId="0" fontId="34" fillId="0" borderId="32" xfId="0" applyFont="1" applyFill="1" applyBorder="1" applyAlignment="1">
      <alignment horizontal="center" vertical="center" wrapText="1"/>
    </xf>
    <xf numFmtId="0" fontId="34" fillId="0" borderId="52" xfId="0" applyFont="1" applyFill="1" applyBorder="1" applyAlignment="1">
      <alignment horizontal="center" vertical="center" wrapText="1"/>
    </xf>
    <xf numFmtId="0" fontId="33" fillId="0" borderId="43" xfId="0" applyFont="1" applyFill="1" applyBorder="1" applyAlignment="1">
      <alignment horizontal="right" vertical="center" indent="1"/>
    </xf>
    <xf numFmtId="0" fontId="33" fillId="0" borderId="33" xfId="0" applyFont="1" applyFill="1" applyBorder="1" applyAlignment="1" applyProtection="1">
      <alignment horizontal="left" vertical="center" indent="1"/>
      <protection locked="0"/>
    </xf>
    <xf numFmtId="3" fontId="33" fillId="0" borderId="39" xfId="0" applyNumberFormat="1" applyFont="1" applyFill="1" applyBorder="1" applyAlignment="1" applyProtection="1">
      <alignment horizontal="right" vertical="center"/>
      <protection locked="0"/>
    </xf>
    <xf numFmtId="3" fontId="33" fillId="0" borderId="53" xfId="0" applyNumberFormat="1" applyFont="1" applyFill="1" applyBorder="1" applyAlignment="1" applyProtection="1">
      <alignment horizontal="right" vertical="center"/>
      <protection locked="0"/>
    </xf>
    <xf numFmtId="0" fontId="33" fillId="0" borderId="3" xfId="0" applyFont="1" applyFill="1" applyBorder="1" applyAlignment="1">
      <alignment horizontal="right" vertical="center" indent="1"/>
    </xf>
    <xf numFmtId="0" fontId="33" fillId="0" borderId="1" xfId="0" applyFont="1" applyFill="1" applyBorder="1" applyAlignment="1" applyProtection="1">
      <alignment horizontal="left" vertical="center" indent="1"/>
      <protection locked="0"/>
    </xf>
    <xf numFmtId="3" fontId="33" fillId="0" borderId="15" xfId="0" applyNumberFormat="1" applyFont="1" applyFill="1" applyBorder="1" applyAlignment="1" applyProtection="1">
      <alignment horizontal="right" vertical="center"/>
      <protection locked="0"/>
    </xf>
    <xf numFmtId="3" fontId="33" fillId="0" borderId="9" xfId="0" applyNumberFormat="1" applyFont="1" applyFill="1" applyBorder="1" applyAlignment="1" applyProtection="1">
      <alignment horizontal="right" vertical="center"/>
      <protection locked="0"/>
    </xf>
    <xf numFmtId="0" fontId="33" fillId="0" borderId="5" xfId="0" applyFont="1" applyFill="1" applyBorder="1" applyAlignment="1">
      <alignment horizontal="right" vertical="center" indent="1"/>
    </xf>
    <xf numFmtId="0" fontId="33" fillId="0" borderId="2" xfId="0" applyFont="1" applyFill="1" applyBorder="1" applyAlignment="1" applyProtection="1">
      <alignment horizontal="left" vertical="center" indent="1"/>
      <protection locked="0"/>
    </xf>
    <xf numFmtId="3" fontId="33" fillId="0" borderId="16" xfId="0" applyNumberFormat="1" applyFont="1" applyFill="1" applyBorder="1" applyAlignment="1" applyProtection="1">
      <alignment horizontal="right" vertical="center"/>
      <protection locked="0"/>
    </xf>
    <xf numFmtId="3" fontId="33" fillId="0" borderId="54" xfId="0" applyNumberFormat="1" applyFont="1" applyFill="1" applyBorder="1" applyAlignment="1" applyProtection="1">
      <alignment horizontal="right" vertical="center"/>
      <protection locked="0"/>
    </xf>
    <xf numFmtId="0" fontId="0" fillId="0" borderId="6" xfId="0" applyFill="1" applyBorder="1" applyAlignment="1">
      <alignment vertical="center"/>
    </xf>
    <xf numFmtId="165" fontId="32" fillId="0" borderId="6" xfId="0" applyNumberFormat="1" applyFont="1" applyFill="1" applyBorder="1" applyAlignment="1">
      <alignment vertical="center" wrapText="1"/>
    </xf>
    <xf numFmtId="165" fontId="32" fillId="0" borderId="7" xfId="0" applyNumberFormat="1" applyFont="1" applyFill="1" applyBorder="1" applyAlignment="1">
      <alignment vertical="center" wrapText="1"/>
    </xf>
    <xf numFmtId="0" fontId="47" fillId="0" borderId="0" xfId="10" applyFill="1"/>
    <xf numFmtId="169" fontId="30" fillId="0" borderId="1" xfId="10" applyNumberFormat="1" applyFont="1" applyFill="1" applyBorder="1" applyAlignment="1" applyProtection="1">
      <alignment horizontal="right" vertical="center" wrapText="1"/>
      <protection locked="0"/>
    </xf>
    <xf numFmtId="169" fontId="30" fillId="0" borderId="9" xfId="10" applyNumberFormat="1" applyFont="1" applyFill="1" applyBorder="1" applyAlignment="1" applyProtection="1">
      <alignment horizontal="right" vertical="center" wrapText="1"/>
      <protection locked="0"/>
    </xf>
    <xf numFmtId="169" fontId="56" fillId="0" borderId="1" xfId="10" applyNumberFormat="1" applyFont="1" applyFill="1" applyBorder="1" applyAlignment="1" applyProtection="1">
      <alignment horizontal="right" vertical="center" wrapText="1"/>
      <protection locked="0"/>
    </xf>
    <xf numFmtId="0" fontId="30" fillId="0" borderId="0" xfId="10" applyFont="1" applyFill="1"/>
    <xf numFmtId="0" fontId="47" fillId="0" borderId="0" xfId="10" applyFont="1" applyFill="1"/>
    <xf numFmtId="0" fontId="21" fillId="0" borderId="0" xfId="9" applyFill="1" applyAlignment="1" applyProtection="1">
      <alignment vertical="center" wrapText="1"/>
    </xf>
    <xf numFmtId="0" fontId="21" fillId="0" borderId="0" xfId="9" applyFill="1" applyAlignment="1" applyProtection="1">
      <alignment horizontal="center" vertical="center"/>
    </xf>
    <xf numFmtId="49" fontId="24" fillId="0" borderId="46" xfId="9" applyNumberFormat="1" applyFont="1" applyFill="1" applyBorder="1" applyAlignment="1" applyProtection="1">
      <alignment horizontal="center" vertical="center" wrapText="1"/>
    </xf>
    <xf numFmtId="49" fontId="24" fillId="0" borderId="12" xfId="9" applyNumberFormat="1" applyFont="1" applyFill="1" applyBorder="1" applyAlignment="1" applyProtection="1">
      <alignment horizontal="center" vertical="center"/>
    </xf>
    <xf numFmtId="49" fontId="24" fillId="0" borderId="13" xfId="9" applyNumberFormat="1" applyFont="1" applyFill="1" applyBorder="1" applyAlignment="1" applyProtection="1">
      <alignment horizontal="center" vertical="center"/>
    </xf>
    <xf numFmtId="49" fontId="20" fillId="0" borderId="0" xfId="9" applyNumberFormat="1" applyFont="1" applyFill="1" applyAlignment="1" applyProtection="1">
      <alignment horizontal="center" vertical="center"/>
    </xf>
    <xf numFmtId="170" fontId="25" fillId="0" borderId="34" xfId="9" applyNumberFormat="1" applyFont="1" applyFill="1" applyBorder="1" applyAlignment="1" applyProtection="1">
      <alignment horizontal="center" vertical="center"/>
    </xf>
    <xf numFmtId="171" fontId="25" fillId="0" borderId="48" xfId="9" applyNumberFormat="1" applyFont="1" applyFill="1" applyBorder="1" applyAlignment="1" applyProtection="1">
      <alignment vertical="center"/>
      <protection locked="0"/>
    </xf>
    <xf numFmtId="170" fontId="25" fillId="0" borderId="1" xfId="9" applyNumberFormat="1" applyFont="1" applyFill="1" applyBorder="1" applyAlignment="1" applyProtection="1">
      <alignment horizontal="center" vertical="center"/>
    </xf>
    <xf numFmtId="171" fontId="25" fillId="0" borderId="9" xfId="9" applyNumberFormat="1" applyFont="1" applyFill="1" applyBorder="1" applyAlignment="1" applyProtection="1">
      <alignment vertical="center"/>
      <protection locked="0"/>
    </xf>
    <xf numFmtId="171" fontId="24" fillId="0" borderId="9" xfId="9" applyNumberFormat="1" applyFont="1" applyFill="1" applyBorder="1" applyAlignment="1" applyProtection="1">
      <alignment vertical="center"/>
    </xf>
    <xf numFmtId="0" fontId="24" fillId="0" borderId="46" xfId="9" applyFont="1" applyFill="1" applyBorder="1" applyAlignment="1" applyProtection="1">
      <alignment horizontal="left" vertical="center" wrapText="1"/>
    </xf>
    <xf numFmtId="170" fontId="25" fillId="0" borderId="12" xfId="9" applyNumberFormat="1" applyFont="1" applyFill="1" applyBorder="1" applyAlignment="1" applyProtection="1">
      <alignment horizontal="center" vertical="center"/>
    </xf>
    <xf numFmtId="171" fontId="24" fillId="0" borderId="13" xfId="9" applyNumberFormat="1" applyFont="1" applyFill="1" applyBorder="1" applyAlignment="1" applyProtection="1">
      <alignment vertical="center"/>
    </xf>
    <xf numFmtId="0" fontId="47" fillId="0" borderId="0" xfId="10" applyFont="1" applyFill="1" applyAlignment="1"/>
    <xf numFmtId="0" fontId="23" fillId="0" borderId="0" xfId="9" applyFont="1" applyFill="1" applyAlignment="1" applyProtection="1">
      <alignment horizontal="center" vertical="center"/>
    </xf>
    <xf numFmtId="0" fontId="29" fillId="0" borderId="8" xfId="10" applyFont="1" applyFill="1" applyBorder="1" applyAlignment="1">
      <alignment horizontal="center" vertical="center"/>
    </xf>
    <xf numFmtId="0" fontId="29" fillId="0" borderId="6" xfId="10" applyFont="1" applyFill="1" applyBorder="1" applyAlignment="1">
      <alignment horizontal="center" vertical="center" wrapText="1"/>
    </xf>
    <xf numFmtId="0" fontId="29" fillId="0" borderId="7" xfId="10" applyFont="1" applyFill="1" applyBorder="1" applyAlignment="1">
      <alignment horizontal="center" vertical="center" wrapText="1"/>
    </xf>
    <xf numFmtId="0" fontId="30" fillId="0" borderId="29" xfId="10" applyFont="1" applyFill="1" applyBorder="1" applyAlignment="1" applyProtection="1">
      <alignment horizontal="left" indent="1"/>
      <protection locked="0"/>
    </xf>
    <xf numFmtId="0" fontId="30" fillId="0" borderId="34" xfId="10" applyFont="1" applyFill="1" applyBorder="1" applyAlignment="1">
      <alignment horizontal="right" indent="1"/>
    </xf>
    <xf numFmtId="3" fontId="30" fillId="0" borderId="34" xfId="10" applyNumberFormat="1" applyFont="1" applyFill="1" applyBorder="1" applyProtection="1">
      <protection locked="0"/>
    </xf>
    <xf numFmtId="3" fontId="30" fillId="0" borderId="48" xfId="10" applyNumberFormat="1" applyFont="1" applyFill="1" applyBorder="1" applyProtection="1">
      <protection locked="0"/>
    </xf>
    <xf numFmtId="0" fontId="30" fillId="0" borderId="3" xfId="10" applyFont="1" applyFill="1" applyBorder="1" applyAlignment="1" applyProtection="1">
      <alignment horizontal="left" indent="1"/>
      <protection locked="0"/>
    </xf>
    <xf numFmtId="0" fontId="30" fillId="0" borderId="1" xfId="10" applyFont="1" applyFill="1" applyBorder="1" applyAlignment="1">
      <alignment horizontal="right" indent="1"/>
    </xf>
    <xf numFmtId="3" fontId="30" fillId="0" borderId="1" xfId="10" applyNumberFormat="1" applyFont="1" applyFill="1" applyBorder="1" applyProtection="1">
      <protection locked="0"/>
    </xf>
    <xf numFmtId="3" fontId="30" fillId="0" borderId="9" xfId="10" applyNumberFormat="1" applyFont="1" applyFill="1" applyBorder="1" applyProtection="1">
      <protection locked="0"/>
    </xf>
    <xf numFmtId="0" fontId="30" fillId="0" borderId="3" xfId="10" applyFont="1" applyFill="1" applyBorder="1" applyProtection="1">
      <protection locked="0"/>
    </xf>
    <xf numFmtId="0" fontId="30" fillId="0" borderId="5" xfId="10" applyFont="1" applyFill="1" applyBorder="1" applyProtection="1">
      <protection locked="0"/>
    </xf>
    <xf numFmtId="0" fontId="30" fillId="0" borderId="2" xfId="10" applyFont="1" applyFill="1" applyBorder="1" applyAlignment="1">
      <alignment horizontal="right" indent="1"/>
    </xf>
    <xf numFmtId="3" fontId="30" fillId="0" borderId="2" xfId="10" applyNumberFormat="1" applyFont="1" applyFill="1" applyBorder="1" applyProtection="1">
      <protection locked="0"/>
    </xf>
    <xf numFmtId="3" fontId="30" fillId="0" borderId="54" xfId="10" applyNumberFormat="1" applyFont="1" applyFill="1" applyBorder="1" applyProtection="1">
      <protection locked="0"/>
    </xf>
    <xf numFmtId="3" fontId="30" fillId="0" borderId="55" xfId="10" applyNumberFormat="1" applyFont="1" applyFill="1" applyBorder="1"/>
    <xf numFmtId="0" fontId="57" fillId="0" borderId="0" xfId="10" applyFont="1" applyFill="1"/>
    <xf numFmtId="0" fontId="58" fillId="0" borderId="8" xfId="10" applyFont="1" applyFill="1" applyBorder="1" applyAlignment="1">
      <alignment horizontal="center" vertical="center"/>
    </xf>
    <xf numFmtId="0" fontId="58" fillId="0" borderId="6" xfId="10" applyFont="1" applyFill="1" applyBorder="1" applyAlignment="1">
      <alignment horizontal="center" vertical="center" wrapText="1"/>
    </xf>
    <xf numFmtId="0" fontId="58" fillId="0" borderId="7" xfId="10" applyFont="1" applyFill="1" applyBorder="1" applyAlignment="1">
      <alignment horizontal="center" vertical="center" wrapText="1"/>
    </xf>
    <xf numFmtId="0" fontId="30" fillId="0" borderId="46" xfId="10" applyFont="1" applyFill="1" applyBorder="1" applyAlignment="1" applyProtection="1">
      <alignment horizontal="left" indent="1"/>
      <protection locked="0"/>
    </xf>
    <xf numFmtId="0" fontId="30" fillId="0" borderId="12" xfId="10" applyFont="1" applyFill="1" applyBorder="1" applyAlignment="1">
      <alignment horizontal="right" indent="1"/>
    </xf>
    <xf numFmtId="3" fontId="30" fillId="0" borderId="12" xfId="10" applyNumberFormat="1" applyFont="1" applyFill="1" applyBorder="1" applyProtection="1">
      <protection locked="0"/>
    </xf>
    <xf numFmtId="3" fontId="30" fillId="0" borderId="13" xfId="10" applyNumberFormat="1" applyFont="1" applyFill="1" applyBorder="1" applyProtection="1">
      <protection locked="0"/>
    </xf>
    <xf numFmtId="0" fontId="57" fillId="0" borderId="0" xfId="0" applyFont="1" applyFill="1"/>
    <xf numFmtId="0" fontId="48" fillId="0" borderId="0" xfId="0" applyFont="1" applyFill="1" applyAlignment="1">
      <alignment horizontal="center"/>
    </xf>
    <xf numFmtId="0" fontId="26" fillId="0" borderId="0" xfId="0" applyFont="1" applyFill="1" applyAlignment="1">
      <alignment horizontal="right"/>
    </xf>
    <xf numFmtId="0" fontId="11" fillId="0" borderId="8" xfId="0" applyFont="1" applyFill="1" applyBorder="1" applyAlignment="1">
      <alignment horizontal="center" vertical="center" wrapText="1"/>
    </xf>
    <xf numFmtId="0" fontId="48" fillId="0" borderId="6" xfId="0" applyFont="1" applyFill="1" applyBorder="1" applyAlignment="1">
      <alignment horizontal="center" vertical="center"/>
    </xf>
    <xf numFmtId="0" fontId="48" fillId="0" borderId="7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29" xfId="0" applyFill="1" applyBorder="1" applyAlignment="1">
      <alignment horizontal="center" vertical="center"/>
    </xf>
    <xf numFmtId="0" fontId="0" fillId="0" borderId="34" xfId="0" applyFill="1" applyBorder="1" applyAlignment="1" applyProtection="1">
      <alignment horizontal="left" vertical="center" wrapText="1" indent="1"/>
      <protection locked="0"/>
    </xf>
    <xf numFmtId="172" fontId="34" fillId="0" borderId="48" xfId="0" applyNumberFormat="1" applyFont="1" applyFill="1" applyBorder="1" applyAlignment="1" applyProtection="1">
      <alignment horizontal="right" vertical="center"/>
    </xf>
    <xf numFmtId="0" fontId="0" fillId="0" borderId="3" xfId="0" applyFill="1" applyBorder="1" applyAlignment="1">
      <alignment horizontal="center" vertical="center"/>
    </xf>
    <xf numFmtId="0" fontId="59" fillId="0" borderId="1" xfId="0" applyFont="1" applyFill="1" applyBorder="1" applyAlignment="1">
      <alignment horizontal="left" vertical="center" indent="5"/>
    </xf>
    <xf numFmtId="172" fontId="40" fillId="0" borderId="9" xfId="0" applyNumberFormat="1" applyFont="1" applyFill="1" applyBorder="1" applyAlignment="1" applyProtection="1">
      <alignment horizontal="right" vertical="center"/>
      <protection locked="0"/>
    </xf>
    <xf numFmtId="0" fontId="0" fillId="0" borderId="5" xfId="0" applyFill="1" applyBorder="1" applyAlignment="1">
      <alignment horizontal="center" vertical="center"/>
    </xf>
    <xf numFmtId="172" fontId="40" fillId="0" borderId="54" xfId="0" applyNumberFormat="1" applyFont="1" applyFill="1" applyBorder="1" applyAlignment="1" applyProtection="1">
      <alignment horizontal="right" vertical="center"/>
      <protection locked="0"/>
    </xf>
    <xf numFmtId="0" fontId="0" fillId="0" borderId="43" xfId="0" applyFill="1" applyBorder="1" applyAlignment="1">
      <alignment horizontal="center" vertical="center"/>
    </xf>
    <xf numFmtId="0" fontId="0" fillId="0" borderId="33" xfId="0" applyFill="1" applyBorder="1" applyAlignment="1" applyProtection="1">
      <alignment horizontal="left" vertical="center" wrapText="1" indent="1"/>
      <protection locked="0"/>
    </xf>
    <xf numFmtId="172" fontId="34" fillId="0" borderId="53" xfId="0" applyNumberFormat="1" applyFont="1" applyFill="1" applyBorder="1" applyAlignment="1" applyProtection="1">
      <alignment horizontal="right" vertical="center"/>
    </xf>
    <xf numFmtId="0" fontId="0" fillId="0" borderId="46" xfId="0" applyFill="1" applyBorder="1" applyAlignment="1">
      <alignment horizontal="center" vertical="center"/>
    </xf>
    <xf numFmtId="0" fontId="59" fillId="0" borderId="12" xfId="0" applyFont="1" applyFill="1" applyBorder="1" applyAlignment="1">
      <alignment horizontal="left" vertical="center" indent="5"/>
    </xf>
    <xf numFmtId="172" fontId="40" fillId="0" borderId="13" xfId="0" applyNumberFormat="1" applyFont="1" applyFill="1" applyBorder="1" applyAlignment="1" applyProtection="1">
      <alignment horizontal="right" vertical="center"/>
      <protection locked="0"/>
    </xf>
    <xf numFmtId="0" fontId="32" fillId="0" borderId="8" xfId="0" applyFont="1" applyFill="1" applyBorder="1" applyAlignment="1">
      <alignment horizontal="right" vertical="center" wrapText="1" indent="1"/>
    </xf>
    <xf numFmtId="0" fontId="32" fillId="0" borderId="6" xfId="0" applyFont="1" applyFill="1" applyBorder="1" applyAlignment="1">
      <alignment vertical="center" wrapText="1"/>
    </xf>
    <xf numFmtId="165" fontId="32" fillId="0" borderId="6" xfId="0" applyNumberFormat="1" applyFont="1" applyFill="1" applyBorder="1" applyAlignment="1">
      <alignment horizontal="right" vertical="center" wrapText="1" indent="2"/>
    </xf>
    <xf numFmtId="165" fontId="32" fillId="0" borderId="7" xfId="0" applyNumberFormat="1" applyFont="1" applyFill="1" applyBorder="1" applyAlignment="1">
      <alignment horizontal="right" vertical="center" wrapText="1" indent="2"/>
    </xf>
    <xf numFmtId="0" fontId="0" fillId="0" borderId="0" xfId="0" applyProtection="1"/>
    <xf numFmtId="0" fontId="61" fillId="0" borderId="0" xfId="0" applyFont="1" applyAlignment="1" applyProtection="1">
      <alignment horizontal="right"/>
    </xf>
    <xf numFmtId="0" fontId="62" fillId="0" borderId="0" xfId="0" applyFont="1" applyAlignment="1" applyProtection="1">
      <alignment horizontal="center"/>
    </xf>
    <xf numFmtId="0" fontId="63" fillId="0" borderId="8" xfId="0" applyFont="1" applyBorder="1" applyAlignment="1" applyProtection="1">
      <alignment horizontal="center" vertical="center" wrapText="1"/>
    </xf>
    <xf numFmtId="0" fontId="62" fillId="0" borderId="6" xfId="0" applyFont="1" applyBorder="1" applyAlignment="1" applyProtection="1">
      <alignment horizontal="center" vertical="center" wrapText="1"/>
    </xf>
    <xf numFmtId="0" fontId="62" fillId="0" borderId="7" xfId="0" applyFont="1" applyBorder="1" applyAlignment="1" applyProtection="1">
      <alignment horizontal="center" vertical="center" wrapText="1"/>
    </xf>
    <xf numFmtId="0" fontId="62" fillId="0" borderId="29" xfId="0" applyFont="1" applyBorder="1" applyAlignment="1" applyProtection="1">
      <alignment horizontal="center" vertical="top" wrapText="1"/>
    </xf>
    <xf numFmtId="0" fontId="62" fillId="0" borderId="3" xfId="0" applyFont="1" applyBorder="1" applyAlignment="1" applyProtection="1">
      <alignment horizontal="center" vertical="top" wrapText="1"/>
    </xf>
    <xf numFmtId="0" fontId="62" fillId="0" borderId="5" xfId="0" applyFont="1" applyBorder="1" applyAlignment="1" applyProtection="1">
      <alignment horizontal="center" vertical="top" wrapText="1"/>
    </xf>
    <xf numFmtId="0" fontId="62" fillId="3" borderId="6" xfId="0" applyFont="1" applyFill="1" applyBorder="1" applyAlignment="1" applyProtection="1">
      <alignment horizontal="center" vertical="top" wrapText="1"/>
    </xf>
    <xf numFmtId="0" fontId="64" fillId="0" borderId="34" xfId="0" applyFont="1" applyBorder="1" applyAlignment="1" applyProtection="1">
      <alignment horizontal="left" vertical="top" wrapText="1"/>
      <protection locked="0"/>
    </xf>
    <xf numFmtId="0" fontId="64" fillId="0" borderId="1" xfId="0" applyFont="1" applyBorder="1" applyAlignment="1" applyProtection="1">
      <alignment horizontal="left" vertical="top" wrapText="1"/>
      <protection locked="0"/>
    </xf>
    <xf numFmtId="0" fontId="64" fillId="0" borderId="2" xfId="0" applyFont="1" applyBorder="1" applyAlignment="1" applyProtection="1">
      <alignment horizontal="left" vertical="top" wrapText="1"/>
      <protection locked="0"/>
    </xf>
    <xf numFmtId="9" fontId="64" fillId="0" borderId="34" xfId="11" applyFont="1" applyBorder="1" applyAlignment="1" applyProtection="1">
      <alignment horizontal="center" vertical="center" wrapText="1"/>
      <protection locked="0"/>
    </xf>
    <xf numFmtId="9" fontId="64" fillId="0" borderId="1" xfId="11" applyFont="1" applyBorder="1" applyAlignment="1" applyProtection="1">
      <alignment horizontal="center" vertical="center" wrapText="1"/>
      <protection locked="0"/>
    </xf>
    <xf numFmtId="9" fontId="64" fillId="0" borderId="2" xfId="11" applyFont="1" applyBorder="1" applyAlignment="1" applyProtection="1">
      <alignment horizontal="center" vertical="center" wrapText="1"/>
      <protection locked="0"/>
    </xf>
    <xf numFmtId="167" fontId="64" fillId="0" borderId="34" xfId="1" applyNumberFormat="1" applyFont="1" applyBorder="1" applyAlignment="1" applyProtection="1">
      <alignment horizontal="center" vertical="center" wrapText="1"/>
      <protection locked="0"/>
    </xf>
    <xf numFmtId="167" fontId="64" fillId="0" borderId="1" xfId="1" applyNumberFormat="1" applyFont="1" applyBorder="1" applyAlignment="1" applyProtection="1">
      <alignment horizontal="center" vertical="center" wrapText="1"/>
      <protection locked="0"/>
    </xf>
    <xf numFmtId="167" fontId="64" fillId="0" borderId="2" xfId="1" applyNumberFormat="1" applyFont="1" applyBorder="1" applyAlignment="1" applyProtection="1">
      <alignment horizontal="center" vertical="center" wrapText="1"/>
      <protection locked="0"/>
    </xf>
    <xf numFmtId="167" fontId="64" fillId="0" borderId="6" xfId="1" applyNumberFormat="1" applyFont="1" applyBorder="1" applyAlignment="1" applyProtection="1">
      <alignment horizontal="center" vertical="center" wrapText="1"/>
    </xf>
    <xf numFmtId="167" fontId="64" fillId="0" borderId="48" xfId="1" applyNumberFormat="1" applyFont="1" applyBorder="1" applyAlignment="1" applyProtection="1">
      <alignment horizontal="center" vertical="top" wrapText="1"/>
      <protection locked="0"/>
    </xf>
    <xf numFmtId="167" fontId="64" fillId="0" borderId="9" xfId="1" applyNumberFormat="1" applyFont="1" applyBorder="1" applyAlignment="1" applyProtection="1">
      <alignment horizontal="center" vertical="top" wrapText="1"/>
      <protection locked="0"/>
    </xf>
    <xf numFmtId="167" fontId="64" fillId="0" borderId="54" xfId="1" applyNumberFormat="1" applyFont="1" applyBorder="1" applyAlignment="1" applyProtection="1">
      <alignment horizontal="center" vertical="top" wrapText="1"/>
      <protection locked="0"/>
    </xf>
    <xf numFmtId="167" fontId="64" fillId="0" borderId="7" xfId="1" applyNumberFormat="1" applyFont="1" applyBorder="1" applyAlignment="1" applyProtection="1">
      <alignment horizontal="center" vertical="top" wrapText="1"/>
    </xf>
    <xf numFmtId="1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horizontal="center" vertical="center" wrapText="1"/>
    </xf>
    <xf numFmtId="0" fontId="11" fillId="0" borderId="0" xfId="0" applyFont="1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vertical="center" wrapText="1"/>
    </xf>
    <xf numFmtId="0" fontId="25" fillId="0" borderId="29" xfId="0" applyFont="1" applyFill="1" applyBorder="1" applyAlignment="1" applyProtection="1">
      <alignment horizontal="right" vertical="center" wrapText="1" indent="1"/>
    </xf>
    <xf numFmtId="0" fontId="25" fillId="0" borderId="34" xfId="0" applyFont="1" applyFill="1" applyBorder="1" applyAlignment="1" applyProtection="1">
      <alignment horizontal="left" vertical="center" wrapText="1"/>
      <protection locked="0"/>
    </xf>
    <xf numFmtId="165" fontId="25" fillId="0" borderId="34" xfId="0" applyNumberFormat="1" applyFont="1" applyFill="1" applyBorder="1" applyAlignment="1" applyProtection="1">
      <alignment vertical="center" wrapText="1"/>
      <protection locked="0"/>
    </xf>
    <xf numFmtId="165" fontId="25" fillId="0" borderId="34" xfId="0" applyNumberFormat="1" applyFont="1" applyFill="1" applyBorder="1" applyAlignment="1" applyProtection="1">
      <alignment vertical="center" wrapText="1"/>
    </xf>
    <xf numFmtId="165" fontId="25" fillId="0" borderId="48" xfId="0" applyNumberFormat="1" applyFont="1" applyFill="1" applyBorder="1" applyAlignment="1" applyProtection="1">
      <alignment vertical="center" wrapText="1"/>
      <protection locked="0"/>
    </xf>
    <xf numFmtId="0" fontId="25" fillId="0" borderId="3" xfId="0" applyFont="1" applyFill="1" applyBorder="1" applyAlignment="1" applyProtection="1">
      <alignment horizontal="right" vertical="center" wrapText="1" indent="1"/>
    </xf>
    <xf numFmtId="0" fontId="25" fillId="0" borderId="1" xfId="0" applyFont="1" applyFill="1" applyBorder="1" applyAlignment="1" applyProtection="1">
      <alignment horizontal="left" vertical="center" wrapText="1"/>
      <protection locked="0"/>
    </xf>
    <xf numFmtId="0" fontId="25" fillId="0" borderId="2" xfId="0" applyFont="1" applyFill="1" applyBorder="1" applyAlignment="1" applyProtection="1">
      <alignment horizontal="left" vertical="center" wrapText="1"/>
      <protection locked="0"/>
    </xf>
    <xf numFmtId="165" fontId="25" fillId="0" borderId="54" xfId="0" applyNumberFormat="1" applyFont="1" applyFill="1" applyBorder="1" applyAlignment="1" applyProtection="1">
      <alignment vertical="center" wrapText="1"/>
      <protection locked="0"/>
    </xf>
    <xf numFmtId="0" fontId="29" fillId="0" borderId="0" xfId="0" applyFont="1" applyBorder="1" applyAlignment="1" applyProtection="1">
      <alignment horizontal="left" vertical="center" wrapText="1" indent="1"/>
    </xf>
    <xf numFmtId="165" fontId="34" fillId="0" borderId="0" xfId="8" applyNumberFormat="1" applyFont="1" applyFill="1" applyBorder="1" applyAlignment="1" applyProtection="1">
      <alignment horizontal="right" vertical="center" wrapText="1" indent="1"/>
    </xf>
    <xf numFmtId="0" fontId="31" fillId="0" borderId="6" xfId="0" applyFont="1" applyBorder="1" applyAlignment="1" applyProtection="1">
      <alignment vertical="center" wrapText="1"/>
    </xf>
    <xf numFmtId="165" fontId="25" fillId="0" borderId="56" xfId="8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2" xfId="0" applyFont="1" applyBorder="1" applyAlignment="1" applyProtection="1">
      <alignment vertical="center" wrapText="1"/>
    </xf>
    <xf numFmtId="0" fontId="31" fillId="0" borderId="57" xfId="0" applyFont="1" applyBorder="1" applyAlignment="1" applyProtection="1">
      <alignment vertical="center" wrapText="1"/>
    </xf>
    <xf numFmtId="165" fontId="29" fillId="0" borderId="6" xfId="0" quotePrefix="1" applyNumberFormat="1" applyFont="1" applyBorder="1" applyAlignment="1" applyProtection="1">
      <alignment horizontal="right" vertical="center" wrapText="1" indent="1"/>
    </xf>
    <xf numFmtId="165" fontId="29" fillId="0" borderId="35" xfId="0" quotePrefix="1" applyNumberFormat="1" applyFont="1" applyBorder="1" applyAlignment="1" applyProtection="1">
      <alignment horizontal="right" vertical="center" wrapText="1" indent="1"/>
    </xf>
    <xf numFmtId="165" fontId="31" fillId="0" borderId="35" xfId="0" applyNumberFormat="1" applyFont="1" applyBorder="1" applyAlignment="1" applyProtection="1">
      <alignment horizontal="right" vertical="center" wrapText="1" indent="1"/>
    </xf>
    <xf numFmtId="165" fontId="25" fillId="0" borderId="41" xfId="8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58" xfId="8" applyNumberFormat="1" applyFont="1" applyFill="1" applyBorder="1" applyAlignment="1" applyProtection="1">
      <alignment horizontal="right" vertical="center" wrapText="1" indent="1"/>
    </xf>
    <xf numFmtId="0" fontId="25" fillId="0" borderId="10" xfId="8" applyFont="1" applyFill="1" applyBorder="1" applyAlignment="1" applyProtection="1">
      <alignment horizontal="left" vertical="center" wrapText="1" indent="1"/>
    </xf>
    <xf numFmtId="0" fontId="25" fillId="0" borderId="1" xfId="8" applyFont="1" applyFill="1" applyBorder="1" applyAlignment="1" applyProtection="1">
      <alignment horizontal="left" vertical="center" wrapText="1" indent="1"/>
    </xf>
    <xf numFmtId="0" fontId="25" fillId="0" borderId="34" xfId="8" applyFont="1" applyFill="1" applyBorder="1" applyAlignment="1" applyProtection="1">
      <alignment horizontal="left" vertical="center" wrapText="1" indent="1"/>
    </xf>
    <xf numFmtId="0" fontId="25" fillId="0" borderId="33" xfId="8" applyFont="1" applyFill="1" applyBorder="1" applyAlignment="1" applyProtection="1">
      <alignment horizontal="left" vertical="center" wrapText="1" indent="1"/>
    </xf>
    <xf numFmtId="0" fontId="25" fillId="0" borderId="49" xfId="8" applyFont="1" applyFill="1" applyBorder="1" applyAlignment="1" applyProtection="1">
      <alignment horizontal="left" vertical="center" wrapText="1" indent="1"/>
    </xf>
    <xf numFmtId="0" fontId="25" fillId="0" borderId="2" xfId="8" applyFont="1" applyFill="1" applyBorder="1" applyAlignment="1" applyProtection="1">
      <alignment horizontal="left" vertical="center" wrapText="1" indent="1"/>
    </xf>
    <xf numFmtId="49" fontId="25" fillId="0" borderId="4" xfId="8" applyNumberFormat="1" applyFont="1" applyFill="1" applyBorder="1" applyAlignment="1" applyProtection="1">
      <alignment horizontal="left" vertical="center" wrapText="1" indent="1"/>
    </xf>
    <xf numFmtId="49" fontId="25" fillId="0" borderId="3" xfId="8" applyNumberFormat="1" applyFont="1" applyFill="1" applyBorder="1" applyAlignment="1" applyProtection="1">
      <alignment horizontal="left" vertical="center" wrapText="1" indent="1"/>
    </xf>
    <xf numFmtId="49" fontId="25" fillId="0" borderId="29" xfId="8" applyNumberFormat="1" applyFont="1" applyFill="1" applyBorder="1" applyAlignment="1" applyProtection="1">
      <alignment horizontal="left" vertical="center" wrapText="1" indent="1"/>
    </xf>
    <xf numFmtId="49" fontId="25" fillId="0" borderId="5" xfId="8" applyNumberFormat="1" applyFont="1" applyFill="1" applyBorder="1" applyAlignment="1" applyProtection="1">
      <alignment horizontal="left" vertical="center" wrapText="1" indent="1"/>
    </xf>
    <xf numFmtId="49" fontId="25" fillId="0" borderId="43" xfId="8" applyNumberFormat="1" applyFont="1" applyFill="1" applyBorder="1" applyAlignment="1" applyProtection="1">
      <alignment horizontal="left" vertical="center" wrapText="1" indent="1"/>
    </xf>
    <xf numFmtId="49" fontId="25" fillId="0" borderId="46" xfId="8" applyNumberFormat="1" applyFont="1" applyFill="1" applyBorder="1" applyAlignment="1" applyProtection="1">
      <alignment horizontal="left" vertical="center" wrapText="1" indent="1"/>
    </xf>
    <xf numFmtId="0" fontId="25" fillId="0" borderId="0" xfId="8" applyFont="1" applyFill="1" applyBorder="1" applyAlignment="1" applyProtection="1">
      <alignment horizontal="left" vertical="center" wrapText="1" indent="1"/>
    </xf>
    <xf numFmtId="0" fontId="24" fillId="0" borderId="8" xfId="8" applyFont="1" applyFill="1" applyBorder="1" applyAlignment="1" applyProtection="1">
      <alignment horizontal="left" vertical="center" wrapText="1" indent="1"/>
    </xf>
    <xf numFmtId="0" fontId="24" fillId="0" borderId="6" xfId="8" applyFont="1" applyFill="1" applyBorder="1" applyAlignment="1" applyProtection="1">
      <alignment horizontal="left" vertical="center" wrapText="1" indent="1"/>
    </xf>
    <xf numFmtId="0" fontId="24" fillId="0" borderId="50" xfId="8" applyFont="1" applyFill="1" applyBorder="1" applyAlignment="1" applyProtection="1">
      <alignment horizontal="left" vertical="center" wrapText="1" indent="1"/>
    </xf>
    <xf numFmtId="0" fontId="24" fillId="0" borderId="6" xfId="8" applyFont="1" applyFill="1" applyBorder="1" applyAlignment="1" applyProtection="1">
      <alignment vertical="center" wrapText="1"/>
    </xf>
    <xf numFmtId="0" fontId="24" fillId="0" borderId="51" xfId="8" applyFont="1" applyFill="1" applyBorder="1" applyAlignment="1" applyProtection="1">
      <alignment vertical="center" wrapText="1"/>
    </xf>
    <xf numFmtId="0" fontId="24" fillId="0" borderId="8" xfId="8" applyFont="1" applyFill="1" applyBorder="1" applyAlignment="1" applyProtection="1">
      <alignment horizontal="center" vertical="center" wrapText="1"/>
    </xf>
    <xf numFmtId="0" fontId="24" fillId="0" borderId="6" xfId="8" applyFont="1" applyFill="1" applyBorder="1" applyAlignment="1" applyProtection="1">
      <alignment horizontal="center" vertical="center" wrapText="1"/>
    </xf>
    <xf numFmtId="0" fontId="24" fillId="0" borderId="7" xfId="8" applyFont="1" applyFill="1" applyBorder="1" applyAlignment="1" applyProtection="1">
      <alignment horizontal="center" vertical="center" wrapText="1"/>
    </xf>
    <xf numFmtId="0" fontId="32" fillId="0" borderId="6" xfId="8" applyFont="1" applyFill="1" applyBorder="1" applyAlignment="1" applyProtection="1">
      <alignment horizontal="left" vertical="center" wrapText="1" indent="1"/>
    </xf>
    <xf numFmtId="0" fontId="12" fillId="0" borderId="11" xfId="0" applyFont="1" applyFill="1" applyBorder="1" applyAlignment="1" applyProtection="1">
      <alignment horizontal="right"/>
    </xf>
    <xf numFmtId="0" fontId="25" fillId="0" borderId="1" xfId="8" applyFont="1" applyFill="1" applyBorder="1" applyAlignment="1" applyProtection="1">
      <alignment horizontal="left" indent="6"/>
    </xf>
    <xf numFmtId="0" fontId="25" fillId="0" borderId="1" xfId="8" applyFont="1" applyFill="1" applyBorder="1" applyAlignment="1" applyProtection="1">
      <alignment horizontal="left" vertical="center" wrapText="1" indent="6"/>
    </xf>
    <xf numFmtId="0" fontId="25" fillId="0" borderId="2" xfId="8" applyFont="1" applyFill="1" applyBorder="1" applyAlignment="1" applyProtection="1">
      <alignment horizontal="left" vertical="center" wrapText="1" indent="6"/>
    </xf>
    <xf numFmtId="0" fontId="25" fillId="0" borderId="12" xfId="8" applyFont="1" applyFill="1" applyBorder="1" applyAlignment="1" applyProtection="1">
      <alignment horizontal="left" vertical="center" wrapText="1" indent="6"/>
    </xf>
    <xf numFmtId="165" fontId="24" fillId="0" borderId="35" xfId="8" applyNumberFormat="1" applyFont="1" applyFill="1" applyBorder="1" applyAlignment="1" applyProtection="1">
      <alignment horizontal="right" vertical="center" wrapText="1" indent="1"/>
    </xf>
    <xf numFmtId="165" fontId="25" fillId="0" borderId="37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59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60" xfId="8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37" xfId="8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60" xfId="8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59" xfId="8" applyNumberFormat="1" applyFont="1" applyFill="1" applyBorder="1" applyAlignment="1" applyProtection="1">
      <alignment horizontal="right" vertical="center" wrapText="1" indent="1"/>
      <protection locked="0"/>
    </xf>
    <xf numFmtId="0" fontId="31" fillId="0" borderId="6" xfId="0" applyFont="1" applyBorder="1" applyAlignment="1" applyProtection="1">
      <alignment horizontal="left" vertical="center" wrapText="1" indent="1"/>
    </xf>
    <xf numFmtId="0" fontId="30" fillId="0" borderId="1" xfId="0" applyFont="1" applyBorder="1" applyAlignment="1" applyProtection="1">
      <alignment horizontal="left" vertical="center" wrapText="1" indent="1"/>
    </xf>
    <xf numFmtId="0" fontId="30" fillId="0" borderId="2" xfId="0" applyFont="1" applyBorder="1" applyAlignment="1" applyProtection="1">
      <alignment horizontal="left" vertical="center" wrapText="1" indent="1"/>
    </xf>
    <xf numFmtId="0" fontId="31" fillId="0" borderId="61" xfId="0" applyFont="1" applyBorder="1" applyAlignment="1" applyProtection="1">
      <alignment horizontal="left" vertical="center" wrapText="1" indent="1"/>
    </xf>
    <xf numFmtId="165" fontId="24" fillId="0" borderId="7" xfId="8" applyNumberFormat="1" applyFont="1" applyFill="1" applyBorder="1" applyAlignment="1" applyProtection="1">
      <alignment horizontal="right" vertical="center" wrapText="1" indent="1"/>
    </xf>
    <xf numFmtId="0" fontId="12" fillId="0" borderId="11" xfId="0" applyFont="1" applyFill="1" applyBorder="1" applyAlignment="1" applyProtection="1">
      <alignment horizontal="right" vertical="center"/>
    </xf>
    <xf numFmtId="0" fontId="29" fillId="0" borderId="57" xfId="0" applyFont="1" applyBorder="1" applyAlignment="1" applyProtection="1">
      <alignment horizontal="left" vertical="center" wrapText="1" indent="1"/>
    </xf>
    <xf numFmtId="0" fontId="17" fillId="0" borderId="0" xfId="8" applyFont="1" applyFill="1" applyProtection="1"/>
    <xf numFmtId="0" fontId="17" fillId="0" borderId="0" xfId="8" applyFont="1" applyFill="1" applyAlignment="1" applyProtection="1">
      <alignment horizontal="right" vertical="center" indent="1"/>
    </xf>
    <xf numFmtId="165" fontId="24" fillId="0" borderId="51" xfId="8" applyNumberFormat="1" applyFont="1" applyFill="1" applyBorder="1" applyAlignment="1" applyProtection="1">
      <alignment horizontal="right" vertical="center" wrapText="1" indent="1"/>
    </xf>
    <xf numFmtId="165" fontId="24" fillId="0" borderId="6" xfId="8" applyNumberFormat="1" applyFont="1" applyFill="1" applyBorder="1" applyAlignment="1" applyProtection="1">
      <alignment horizontal="right" vertical="center" wrapText="1" indent="1"/>
    </xf>
    <xf numFmtId="165" fontId="25" fillId="0" borderId="1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34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2" xfId="8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1" xfId="8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2" xfId="8" applyNumberFormat="1" applyFont="1" applyFill="1" applyBorder="1" applyAlignment="1" applyProtection="1">
      <alignment horizontal="right" vertical="center" wrapText="1" indent="1"/>
      <protection locked="0"/>
    </xf>
    <xf numFmtId="165" fontId="32" fillId="0" borderId="6" xfId="8" applyNumberFormat="1" applyFont="1" applyFill="1" applyBorder="1" applyAlignment="1" applyProtection="1">
      <alignment horizontal="right" vertical="center" wrapText="1" indent="1"/>
    </xf>
    <xf numFmtId="0" fontId="25" fillId="0" borderId="34" xfId="8" applyFont="1" applyFill="1" applyBorder="1" applyAlignment="1" applyProtection="1">
      <alignment horizontal="left" vertical="center" wrapText="1" indent="6"/>
    </xf>
    <xf numFmtId="0" fontId="17" fillId="0" borderId="0" xfId="8" applyFill="1" applyProtection="1"/>
    <xf numFmtId="0" fontId="25" fillId="0" borderId="0" xfId="8" applyFont="1" applyFill="1" applyProtection="1"/>
    <xf numFmtId="0" fontId="20" fillId="0" borderId="0" xfId="8" applyFont="1" applyFill="1" applyProtection="1"/>
    <xf numFmtId="0" fontId="30" fillId="0" borderId="34" xfId="0" applyFont="1" applyBorder="1" applyAlignment="1" applyProtection="1">
      <alignment horizontal="left" wrapText="1" indent="1"/>
    </xf>
    <xf numFmtId="0" fontId="30" fillId="0" borderId="1" xfId="0" applyFont="1" applyBorder="1" applyAlignment="1" applyProtection="1">
      <alignment horizontal="left" wrapText="1" indent="1"/>
    </xf>
    <xf numFmtId="0" fontId="30" fillId="0" borderId="2" xfId="0" applyFont="1" applyBorder="1" applyAlignment="1" applyProtection="1">
      <alignment horizontal="left" wrapText="1" indent="1"/>
    </xf>
    <xf numFmtId="0" fontId="30" fillId="0" borderId="29" xfId="0" applyFont="1" applyBorder="1" applyAlignment="1" applyProtection="1">
      <alignment wrapText="1"/>
    </xf>
    <xf numFmtId="0" fontId="30" fillId="0" borderId="3" xfId="0" applyFont="1" applyBorder="1" applyAlignment="1" applyProtection="1">
      <alignment wrapText="1"/>
    </xf>
    <xf numFmtId="0" fontId="17" fillId="0" borderId="0" xfId="8" applyFill="1" applyAlignment="1" applyProtection="1"/>
    <xf numFmtId="0" fontId="28" fillId="0" borderId="0" xfId="8" applyFont="1" applyFill="1" applyProtection="1"/>
    <xf numFmtId="0" fontId="27" fillId="0" borderId="0" xfId="8" applyFont="1" applyFill="1" applyProtection="1"/>
    <xf numFmtId="165" fontId="32" fillId="0" borderId="35" xfId="8" applyNumberFormat="1" applyFont="1" applyFill="1" applyBorder="1" applyAlignment="1" applyProtection="1">
      <alignment horizontal="right" vertical="center" wrapText="1" indent="1"/>
    </xf>
    <xf numFmtId="165" fontId="25" fillId="0" borderId="59" xfId="8" applyNumberFormat="1" applyFont="1" applyFill="1" applyBorder="1" applyAlignment="1" applyProtection="1">
      <alignment horizontal="right" vertical="center" wrapText="1" indent="1"/>
    </xf>
    <xf numFmtId="165" fontId="25" fillId="0" borderId="34" xfId="8" applyNumberFormat="1" applyFont="1" applyFill="1" applyBorder="1" applyAlignment="1" applyProtection="1">
      <alignment horizontal="right" vertical="center" wrapText="1" indent="1"/>
    </xf>
    <xf numFmtId="0" fontId="24" fillId="0" borderId="35" xfId="8" applyFont="1" applyFill="1" applyBorder="1" applyAlignment="1" applyProtection="1">
      <alignment horizontal="center" vertical="center" wrapText="1"/>
    </xf>
    <xf numFmtId="165" fontId="33" fillId="0" borderId="34" xfId="8" applyNumberFormat="1" applyFont="1" applyFill="1" applyBorder="1" applyAlignment="1" applyProtection="1">
      <alignment horizontal="right" vertical="center" wrapText="1" indent="1"/>
      <protection locked="0"/>
    </xf>
    <xf numFmtId="0" fontId="31" fillId="0" borderId="8" xfId="0" applyFont="1" applyBorder="1" applyAlignment="1" applyProtection="1">
      <alignment vertical="center" wrapText="1"/>
    </xf>
    <xf numFmtId="0" fontId="30" fillId="0" borderId="5" xfId="0" applyFont="1" applyBorder="1" applyAlignment="1" applyProtection="1">
      <alignment vertical="center" wrapText="1"/>
    </xf>
    <xf numFmtId="0" fontId="31" fillId="0" borderId="61" xfId="0" applyFont="1" applyBorder="1" applyAlignment="1" applyProtection="1">
      <alignment vertical="center" wrapText="1"/>
    </xf>
    <xf numFmtId="165" fontId="24" fillId="0" borderId="6" xfId="8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35" xfId="8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0" xfId="8" applyFill="1" applyAlignment="1" applyProtection="1">
      <alignment horizontal="left" vertical="center" indent="1"/>
    </xf>
    <xf numFmtId="165" fontId="33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5" fontId="32" fillId="0" borderId="8" xfId="0" applyNumberFormat="1" applyFont="1" applyFill="1" applyBorder="1" applyAlignment="1" applyProtection="1">
      <alignment horizontal="left" vertical="center" wrapText="1" indent="1"/>
    </xf>
    <xf numFmtId="165" fontId="25" fillId="0" borderId="34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5" fontId="32" fillId="0" borderId="6" xfId="0" applyNumberFormat="1" applyFont="1" applyFill="1" applyBorder="1" applyAlignment="1" applyProtection="1">
      <alignment horizontal="right" vertical="center" wrapText="1" indent="1"/>
    </xf>
    <xf numFmtId="165" fontId="33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48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54" xfId="0" applyNumberFormat="1" applyFont="1" applyFill="1" applyBorder="1" applyAlignment="1" applyProtection="1">
      <alignment horizontal="right" vertical="center" wrapText="1" indent="1"/>
      <protection locked="0"/>
    </xf>
    <xf numFmtId="165" fontId="11" fillId="0" borderId="0" xfId="0" applyNumberFormat="1" applyFont="1" applyFill="1" applyAlignment="1" applyProtection="1">
      <alignment horizontal="center" vertical="center" wrapText="1"/>
    </xf>
    <xf numFmtId="165" fontId="32" fillId="0" borderId="0" xfId="0" applyNumberFormat="1" applyFont="1" applyFill="1" applyAlignment="1" applyProtection="1">
      <alignment horizontal="center" vertical="center" wrapText="1"/>
    </xf>
    <xf numFmtId="165" fontId="0" fillId="0" borderId="30" xfId="0" applyNumberFormat="1" applyFill="1" applyBorder="1" applyAlignment="1" applyProtection="1">
      <alignment horizontal="left" vertical="center" wrapText="1" indent="1"/>
    </xf>
    <xf numFmtId="165" fontId="25" fillId="0" borderId="29" xfId="0" applyNumberFormat="1" applyFont="1" applyFill="1" applyBorder="1" applyAlignment="1" applyProtection="1">
      <alignment horizontal="left" vertical="center" wrapText="1" indent="1"/>
    </xf>
    <xf numFmtId="165" fontId="0" fillId="0" borderId="24" xfId="0" applyNumberFormat="1" applyFill="1" applyBorder="1" applyAlignment="1" applyProtection="1">
      <alignment horizontal="left" vertical="center" wrapText="1" indent="1"/>
    </xf>
    <xf numFmtId="165" fontId="25" fillId="0" borderId="3" xfId="0" applyNumberFormat="1" applyFont="1" applyFill="1" applyBorder="1" applyAlignment="1" applyProtection="1">
      <alignment horizontal="left" vertical="center" wrapText="1" indent="1"/>
    </xf>
    <xf numFmtId="165" fontId="25" fillId="0" borderId="62" xfId="0" applyNumberFormat="1" applyFont="1" applyFill="1" applyBorder="1" applyAlignment="1" applyProtection="1">
      <alignment horizontal="left" vertical="center" wrapText="1" indent="1"/>
    </xf>
    <xf numFmtId="165" fontId="35" fillId="0" borderId="17" xfId="0" applyNumberFormat="1" applyFont="1" applyFill="1" applyBorder="1" applyAlignment="1" applyProtection="1">
      <alignment horizontal="left" vertical="center" wrapText="1" indent="1"/>
    </xf>
    <xf numFmtId="165" fontId="33" fillId="0" borderId="4" xfId="0" applyNumberFormat="1" applyFont="1" applyFill="1" applyBorder="1" applyAlignment="1" applyProtection="1">
      <alignment horizontal="left" vertical="center" wrapText="1" indent="1"/>
    </xf>
    <xf numFmtId="165" fontId="33" fillId="0" borderId="3" xfId="0" applyNumberFormat="1" applyFont="1" applyFill="1" applyBorder="1" applyAlignment="1" applyProtection="1">
      <alignment horizontal="left" vertical="center" wrapText="1" indent="1"/>
    </xf>
    <xf numFmtId="165" fontId="36" fillId="0" borderId="1" xfId="0" applyNumberFormat="1" applyFont="1" applyFill="1" applyBorder="1" applyAlignment="1" applyProtection="1">
      <alignment horizontal="right" vertical="center" wrapText="1" indent="1"/>
    </xf>
    <xf numFmtId="165" fontId="35" fillId="0" borderId="8" xfId="0" applyNumberFormat="1" applyFont="1" applyFill="1" applyBorder="1" applyAlignment="1" applyProtection="1">
      <alignment horizontal="left" vertical="center" wrapText="1" indent="1"/>
    </xf>
    <xf numFmtId="165" fontId="35" fillId="0" borderId="35" xfId="0" applyNumberFormat="1" applyFont="1" applyFill="1" applyBorder="1" applyAlignment="1" applyProtection="1">
      <alignment horizontal="right" vertical="center" wrapText="1" indent="1"/>
    </xf>
    <xf numFmtId="165" fontId="33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65" fontId="24" fillId="0" borderId="61" xfId="0" applyNumberFormat="1" applyFont="1" applyFill="1" applyBorder="1" applyAlignment="1" applyProtection="1">
      <alignment horizontal="center" vertical="center" wrapText="1"/>
    </xf>
    <xf numFmtId="165" fontId="24" fillId="0" borderId="57" xfId="0" applyNumberFormat="1" applyFont="1" applyFill="1" applyBorder="1" applyAlignment="1" applyProtection="1">
      <alignment horizontal="center" vertical="center" wrapText="1"/>
    </xf>
    <xf numFmtId="165" fontId="24" fillId="0" borderId="64" xfId="0" applyNumberFormat="1" applyFont="1" applyFill="1" applyBorder="1" applyAlignment="1" applyProtection="1">
      <alignment horizontal="center" vertical="center" wrapText="1"/>
    </xf>
    <xf numFmtId="165" fontId="33" fillId="0" borderId="48" xfId="0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29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0" xfId="0" applyFill="1" applyProtection="1"/>
    <xf numFmtId="0" fontId="27" fillId="0" borderId="0" xfId="0" applyFont="1" applyFill="1" applyProtection="1"/>
    <xf numFmtId="165" fontId="32" fillId="0" borderId="7" xfId="0" applyNumberFormat="1" applyFont="1" applyFill="1" applyBorder="1" applyAlignment="1" applyProtection="1">
      <alignment horizontal="right" vertical="center" wrapText="1" indent="1"/>
    </xf>
    <xf numFmtId="165" fontId="14" fillId="0" borderId="8" xfId="0" applyNumberFormat="1" applyFont="1" applyFill="1" applyBorder="1" applyAlignment="1" applyProtection="1">
      <alignment horizontal="centerContinuous" vertical="center" wrapText="1"/>
    </xf>
    <xf numFmtId="165" fontId="14" fillId="0" borderId="6" xfId="0" applyNumberFormat="1" applyFont="1" applyFill="1" applyBorder="1" applyAlignment="1" applyProtection="1">
      <alignment horizontal="centerContinuous" vertical="center" wrapText="1"/>
    </xf>
    <xf numFmtId="165" fontId="14" fillId="0" borderId="7" xfId="0" applyNumberFormat="1" applyFont="1" applyFill="1" applyBorder="1" applyAlignment="1" applyProtection="1">
      <alignment horizontal="centerContinuous" vertical="center" wrapText="1"/>
    </xf>
    <xf numFmtId="165" fontId="32" fillId="0" borderId="17" xfId="0" applyNumberFormat="1" applyFont="1" applyFill="1" applyBorder="1" applyAlignment="1" applyProtection="1">
      <alignment horizontal="center" vertical="center" wrapText="1"/>
    </xf>
    <xf numFmtId="165" fontId="32" fillId="0" borderId="8" xfId="0" applyNumberFormat="1" applyFont="1" applyFill="1" applyBorder="1" applyAlignment="1" applyProtection="1">
      <alignment horizontal="center" vertical="center" wrapText="1"/>
    </xf>
    <xf numFmtId="165" fontId="32" fillId="0" borderId="6" xfId="0" applyNumberFormat="1" applyFont="1" applyFill="1" applyBorder="1" applyAlignment="1" applyProtection="1">
      <alignment horizontal="center" vertical="center" wrapText="1"/>
    </xf>
    <xf numFmtId="165" fontId="32" fillId="0" borderId="7" xfId="0" applyNumberFormat="1" applyFont="1" applyFill="1" applyBorder="1" applyAlignment="1" applyProtection="1">
      <alignment horizontal="center" vertical="center" wrapText="1"/>
    </xf>
    <xf numFmtId="165" fontId="33" fillId="0" borderId="29" xfId="0" applyNumberFormat="1" applyFont="1" applyFill="1" applyBorder="1" applyAlignment="1" applyProtection="1">
      <alignment horizontal="left" vertical="center" wrapText="1" indent="1"/>
      <protection locked="0"/>
    </xf>
    <xf numFmtId="165" fontId="36" fillId="0" borderId="4" xfId="0" applyNumberFormat="1" applyFont="1" applyFill="1" applyBorder="1" applyAlignment="1" applyProtection="1">
      <alignment horizontal="left" vertical="center" wrapText="1" indent="1"/>
    </xf>
    <xf numFmtId="165" fontId="33" fillId="0" borderId="3" xfId="0" applyNumberFormat="1" applyFont="1" applyFill="1" applyBorder="1" applyAlignment="1" applyProtection="1">
      <alignment horizontal="left" vertical="center" wrapText="1" indent="2"/>
    </xf>
    <xf numFmtId="165" fontId="33" fillId="0" borderId="1" xfId="0" applyNumberFormat="1" applyFont="1" applyFill="1" applyBorder="1" applyAlignment="1" applyProtection="1">
      <alignment horizontal="left" vertical="center" wrapText="1" indent="2"/>
    </xf>
    <xf numFmtId="165" fontId="36" fillId="0" borderId="1" xfId="0" applyNumberFormat="1" applyFont="1" applyFill="1" applyBorder="1" applyAlignment="1" applyProtection="1">
      <alignment horizontal="left" vertical="center" wrapText="1" indent="1"/>
    </xf>
    <xf numFmtId="165" fontId="33" fillId="0" borderId="29" xfId="0" applyNumberFormat="1" applyFont="1" applyFill="1" applyBorder="1" applyAlignment="1" applyProtection="1">
      <alignment horizontal="left" vertical="center" wrapText="1" indent="1"/>
    </xf>
    <xf numFmtId="165" fontId="25" fillId="0" borderId="29" xfId="0" applyNumberFormat="1" applyFont="1" applyFill="1" applyBorder="1" applyAlignment="1" applyProtection="1">
      <alignment horizontal="left" vertical="center" wrapText="1" indent="2"/>
    </xf>
    <xf numFmtId="165" fontId="25" fillId="0" borderId="5" xfId="0" applyNumberFormat="1" applyFont="1" applyFill="1" applyBorder="1" applyAlignment="1" applyProtection="1">
      <alignment horizontal="left" vertical="center" wrapText="1" indent="2"/>
    </xf>
    <xf numFmtId="165" fontId="36" fillId="0" borderId="34" xfId="0" applyNumberFormat="1" applyFont="1" applyFill="1" applyBorder="1" applyAlignment="1" applyProtection="1">
      <alignment horizontal="right" vertical="center" wrapText="1" indent="1"/>
    </xf>
    <xf numFmtId="165" fontId="0" fillId="0" borderId="63" xfId="0" applyNumberFormat="1" applyFill="1" applyBorder="1" applyAlignment="1" applyProtection="1">
      <alignment horizontal="left" vertical="center" wrapText="1" indent="1"/>
    </xf>
    <xf numFmtId="165" fontId="25" fillId="0" borderId="4" xfId="0" applyNumberFormat="1" applyFont="1" applyFill="1" applyBorder="1" applyAlignment="1" applyProtection="1">
      <alignment horizontal="left" vertical="center" wrapText="1" indent="1"/>
    </xf>
    <xf numFmtId="165" fontId="25" fillId="0" borderId="44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3" xfId="0" quotePrefix="1" applyNumberFormat="1" applyFont="1" applyFill="1" applyBorder="1" applyAlignment="1" applyProtection="1">
      <alignment horizontal="left" vertical="center" wrapText="1" indent="3"/>
      <protection locked="0"/>
    </xf>
    <xf numFmtId="165" fontId="25" fillId="0" borderId="4" xfId="0" applyNumberFormat="1" applyFont="1" applyFill="1" applyBorder="1" applyAlignment="1" applyProtection="1">
      <alignment horizontal="left" vertical="center" wrapText="1" indent="1"/>
      <protection locked="0"/>
    </xf>
    <xf numFmtId="165" fontId="25" fillId="0" borderId="3" xfId="0" quotePrefix="1" applyNumberFormat="1" applyFont="1" applyFill="1" applyBorder="1" applyAlignment="1" applyProtection="1">
      <alignment horizontal="left" vertical="center" wrapText="1" indent="6"/>
      <protection locked="0"/>
    </xf>
    <xf numFmtId="165" fontId="33" fillId="0" borderId="3" xfId="0" quotePrefix="1" applyNumberFormat="1" applyFont="1" applyFill="1" applyBorder="1" applyAlignment="1" applyProtection="1">
      <alignment horizontal="left" vertical="center" wrapText="1" indent="6"/>
      <protection locked="0"/>
    </xf>
    <xf numFmtId="0" fontId="39" fillId="0" borderId="0" xfId="0" applyFont="1" applyProtection="1"/>
    <xf numFmtId="0" fontId="40" fillId="0" borderId="0" xfId="0" applyFont="1" applyFill="1" applyProtection="1"/>
    <xf numFmtId="0" fontId="43" fillId="0" borderId="0" xfId="0" applyFont="1" applyFill="1" applyProtection="1"/>
    <xf numFmtId="0" fontId="44" fillId="0" borderId="0" xfId="0" applyFont="1" applyProtection="1"/>
    <xf numFmtId="0" fontId="37" fillId="0" borderId="0" xfId="0" applyFont="1" applyProtection="1"/>
    <xf numFmtId="0" fontId="27" fillId="0" borderId="0" xfId="0" applyFont="1" applyProtection="1"/>
    <xf numFmtId="0" fontId="28" fillId="0" borderId="0" xfId="0" applyFont="1" applyAlignment="1" applyProtection="1">
      <alignment horizontal="center"/>
    </xf>
    <xf numFmtId="3" fontId="40" fillId="0" borderId="0" xfId="0" applyNumberFormat="1" applyFont="1" applyFill="1" applyAlignment="1" applyProtection="1">
      <alignment horizontal="right" indent="1"/>
    </xf>
    <xf numFmtId="0" fontId="40" fillId="0" borderId="0" xfId="0" applyFont="1" applyFill="1" applyAlignment="1" applyProtection="1">
      <alignment horizontal="right" indent="1"/>
    </xf>
    <xf numFmtId="3" fontId="34" fillId="0" borderId="0" xfId="0" applyNumberFormat="1" applyFont="1" applyFill="1" applyAlignment="1" applyProtection="1">
      <alignment horizontal="right" indent="1"/>
    </xf>
    <xf numFmtId="0" fontId="37" fillId="0" borderId="0" xfId="0" applyFont="1" applyFill="1" applyProtection="1"/>
    <xf numFmtId="49" fontId="14" fillId="0" borderId="65" xfId="0" applyNumberFormat="1" applyFont="1" applyFill="1" applyBorder="1" applyAlignment="1" applyProtection="1">
      <alignment horizontal="right" vertical="center" indent="1"/>
    </xf>
    <xf numFmtId="16" fontId="0" fillId="0" borderId="0" xfId="0" applyNumberFormat="1" applyFill="1" applyAlignment="1" applyProtection="1">
      <alignment vertical="center" wrapText="1"/>
    </xf>
    <xf numFmtId="0" fontId="24" fillId="0" borderId="8" xfId="0" applyFont="1" applyFill="1" applyBorder="1" applyAlignment="1" applyProtection="1">
      <alignment horizontal="center" vertical="center" wrapText="1"/>
    </xf>
    <xf numFmtId="0" fontId="24" fillId="0" borderId="6" xfId="0" applyFont="1" applyFill="1" applyBorder="1" applyAlignment="1" applyProtection="1">
      <alignment horizontal="center" vertical="center" wrapText="1"/>
    </xf>
    <xf numFmtId="165" fontId="10" fillId="0" borderId="0" xfId="0" applyNumberFormat="1" applyFont="1" applyFill="1" applyAlignment="1" applyProtection="1">
      <alignment horizontal="left" vertical="center" wrapText="1"/>
    </xf>
    <xf numFmtId="165" fontId="10" fillId="0" borderId="0" xfId="0" applyNumberFormat="1" applyFont="1" applyFill="1" applyAlignment="1" applyProtection="1">
      <alignment vertical="center" wrapText="1"/>
    </xf>
    <xf numFmtId="165" fontId="23" fillId="0" borderId="0" xfId="0" applyNumberFormat="1" applyFont="1" applyFill="1" applyAlignment="1" applyProtection="1">
      <alignment vertical="center" wrapText="1"/>
    </xf>
    <xf numFmtId="0" fontId="14" fillId="0" borderId="0" xfId="0" applyFont="1" applyFill="1" applyAlignment="1" applyProtection="1">
      <alignment vertical="center"/>
    </xf>
    <xf numFmtId="0" fontId="12" fillId="0" borderId="0" xfId="0" applyFont="1" applyFill="1" applyAlignment="1" applyProtection="1">
      <alignment horizontal="right"/>
    </xf>
    <xf numFmtId="0" fontId="14" fillId="0" borderId="52" xfId="0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left" vertical="center" wrapText="1" indent="1"/>
    </xf>
    <xf numFmtId="0" fontId="25" fillId="0" borderId="0" xfId="0" applyFont="1" applyFill="1" applyAlignment="1" applyProtection="1">
      <alignment horizontal="left" vertical="center" wrapText="1"/>
    </xf>
    <xf numFmtId="0" fontId="25" fillId="0" borderId="0" xfId="0" applyFont="1" applyFill="1" applyAlignment="1" applyProtection="1">
      <alignment vertical="center" wrapText="1"/>
    </xf>
    <xf numFmtId="0" fontId="11" fillId="0" borderId="8" xfId="0" applyFont="1" applyFill="1" applyBorder="1" applyAlignment="1" applyProtection="1">
      <alignment horizontal="left" vertical="center"/>
    </xf>
    <xf numFmtId="0" fontId="11" fillId="0" borderId="36" xfId="0" applyFont="1" applyFill="1" applyBorder="1" applyAlignment="1" applyProtection="1">
      <alignment vertical="center" wrapText="1"/>
    </xf>
    <xf numFmtId="0" fontId="42" fillId="0" borderId="0" xfId="0" applyFont="1" applyAlignment="1" applyProtection="1">
      <alignment horizontal="right" vertical="top"/>
      <protection locked="0"/>
    </xf>
    <xf numFmtId="165" fontId="24" fillId="0" borderId="52" xfId="8" applyNumberFormat="1" applyFont="1" applyFill="1" applyBorder="1" applyAlignment="1" applyProtection="1">
      <alignment horizontal="right" vertical="center" wrapText="1" indent="1"/>
    </xf>
    <xf numFmtId="165" fontId="25" fillId="0" borderId="53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9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48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54" xfId="8" applyNumberFormat="1" applyFont="1" applyFill="1" applyBorder="1" applyAlignment="1" applyProtection="1">
      <alignment horizontal="right" vertical="center" wrapText="1" indent="1"/>
      <protection locked="0"/>
    </xf>
    <xf numFmtId="165" fontId="32" fillId="0" borderId="7" xfId="8" applyNumberFormat="1" applyFont="1" applyFill="1" applyBorder="1" applyAlignment="1" applyProtection="1">
      <alignment horizontal="right" vertical="center" wrapText="1" indent="1"/>
    </xf>
    <xf numFmtId="165" fontId="25" fillId="0" borderId="13" xfId="8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7" xfId="0" applyNumberFormat="1" applyFont="1" applyBorder="1" applyAlignment="1" applyProtection="1">
      <alignment horizontal="right" vertical="center" wrapText="1" indent="1"/>
    </xf>
    <xf numFmtId="0" fontId="14" fillId="0" borderId="53" xfId="0" quotePrefix="1" applyFont="1" applyFill="1" applyBorder="1" applyAlignment="1" applyProtection="1">
      <alignment horizontal="right" vertical="center" indent="1"/>
    </xf>
    <xf numFmtId="165" fontId="24" fillId="0" borderId="0" xfId="0" applyNumberFormat="1" applyFont="1" applyFill="1" applyBorder="1" applyAlignment="1" applyProtection="1">
      <alignment horizontal="right" vertical="center" wrapText="1" indent="1"/>
    </xf>
    <xf numFmtId="0" fontId="25" fillId="0" borderId="0" xfId="0" applyFont="1" applyFill="1" applyAlignment="1" applyProtection="1">
      <alignment horizontal="right" vertical="center" wrapText="1" indent="1"/>
    </xf>
    <xf numFmtId="0" fontId="16" fillId="0" borderId="0" xfId="0" applyFont="1" applyFill="1" applyAlignment="1" applyProtection="1">
      <alignment vertical="center" wrapText="1"/>
    </xf>
    <xf numFmtId="0" fontId="21" fillId="0" borderId="0" xfId="0" applyFont="1" applyFill="1" applyAlignment="1" applyProtection="1">
      <alignment horizontal="left" vertical="center" wrapText="1"/>
    </xf>
    <xf numFmtId="0" fontId="21" fillId="0" borderId="0" xfId="0" applyFont="1" applyFill="1" applyAlignment="1" applyProtection="1">
      <alignment vertical="center" wrapText="1"/>
    </xf>
    <xf numFmtId="0" fontId="21" fillId="0" borderId="0" xfId="0" applyFont="1" applyFill="1" applyAlignment="1" applyProtection="1">
      <alignment horizontal="right" vertical="center" wrapText="1" indent="1"/>
    </xf>
    <xf numFmtId="0" fontId="14" fillId="0" borderId="20" xfId="0" applyFont="1" applyFill="1" applyBorder="1" applyAlignment="1" applyProtection="1">
      <alignment horizontal="center" vertical="center" wrapText="1"/>
    </xf>
    <xf numFmtId="0" fontId="24" fillId="0" borderId="50" xfId="8" applyFont="1" applyFill="1" applyBorder="1" applyAlignment="1" applyProtection="1">
      <alignment horizontal="center" vertical="center" wrapText="1"/>
    </xf>
    <xf numFmtId="0" fontId="30" fillId="0" borderId="2" xfId="0" applyFont="1" applyBorder="1" applyAlignment="1" applyProtection="1">
      <alignment wrapText="1"/>
    </xf>
    <xf numFmtId="0" fontId="31" fillId="0" borderId="6" xfId="0" applyFont="1" applyBorder="1" applyAlignment="1" applyProtection="1">
      <alignment wrapText="1"/>
    </xf>
    <xf numFmtId="0" fontId="31" fillId="0" borderId="57" xfId="0" applyFont="1" applyBorder="1" applyAlignment="1" applyProtection="1">
      <alignment wrapText="1"/>
    </xf>
    <xf numFmtId="165" fontId="29" fillId="0" borderId="7" xfId="0" quotePrefix="1" applyNumberFormat="1" applyFont="1" applyBorder="1" applyAlignment="1" applyProtection="1">
      <alignment horizontal="right" vertical="center" wrapText="1" indent="1"/>
    </xf>
    <xf numFmtId="49" fontId="25" fillId="0" borderId="29" xfId="8" applyNumberFormat="1" applyFont="1" applyFill="1" applyBorder="1" applyAlignment="1" applyProtection="1">
      <alignment horizontal="center" vertical="center" wrapText="1"/>
    </xf>
    <xf numFmtId="49" fontId="25" fillId="0" borderId="3" xfId="8" applyNumberFormat="1" applyFont="1" applyFill="1" applyBorder="1" applyAlignment="1" applyProtection="1">
      <alignment horizontal="center" vertical="center" wrapText="1"/>
    </xf>
    <xf numFmtId="49" fontId="25" fillId="0" borderId="5" xfId="8" applyNumberFormat="1" applyFont="1" applyFill="1" applyBorder="1" applyAlignment="1" applyProtection="1">
      <alignment horizontal="center" vertical="center" wrapText="1"/>
    </xf>
    <xf numFmtId="0" fontId="31" fillId="0" borderId="8" xfId="0" applyFont="1" applyBorder="1" applyAlignment="1" applyProtection="1">
      <alignment horizontal="center" wrapText="1"/>
    </xf>
    <xf numFmtId="0" fontId="30" fillId="0" borderId="29" xfId="0" applyFont="1" applyBorder="1" applyAlignment="1" applyProtection="1">
      <alignment horizontal="center" wrapText="1"/>
    </xf>
    <xf numFmtId="0" fontId="30" fillId="0" borderId="3" xfId="0" applyFont="1" applyBorder="1" applyAlignment="1" applyProtection="1">
      <alignment horizontal="center" wrapText="1"/>
    </xf>
    <xf numFmtId="0" fontId="30" fillId="0" borderId="5" xfId="0" applyFont="1" applyBorder="1" applyAlignment="1" applyProtection="1">
      <alignment horizontal="center" wrapText="1"/>
    </xf>
    <xf numFmtId="0" fontId="31" fillId="0" borderId="61" xfId="0" applyFont="1" applyBorder="1" applyAlignment="1" applyProtection="1">
      <alignment horizontal="center" wrapText="1"/>
    </xf>
    <xf numFmtId="49" fontId="25" fillId="0" borderId="43" xfId="8" applyNumberFormat="1" applyFont="1" applyFill="1" applyBorder="1" applyAlignment="1" applyProtection="1">
      <alignment horizontal="center" vertical="center" wrapText="1"/>
    </xf>
    <xf numFmtId="49" fontId="25" fillId="0" borderId="4" xfId="8" applyNumberFormat="1" applyFont="1" applyFill="1" applyBorder="1" applyAlignment="1" applyProtection="1">
      <alignment horizontal="center" vertical="center" wrapText="1"/>
    </xf>
    <xf numFmtId="49" fontId="25" fillId="0" borderId="46" xfId="8" applyNumberFormat="1" applyFont="1" applyFill="1" applyBorder="1" applyAlignment="1" applyProtection="1">
      <alignment horizontal="center" vertical="center" wrapText="1"/>
    </xf>
    <xf numFmtId="0" fontId="31" fillId="0" borderId="61" xfId="0" applyFont="1" applyBorder="1" applyAlignment="1" applyProtection="1">
      <alignment horizontal="center" vertical="center" wrapText="1"/>
    </xf>
    <xf numFmtId="0" fontId="14" fillId="0" borderId="66" xfId="0" applyFont="1" applyFill="1" applyBorder="1" applyAlignment="1" applyProtection="1">
      <alignment horizontal="center" vertical="center" wrapText="1"/>
    </xf>
    <xf numFmtId="0" fontId="42" fillId="0" borderId="0" xfId="0" applyFont="1" applyAlignment="1" applyProtection="1">
      <alignment horizontal="right" vertical="top"/>
    </xf>
    <xf numFmtId="0" fontId="13" fillId="0" borderId="0" xfId="0" applyFont="1" applyFill="1" applyAlignment="1" applyProtection="1">
      <alignment vertical="center"/>
    </xf>
    <xf numFmtId="0" fontId="11" fillId="0" borderId="0" xfId="0" applyFont="1" applyFill="1" applyAlignment="1" applyProtection="1">
      <alignment vertical="center"/>
    </xf>
    <xf numFmtId="0" fontId="13" fillId="0" borderId="0" xfId="0" applyFont="1" applyFill="1" applyAlignment="1" applyProtection="1">
      <alignment horizontal="center" vertical="center" wrapText="1"/>
    </xf>
    <xf numFmtId="0" fontId="9" fillId="0" borderId="0" xfId="0" applyFont="1" applyFill="1" applyAlignment="1" applyProtection="1">
      <alignment vertical="center" wrapText="1"/>
    </xf>
    <xf numFmtId="165" fontId="25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56" xfId="0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67" xfId="0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59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67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7" xfId="0" applyNumberFormat="1" applyFont="1" applyFill="1" applyBorder="1" applyAlignment="1" applyProtection="1">
      <alignment horizontal="right" vertical="center" wrapText="1" indent="1"/>
      <protection locked="0"/>
    </xf>
    <xf numFmtId="0" fontId="33" fillId="0" borderId="57" xfId="8" applyFont="1" applyFill="1" applyBorder="1" applyAlignment="1" applyProtection="1">
      <alignment horizontal="left" vertical="center" wrapText="1" indent="1"/>
    </xf>
    <xf numFmtId="0" fontId="32" fillId="0" borderId="8" xfId="0" applyFont="1" applyFill="1" applyBorder="1" applyAlignment="1" applyProtection="1">
      <alignment horizontal="center" vertical="center" wrapText="1"/>
    </xf>
    <xf numFmtId="0" fontId="32" fillId="0" borderId="6" xfId="0" applyFont="1" applyFill="1" applyBorder="1" applyAlignment="1" applyProtection="1">
      <alignment horizontal="left" vertical="center" wrapText="1" indent="1"/>
    </xf>
    <xf numFmtId="0" fontId="31" fillId="0" borderId="8" xfId="0" applyFont="1" applyBorder="1" applyAlignment="1" applyProtection="1">
      <alignment horizontal="center" vertical="center" wrapText="1"/>
    </xf>
    <xf numFmtId="0" fontId="41" fillId="0" borderId="36" xfId="0" applyFont="1" applyBorder="1" applyAlignment="1" applyProtection="1">
      <alignment horizontal="left" wrapText="1" indent="1"/>
    </xf>
    <xf numFmtId="0" fontId="14" fillId="0" borderId="6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165" fontId="32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5" fontId="32" fillId="0" borderId="35" xfId="0" applyNumberFormat="1" applyFont="1" applyFill="1" applyBorder="1" applyAlignment="1" applyProtection="1">
      <alignment horizontal="right" vertical="center" wrapText="1" indent="1"/>
    </xf>
    <xf numFmtId="165" fontId="24" fillId="0" borderId="35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right" vertical="center" wrapText="1" indent="1"/>
    </xf>
    <xf numFmtId="49" fontId="14" fillId="0" borderId="53" xfId="0" applyNumberFormat="1" applyFont="1" applyFill="1" applyBorder="1" applyAlignment="1" applyProtection="1">
      <alignment horizontal="right" vertical="center"/>
    </xf>
    <xf numFmtId="49" fontId="14" fillId="0" borderId="65" xfId="0" applyNumberFormat="1" applyFont="1" applyFill="1" applyBorder="1" applyAlignment="1" applyProtection="1">
      <alignment horizontal="right" vertical="center"/>
    </xf>
    <xf numFmtId="49" fontId="33" fillId="0" borderId="43" xfId="0" applyNumberFormat="1" applyFont="1" applyFill="1" applyBorder="1" applyAlignment="1" applyProtection="1">
      <alignment horizontal="center" vertical="center" wrapText="1"/>
    </xf>
    <xf numFmtId="49" fontId="33" fillId="0" borderId="3" xfId="0" applyNumberFormat="1" applyFont="1" applyFill="1" applyBorder="1" applyAlignment="1" applyProtection="1">
      <alignment horizontal="center" vertical="center" wrapText="1"/>
    </xf>
    <xf numFmtId="49" fontId="33" fillId="0" borderId="29" xfId="0" applyNumberFormat="1" applyFont="1" applyFill="1" applyBorder="1" applyAlignment="1" applyProtection="1">
      <alignment horizontal="center" vertical="center" wrapText="1"/>
    </xf>
    <xf numFmtId="0" fontId="33" fillId="0" borderId="34" xfId="8" applyFont="1" applyFill="1" applyBorder="1" applyAlignment="1" applyProtection="1">
      <alignment horizontal="left" vertical="center" wrapText="1" indent="1"/>
    </xf>
    <xf numFmtId="0" fontId="33" fillId="0" borderId="1" xfId="8" applyFont="1" applyFill="1" applyBorder="1" applyAlignment="1" applyProtection="1">
      <alignment horizontal="left" vertical="center" wrapText="1" indent="1"/>
    </xf>
    <xf numFmtId="0" fontId="33" fillId="0" borderId="57" xfId="8" quotePrefix="1" applyFont="1" applyFill="1" applyBorder="1" applyAlignment="1" applyProtection="1">
      <alignment horizontal="left" vertical="center" wrapText="1" indent="1"/>
    </xf>
    <xf numFmtId="165" fontId="33" fillId="0" borderId="37" xfId="0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8" xfId="0" applyFont="1" applyFill="1" applyBorder="1" applyAlignment="1">
      <alignment horizontal="center" vertical="center" wrapText="1"/>
    </xf>
    <xf numFmtId="0" fontId="32" fillId="0" borderId="6" xfId="8" applyFont="1" applyFill="1" applyBorder="1" applyAlignment="1" applyProtection="1">
      <alignment horizontal="left" vertical="center" wrapText="1"/>
    </xf>
    <xf numFmtId="165" fontId="33" fillId="0" borderId="47" xfId="0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7" xfId="0" applyFont="1" applyFill="1" applyBorder="1" applyAlignment="1" applyProtection="1">
      <alignment horizontal="center" vertical="center" wrapText="1"/>
    </xf>
    <xf numFmtId="165" fontId="24" fillId="0" borderId="27" xfId="0" applyNumberFormat="1" applyFont="1" applyFill="1" applyBorder="1" applyAlignment="1" applyProtection="1">
      <alignment horizontal="center" vertical="center" wrapText="1"/>
    </xf>
    <xf numFmtId="165" fontId="24" fillId="0" borderId="45" xfId="0" applyNumberFormat="1" applyFont="1" applyFill="1" applyBorder="1" applyAlignment="1" applyProtection="1">
      <alignment horizontal="center" vertical="center" wrapText="1"/>
    </xf>
    <xf numFmtId="165" fontId="24" fillId="0" borderId="63" xfId="0" applyNumberFormat="1" applyFont="1" applyFill="1" applyBorder="1" applyAlignment="1" applyProtection="1">
      <alignment horizontal="center" vertical="center" wrapText="1"/>
    </xf>
    <xf numFmtId="0" fontId="30" fillId="0" borderId="29" xfId="0" applyFont="1" applyBorder="1" applyAlignment="1" applyProtection="1">
      <alignment vertical="center" wrapText="1"/>
    </xf>
    <xf numFmtId="0" fontId="30" fillId="0" borderId="3" xfId="0" applyFont="1" applyBorder="1" applyAlignment="1" applyProtection="1">
      <alignment vertical="center" wrapText="1"/>
    </xf>
    <xf numFmtId="165" fontId="25" fillId="4" borderId="1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4" borderId="2" xfId="8" applyNumberFormat="1" applyFont="1" applyFill="1" applyBorder="1" applyAlignment="1" applyProtection="1">
      <alignment horizontal="right" vertical="center" wrapText="1" indent="1"/>
      <protection locked="0"/>
    </xf>
    <xf numFmtId="165" fontId="32" fillId="0" borderId="36" xfId="0" applyNumberFormat="1" applyFont="1" applyFill="1" applyBorder="1" applyAlignment="1" applyProtection="1">
      <alignment horizontal="right" vertical="center" wrapText="1" indent="1"/>
    </xf>
    <xf numFmtId="165" fontId="25" fillId="0" borderId="68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69" xfId="0" applyNumberFormat="1" applyFont="1" applyFill="1" applyBorder="1" applyAlignment="1" applyProtection="1">
      <alignment horizontal="right" vertical="center" wrapText="1" indent="1"/>
      <protection locked="0"/>
    </xf>
    <xf numFmtId="165" fontId="32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69" xfId="0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70" xfId="0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36" xfId="0" applyNumberFormat="1" applyFont="1" applyFill="1" applyBorder="1" applyAlignment="1" applyProtection="1">
      <alignment horizontal="right" vertical="center" wrapText="1" indent="1"/>
    </xf>
    <xf numFmtId="0" fontId="24" fillId="0" borderId="6" xfId="8" applyFont="1" applyFill="1" applyBorder="1" applyAlignment="1" applyProtection="1">
      <alignment horizontal="left" vertical="center" wrapText="1"/>
    </xf>
    <xf numFmtId="0" fontId="30" fillId="0" borderId="34" xfId="0" applyFont="1" applyBorder="1" applyAlignment="1" applyProtection="1">
      <alignment horizontal="left" vertical="center" wrapText="1"/>
    </xf>
    <xf numFmtId="0" fontId="30" fillId="0" borderId="1" xfId="0" applyFont="1" applyBorder="1" applyAlignment="1" applyProtection="1">
      <alignment horizontal="left" vertical="center" wrapText="1"/>
    </xf>
    <xf numFmtId="0" fontId="30" fillId="0" borderId="2" xfId="0" applyFont="1" applyBorder="1" applyAlignment="1" applyProtection="1">
      <alignment horizontal="left" vertical="center" wrapText="1"/>
    </xf>
    <xf numFmtId="0" fontId="31" fillId="0" borderId="6" xfId="0" applyFont="1" applyBorder="1" applyAlignment="1" applyProtection="1">
      <alignment horizontal="left" vertical="center" wrapText="1"/>
    </xf>
    <xf numFmtId="0" fontId="25" fillId="0" borderId="33" xfId="8" applyFont="1" applyFill="1" applyBorder="1" applyAlignment="1" applyProtection="1">
      <alignment horizontal="left" vertical="center" wrapText="1"/>
    </xf>
    <xf numFmtId="0" fontId="25" fillId="0" borderId="1" xfId="8" applyFont="1" applyFill="1" applyBorder="1" applyAlignment="1" applyProtection="1">
      <alignment horizontal="left" vertical="center" wrapText="1"/>
    </xf>
    <xf numFmtId="0" fontId="25" fillId="0" borderId="49" xfId="8" applyFont="1" applyFill="1" applyBorder="1" applyAlignment="1" applyProtection="1">
      <alignment horizontal="left" vertical="center" wrapText="1"/>
    </xf>
    <xf numFmtId="0" fontId="25" fillId="0" borderId="0" xfId="8" applyFont="1" applyFill="1" applyBorder="1" applyAlignment="1" applyProtection="1">
      <alignment horizontal="left" vertical="center" wrapText="1"/>
    </xf>
    <xf numFmtId="0" fontId="25" fillId="0" borderId="1" xfId="8" applyFont="1" applyFill="1" applyBorder="1" applyAlignment="1" applyProtection="1">
      <alignment horizontal="left" vertical="center"/>
    </xf>
    <xf numFmtId="0" fontId="25" fillId="0" borderId="2" xfId="8" applyFont="1" applyFill="1" applyBorder="1" applyAlignment="1" applyProtection="1">
      <alignment horizontal="left" vertical="center" wrapText="1"/>
    </xf>
    <xf numFmtId="0" fontId="25" fillId="0" borderId="12" xfId="8" applyFont="1" applyFill="1" applyBorder="1" applyAlignment="1" applyProtection="1">
      <alignment horizontal="left" vertical="center" wrapText="1"/>
    </xf>
    <xf numFmtId="0" fontId="25" fillId="0" borderId="34" xfId="8" applyFont="1" applyFill="1" applyBorder="1" applyAlignment="1" applyProtection="1">
      <alignment horizontal="left" vertical="center" wrapText="1"/>
    </xf>
    <xf numFmtId="0" fontId="25" fillId="0" borderId="10" xfId="8" applyFont="1" applyFill="1" applyBorder="1" applyAlignment="1" applyProtection="1">
      <alignment horizontal="left" vertical="center" wrapText="1"/>
    </xf>
    <xf numFmtId="0" fontId="29" fillId="0" borderId="57" xfId="0" applyFont="1" applyBorder="1" applyAlignment="1" applyProtection="1">
      <alignment horizontal="left" vertical="center" wrapText="1"/>
    </xf>
    <xf numFmtId="0" fontId="47" fillId="0" borderId="0" xfId="10" applyFill="1" applyProtection="1"/>
    <xf numFmtId="0" fontId="66" fillId="0" borderId="0" xfId="10" applyFont="1" applyFill="1" applyProtection="1"/>
    <xf numFmtId="0" fontId="46" fillId="0" borderId="46" xfId="10" applyFont="1" applyFill="1" applyBorder="1" applyAlignment="1" applyProtection="1">
      <alignment horizontal="center" vertical="center" wrapText="1"/>
    </xf>
    <xf numFmtId="0" fontId="46" fillId="0" borderId="12" xfId="10" applyFont="1" applyFill="1" applyBorder="1" applyAlignment="1" applyProtection="1">
      <alignment horizontal="center" vertical="center" wrapText="1"/>
    </xf>
    <xf numFmtId="0" fontId="46" fillId="0" borderId="13" xfId="10" applyFont="1" applyFill="1" applyBorder="1" applyAlignment="1" applyProtection="1">
      <alignment horizontal="center" vertical="center" wrapText="1"/>
    </xf>
    <xf numFmtId="0" fontId="47" fillId="0" borderId="0" xfId="10" applyFill="1" applyAlignment="1" applyProtection="1">
      <alignment horizontal="center" vertical="center"/>
    </xf>
    <xf numFmtId="0" fontId="31" fillId="0" borderId="43" xfId="10" applyFont="1" applyFill="1" applyBorder="1" applyAlignment="1" applyProtection="1">
      <alignment vertical="center" wrapText="1"/>
    </xf>
    <xf numFmtId="170" fontId="25" fillId="0" borderId="33" xfId="9" applyNumberFormat="1" applyFont="1" applyFill="1" applyBorder="1" applyAlignment="1" applyProtection="1">
      <alignment horizontal="center" vertical="center"/>
    </xf>
    <xf numFmtId="169" fontId="55" fillId="0" borderId="33" xfId="10" applyNumberFormat="1" applyFont="1" applyFill="1" applyBorder="1" applyAlignment="1" applyProtection="1">
      <alignment horizontal="right" vertical="center" wrapText="1"/>
      <protection locked="0"/>
    </xf>
    <xf numFmtId="169" fontId="55" fillId="0" borderId="53" xfId="10" applyNumberFormat="1" applyFont="1" applyFill="1" applyBorder="1" applyAlignment="1" applyProtection="1">
      <alignment horizontal="right" vertical="center" wrapText="1"/>
      <protection locked="0"/>
    </xf>
    <xf numFmtId="0" fontId="47" fillId="0" borderId="0" xfId="10" applyFill="1" applyAlignment="1" applyProtection="1">
      <alignment vertical="center"/>
    </xf>
    <xf numFmtId="0" fontId="31" fillId="0" borderId="3" xfId="10" applyFont="1" applyFill="1" applyBorder="1" applyAlignment="1" applyProtection="1">
      <alignment vertical="center" wrapText="1"/>
    </xf>
    <xf numFmtId="169" fontId="55" fillId="0" borderId="1" xfId="10" applyNumberFormat="1" applyFont="1" applyFill="1" applyBorder="1" applyAlignment="1" applyProtection="1">
      <alignment horizontal="right" vertical="center" wrapText="1"/>
    </xf>
    <xf numFmtId="169" fontId="55" fillId="0" borderId="9" xfId="10" applyNumberFormat="1" applyFont="1" applyFill="1" applyBorder="1" applyAlignment="1" applyProtection="1">
      <alignment horizontal="right" vertical="center" wrapText="1"/>
    </xf>
    <xf numFmtId="0" fontId="45" fillId="0" borderId="3" xfId="10" applyFont="1" applyFill="1" applyBorder="1" applyAlignment="1" applyProtection="1">
      <alignment horizontal="left" vertical="center" wrapText="1" indent="1"/>
    </xf>
    <xf numFmtId="169" fontId="56" fillId="0" borderId="9" xfId="10" applyNumberFormat="1" applyFont="1" applyFill="1" applyBorder="1" applyAlignment="1" applyProtection="1">
      <alignment horizontal="right" vertical="center" wrapText="1"/>
      <protection locked="0"/>
    </xf>
    <xf numFmtId="169" fontId="30" fillId="0" borderId="1" xfId="10" applyNumberFormat="1" applyFont="1" applyFill="1" applyBorder="1" applyAlignment="1" applyProtection="1">
      <alignment horizontal="right" vertical="center" wrapText="1"/>
    </xf>
    <xf numFmtId="169" fontId="30" fillId="0" borderId="9" xfId="10" applyNumberFormat="1" applyFont="1" applyFill="1" applyBorder="1" applyAlignment="1" applyProtection="1">
      <alignment horizontal="right" vertical="center" wrapText="1"/>
    </xf>
    <xf numFmtId="0" fontId="31" fillId="0" borderId="46" xfId="10" applyFont="1" applyFill="1" applyBorder="1" applyAlignment="1" applyProtection="1">
      <alignment vertical="center" wrapText="1"/>
    </xf>
    <xf numFmtId="169" fontId="55" fillId="0" borderId="12" xfId="10" applyNumberFormat="1" applyFont="1" applyFill="1" applyBorder="1" applyAlignment="1" applyProtection="1">
      <alignment horizontal="right" vertical="center" wrapText="1"/>
    </xf>
    <xf numFmtId="169" fontId="55" fillId="0" borderId="13" xfId="10" applyNumberFormat="1" applyFont="1" applyFill="1" applyBorder="1" applyAlignment="1" applyProtection="1">
      <alignment horizontal="right" vertical="center" wrapText="1"/>
    </xf>
    <xf numFmtId="0" fontId="30" fillId="0" borderId="0" xfId="10" applyFont="1" applyFill="1" applyProtection="1"/>
    <xf numFmtId="3" fontId="47" fillId="0" borderId="0" xfId="10" applyNumberFormat="1" applyFont="1" applyFill="1" applyProtection="1"/>
    <xf numFmtId="3" fontId="47" fillId="0" borderId="0" xfId="10" applyNumberFormat="1" applyFont="1" applyFill="1" applyAlignment="1" applyProtection="1">
      <alignment horizontal="center"/>
    </xf>
    <xf numFmtId="0" fontId="47" fillId="0" borderId="0" xfId="10" applyFont="1" applyFill="1" applyProtection="1"/>
    <xf numFmtId="0" fontId="47" fillId="0" borderId="0" xfId="10" applyFill="1" applyAlignment="1" applyProtection="1">
      <alignment horizontal="center"/>
    </xf>
    <xf numFmtId="0" fontId="21" fillId="0" borderId="0" xfId="9" applyFill="1" applyAlignment="1" applyProtection="1">
      <alignment vertical="center"/>
    </xf>
    <xf numFmtId="171" fontId="24" fillId="0" borderId="9" xfId="9" applyNumberFormat="1" applyFont="1" applyFill="1" applyBorder="1" applyAlignment="1" applyProtection="1">
      <alignment vertical="center"/>
      <protection locked="0"/>
    </xf>
    <xf numFmtId="0" fontId="20" fillId="0" borderId="0" xfId="9" applyFont="1" applyFill="1" applyAlignment="1" applyProtection="1">
      <alignment vertical="center"/>
    </xf>
    <xf numFmtId="0" fontId="47" fillId="0" borderId="0" xfId="10" applyFont="1" applyFill="1" applyAlignment="1" applyProtection="1"/>
    <xf numFmtId="0" fontId="22" fillId="0" borderId="0" xfId="0" applyNumberFormat="1" applyFont="1" applyFill="1" applyAlignment="1" applyProtection="1">
      <alignment textRotation="180" wrapText="1"/>
      <protection locked="0"/>
    </xf>
    <xf numFmtId="0" fontId="67" fillId="0" borderId="0" xfId="0" applyFont="1" applyAlignment="1" applyProtection="1">
      <alignment horizontal="right" vertical="top"/>
    </xf>
    <xf numFmtId="0" fontId="67" fillId="0" borderId="0" xfId="0" applyFont="1" applyAlignment="1" applyProtection="1">
      <alignment horizontal="right" vertical="top"/>
      <protection locked="0"/>
    </xf>
    <xf numFmtId="0" fontId="29" fillId="0" borderId="50" xfId="10" applyFont="1" applyFill="1" applyBorder="1" applyAlignment="1">
      <alignment horizontal="center" vertical="center"/>
    </xf>
    <xf numFmtId="0" fontId="29" fillId="0" borderId="51" xfId="10" applyFont="1" applyFill="1" applyBorder="1" applyAlignment="1">
      <alignment horizontal="center" vertical="center" wrapText="1"/>
    </xf>
    <xf numFmtId="0" fontId="29" fillId="0" borderId="52" xfId="10" applyFont="1" applyFill="1" applyBorder="1" applyAlignment="1">
      <alignment horizontal="center" vertical="center" wrapText="1"/>
    </xf>
    <xf numFmtId="0" fontId="30" fillId="0" borderId="29" xfId="10" applyFont="1" applyFill="1" applyBorder="1" applyProtection="1">
      <protection locked="0"/>
    </xf>
    <xf numFmtId="0" fontId="31" fillId="0" borderId="8" xfId="10" applyFont="1" applyFill="1" applyBorder="1" applyProtection="1">
      <protection locked="0"/>
    </xf>
    <xf numFmtId="0" fontId="30" fillId="0" borderId="6" xfId="10" applyFont="1" applyFill="1" applyBorder="1" applyAlignment="1">
      <alignment horizontal="right" indent="1"/>
    </xf>
    <xf numFmtId="3" fontId="30" fillId="0" borderId="6" xfId="10" applyNumberFormat="1" applyFont="1" applyFill="1" applyBorder="1" applyProtection="1">
      <protection locked="0"/>
    </xf>
    <xf numFmtId="171" fontId="24" fillId="0" borderId="7" xfId="9" applyNumberFormat="1" applyFont="1" applyFill="1" applyBorder="1" applyAlignment="1" applyProtection="1">
      <alignment vertical="center"/>
    </xf>
    <xf numFmtId="0" fontId="67" fillId="0" borderId="0" xfId="10" applyFont="1" applyFill="1"/>
    <xf numFmtId="0" fontId="58" fillId="0" borderId="50" xfId="10" applyFont="1" applyFill="1" applyBorder="1" applyAlignment="1">
      <alignment horizontal="center" vertical="center"/>
    </xf>
    <xf numFmtId="0" fontId="58" fillId="0" borderId="51" xfId="10" applyFont="1" applyFill="1" applyBorder="1" applyAlignment="1">
      <alignment horizontal="center" vertical="center" wrapText="1"/>
    </xf>
    <xf numFmtId="0" fontId="58" fillId="0" borderId="52" xfId="10" applyFont="1" applyFill="1" applyBorder="1" applyAlignment="1">
      <alignment horizontal="center" vertical="center" wrapText="1"/>
    </xf>
    <xf numFmtId="0" fontId="30" fillId="0" borderId="5" xfId="10" applyFont="1" applyFill="1" applyBorder="1" applyAlignment="1" applyProtection="1">
      <alignment horizontal="left" indent="1"/>
      <protection locked="0"/>
    </xf>
    <xf numFmtId="0" fontId="31" fillId="0" borderId="45" xfId="10" applyNumberFormat="1" applyFont="1" applyFill="1" applyBorder="1"/>
    <xf numFmtId="0" fontId="14" fillId="0" borderId="7" xfId="0" applyFont="1" applyFill="1" applyBorder="1" applyAlignment="1" applyProtection="1">
      <alignment horizontal="center" vertical="center" wrapText="1"/>
    </xf>
    <xf numFmtId="0" fontId="34" fillId="8" borderId="0" xfId="0" applyFont="1" applyFill="1" applyProtection="1"/>
    <xf numFmtId="0" fontId="35" fillId="8" borderId="0" xfId="0" applyFont="1" applyFill="1" applyProtection="1"/>
    <xf numFmtId="0" fontId="0" fillId="8" borderId="0" xfId="0" applyFill="1" applyProtection="1"/>
    <xf numFmtId="165" fontId="8" fillId="0" borderId="63" xfId="0" applyNumberFormat="1" applyFont="1" applyFill="1" applyBorder="1" applyAlignment="1" applyProtection="1">
      <alignment horizontal="left" vertical="center" wrapText="1" indent="1"/>
    </xf>
    <xf numFmtId="165" fontId="8" fillId="0" borderId="24" xfId="0" applyNumberFormat="1" applyFont="1" applyFill="1" applyBorder="1" applyAlignment="1" applyProtection="1">
      <alignment horizontal="left" vertical="center" wrapText="1" indent="1"/>
    </xf>
    <xf numFmtId="0" fontId="8" fillId="0" borderId="0" xfId="0" applyFont="1" applyFill="1" applyAlignment="1" applyProtection="1">
      <alignment horizontal="left" vertical="center" wrapText="1"/>
    </xf>
    <xf numFmtId="0" fontId="8" fillId="0" borderId="0" xfId="0" applyFont="1" applyFill="1" applyAlignment="1" applyProtection="1">
      <alignment vertical="center" wrapText="1"/>
    </xf>
    <xf numFmtId="0" fontId="8" fillId="0" borderId="0" xfId="0" applyFont="1" applyFill="1" applyAlignment="1" applyProtection="1">
      <alignment horizontal="right" vertical="center" wrapText="1" indent="1"/>
    </xf>
    <xf numFmtId="0" fontId="8" fillId="0" borderId="1" xfId="0" applyFont="1" applyFill="1" applyBorder="1" applyAlignment="1">
      <alignment horizontal="left" vertical="center" indent="1"/>
    </xf>
    <xf numFmtId="0" fontId="8" fillId="0" borderId="2" xfId="0" applyFont="1" applyFill="1" applyBorder="1" applyAlignment="1">
      <alignment horizontal="left" vertical="center" indent="1"/>
    </xf>
    <xf numFmtId="0" fontId="14" fillId="0" borderId="12" xfId="8" applyFont="1" applyFill="1" applyBorder="1" applyAlignment="1" applyProtection="1">
      <alignment horizontal="center" vertical="center" wrapText="1"/>
    </xf>
    <xf numFmtId="165" fontId="24" fillId="0" borderId="17" xfId="0" applyNumberFormat="1" applyFont="1" applyFill="1" applyBorder="1" applyAlignment="1">
      <alignment horizontal="center" vertical="center"/>
    </xf>
    <xf numFmtId="165" fontId="14" fillId="0" borderId="17" xfId="0" applyNumberFormat="1" applyFont="1" applyFill="1" applyBorder="1" applyAlignment="1">
      <alignment horizontal="center" vertical="center" wrapText="1"/>
    </xf>
    <xf numFmtId="165" fontId="24" fillId="0" borderId="17" xfId="0" applyNumberFormat="1" applyFont="1" applyFill="1" applyBorder="1" applyAlignment="1">
      <alignment horizontal="center" vertical="center" wrapText="1"/>
    </xf>
    <xf numFmtId="0" fontId="14" fillId="0" borderId="27" xfId="0" applyFont="1" applyFill="1" applyBorder="1" applyAlignment="1" applyProtection="1">
      <alignment horizontal="center" vertical="center" wrapText="1"/>
    </xf>
    <xf numFmtId="0" fontId="14" fillId="0" borderId="51" xfId="0" applyFont="1" applyFill="1" applyBorder="1" applyAlignment="1" applyProtection="1">
      <alignment horizontal="center" vertical="center" wrapText="1"/>
    </xf>
    <xf numFmtId="0" fontId="54" fillId="0" borderId="51" xfId="9" applyFont="1" applyFill="1" applyBorder="1" applyAlignment="1" applyProtection="1">
      <alignment horizontal="center" vertical="center" textRotation="90"/>
    </xf>
    <xf numFmtId="3" fontId="47" fillId="0" borderId="0" xfId="10" applyNumberFormat="1" applyFont="1" applyFill="1" applyAlignment="1">
      <alignment horizontal="center"/>
    </xf>
    <xf numFmtId="0" fontId="68" fillId="0" borderId="1" xfId="0" applyFont="1" applyFill="1" applyBorder="1" applyAlignment="1">
      <alignment vertical="center" wrapText="1"/>
    </xf>
    <xf numFmtId="0" fontId="74" fillId="0" borderId="0" xfId="0" applyFont="1"/>
    <xf numFmtId="0" fontId="0" fillId="0" borderId="0" xfId="0" applyAlignment="1">
      <alignment horizontal="right"/>
    </xf>
    <xf numFmtId="0" fontId="0" fillId="0" borderId="0" xfId="0" applyAlignment="1"/>
    <xf numFmtId="0" fontId="70" fillId="0" borderId="0" xfId="0" applyFont="1" applyAlignment="1">
      <alignment horizontal="center"/>
    </xf>
    <xf numFmtId="0" fontId="75" fillId="0" borderId="1" xfId="0" applyFont="1" applyFill="1" applyBorder="1" applyAlignment="1">
      <alignment horizontal="left"/>
    </xf>
    <xf numFmtId="0" fontId="74" fillId="0" borderId="1" xfId="0" applyFont="1" applyBorder="1"/>
    <xf numFmtId="0" fontId="60" fillId="0" borderId="2" xfId="0" applyFont="1" applyBorder="1" applyAlignment="1">
      <alignment vertical="center"/>
    </xf>
    <xf numFmtId="0" fontId="24" fillId="0" borderId="1" xfId="8" applyFont="1" applyFill="1" applyBorder="1" applyAlignment="1" applyProtection="1">
      <alignment horizontal="center" vertical="center" wrapText="1"/>
    </xf>
    <xf numFmtId="3" fontId="74" fillId="0" borderId="1" xfId="0" applyNumberFormat="1" applyFont="1" applyFill="1" applyBorder="1"/>
    <xf numFmtId="3" fontId="74" fillId="0" borderId="1" xfId="0" applyNumberFormat="1" applyFont="1" applyFill="1" applyBorder="1" applyAlignment="1">
      <alignment horizontal="right"/>
    </xf>
    <xf numFmtId="0" fontId="76" fillId="0" borderId="0" xfId="0" applyFont="1" applyFill="1" applyBorder="1"/>
    <xf numFmtId="3" fontId="74" fillId="0" borderId="1" xfId="0" applyNumberFormat="1" applyFont="1" applyBorder="1"/>
    <xf numFmtId="0" fontId="74" fillId="7" borderId="0" xfId="0" applyFont="1" applyFill="1"/>
    <xf numFmtId="0" fontId="74" fillId="0" borderId="0" xfId="0" applyFont="1" applyFill="1"/>
    <xf numFmtId="0" fontId="75" fillId="0" borderId="1" xfId="0" applyFont="1" applyFill="1" applyBorder="1"/>
    <xf numFmtId="0" fontId="74" fillId="0" borderId="1" xfId="0" applyFont="1" applyFill="1" applyBorder="1"/>
    <xf numFmtId="0" fontId="60" fillId="0" borderId="1" xfId="0" applyFont="1" applyFill="1" applyBorder="1" applyAlignment="1">
      <alignment vertical="center"/>
    </xf>
    <xf numFmtId="0" fontId="60" fillId="0" borderId="0" xfId="0" applyFont="1"/>
    <xf numFmtId="0" fontId="60" fillId="0" borderId="1" xfId="0" applyFont="1" applyFill="1" applyBorder="1"/>
    <xf numFmtId="3" fontId="60" fillId="0" borderId="1" xfId="0" applyNumberFormat="1" applyFont="1" applyFill="1" applyBorder="1"/>
    <xf numFmtId="3" fontId="76" fillId="0" borderId="0" xfId="0" applyNumberFormat="1" applyFont="1" applyFill="1" applyBorder="1"/>
    <xf numFmtId="0" fontId="60" fillId="0" borderId="2" xfId="0" applyFont="1" applyFill="1" applyBorder="1" applyAlignment="1">
      <alignment vertical="center"/>
    </xf>
    <xf numFmtId="0" fontId="60" fillId="0" borderId="0" xfId="0" applyFont="1" applyFill="1" applyBorder="1" applyAlignment="1">
      <alignment vertical="center"/>
    </xf>
    <xf numFmtId="3" fontId="60" fillId="0" borderId="0" xfId="0" applyNumberFormat="1" applyFont="1" applyFill="1" applyBorder="1" applyAlignment="1">
      <alignment vertical="center"/>
    </xf>
    <xf numFmtId="0" fontId="74" fillId="0" borderId="1" xfId="8" applyFont="1" applyFill="1" applyBorder="1" applyAlignment="1" applyProtection="1">
      <alignment vertical="center" wrapText="1"/>
    </xf>
    <xf numFmtId="0" fontId="33" fillId="0" borderId="1" xfId="8" applyFont="1" applyFill="1" applyBorder="1" applyAlignment="1" applyProtection="1">
      <alignment vertical="center" wrapText="1"/>
    </xf>
    <xf numFmtId="0" fontId="60" fillId="0" borderId="2" xfId="0" applyFont="1" applyBorder="1" applyAlignment="1">
      <alignment horizontal="center" vertical="center" wrapText="1"/>
    </xf>
    <xf numFmtId="3" fontId="60" fillId="0" borderId="1" xfId="0" applyNumberFormat="1" applyFont="1" applyFill="1" applyBorder="1" applyAlignment="1">
      <alignment vertical="center"/>
    </xf>
    <xf numFmtId="3" fontId="74" fillId="0" borderId="1" xfId="8" applyNumberFormat="1" applyFont="1" applyFill="1" applyBorder="1" applyAlignment="1" applyProtection="1">
      <alignment vertical="center" wrapText="1"/>
    </xf>
    <xf numFmtId="3" fontId="33" fillId="0" borderId="1" xfId="8" applyNumberFormat="1" applyFont="1" applyFill="1" applyBorder="1" applyAlignment="1" applyProtection="1">
      <alignment vertical="center" wrapText="1"/>
    </xf>
    <xf numFmtId="0" fontId="77" fillId="0" borderId="0" xfId="0" applyFont="1" applyFill="1"/>
    <xf numFmtId="14" fontId="60" fillId="0" borderId="0" xfId="0" applyNumberFormat="1" applyFont="1" applyFill="1" applyAlignment="1">
      <alignment horizontal="left"/>
    </xf>
    <xf numFmtId="0" fontId="60" fillId="0" borderId="0" xfId="0" applyFont="1" applyFill="1" applyAlignment="1">
      <alignment horizontal="right"/>
    </xf>
    <xf numFmtId="0" fontId="78" fillId="0" borderId="0" xfId="0" applyFont="1" applyFill="1" applyAlignment="1">
      <alignment horizontal="center"/>
    </xf>
    <xf numFmtId="0" fontId="79" fillId="0" borderId="0" xfId="0" applyFont="1" applyFill="1" applyAlignment="1">
      <alignment horizontal="center"/>
    </xf>
    <xf numFmtId="0" fontId="80" fillId="0" borderId="0" xfId="0" applyFont="1" applyFill="1"/>
    <xf numFmtId="0" fontId="81" fillId="0" borderId="0" xfId="0" applyFont="1" applyFill="1" applyBorder="1" applyAlignment="1">
      <alignment horizontal="left"/>
    </xf>
    <xf numFmtId="0" fontId="82" fillId="0" borderId="74" xfId="0" applyFont="1" applyFill="1" applyBorder="1" applyAlignment="1">
      <alignment horizontal="right"/>
    </xf>
    <xf numFmtId="0" fontId="83" fillId="0" borderId="2" xfId="0" applyFont="1" applyFill="1" applyBorder="1" applyAlignment="1">
      <alignment vertical="center"/>
    </xf>
    <xf numFmtId="0" fontId="83" fillId="9" borderId="1" xfId="0" applyFont="1" applyFill="1" applyBorder="1" applyAlignment="1">
      <alignment vertical="center"/>
    </xf>
    <xf numFmtId="0" fontId="85" fillId="0" borderId="0" xfId="0" applyFont="1" applyFill="1"/>
    <xf numFmtId="0" fontId="84" fillId="0" borderId="0" xfId="0" applyFont="1" applyFill="1"/>
    <xf numFmtId="0" fontId="83" fillId="0" borderId="0" xfId="0" applyFont="1" applyFill="1" applyBorder="1" applyAlignment="1">
      <alignment vertical="center"/>
    </xf>
    <xf numFmtId="0" fontId="82" fillId="0" borderId="0" xfId="0" applyFont="1" applyFill="1" applyBorder="1" applyAlignment="1">
      <alignment vertical="center"/>
    </xf>
    <xf numFmtId="0" fontId="84" fillId="0" borderId="0" xfId="0" applyFont="1" applyFill="1" applyBorder="1" applyAlignment="1">
      <alignment vertical="center"/>
    </xf>
    <xf numFmtId="0" fontId="70" fillId="0" borderId="1" xfId="0" applyFont="1" applyFill="1" applyBorder="1"/>
    <xf numFmtId="0" fontId="0" fillId="0" borderId="74" xfId="0" applyBorder="1" applyAlignment="1">
      <alignment horizontal="right"/>
    </xf>
    <xf numFmtId="3" fontId="39" fillId="0" borderId="1" xfId="0" applyNumberFormat="1" applyFont="1" applyBorder="1" applyAlignment="1">
      <alignment vertical="center"/>
    </xf>
    <xf numFmtId="0" fontId="86" fillId="0" borderId="75" xfId="0" applyFont="1" applyBorder="1" applyAlignment="1">
      <alignment horizontal="left" vertical="center"/>
    </xf>
    <xf numFmtId="3" fontId="35" fillId="0" borderId="1" xfId="0" applyNumberFormat="1" applyFont="1" applyBorder="1" applyAlignment="1">
      <alignment horizontal="right" vertical="center"/>
    </xf>
    <xf numFmtId="0" fontId="87" fillId="0" borderId="0" xfId="0" applyFont="1"/>
    <xf numFmtId="0" fontId="88" fillId="0" borderId="75" xfId="0" applyFont="1" applyBorder="1" applyAlignment="1">
      <alignment horizontal="left" vertical="center"/>
    </xf>
    <xf numFmtId="0" fontId="89" fillId="0" borderId="75" xfId="0" applyFont="1" applyBorder="1" applyAlignment="1">
      <alignment horizontal="left" vertical="center"/>
    </xf>
    <xf numFmtId="3" fontId="22" fillId="0" borderId="1" xfId="0" applyNumberFormat="1" applyFont="1" applyBorder="1" applyAlignment="1">
      <alignment horizontal="right" vertical="center"/>
    </xf>
    <xf numFmtId="0" fontId="90" fillId="0" borderId="75" xfId="0" applyFont="1" applyBorder="1" applyAlignment="1">
      <alignment horizontal="left" vertical="center"/>
    </xf>
    <xf numFmtId="0" fontId="86" fillId="8" borderId="75" xfId="0" applyFont="1" applyFill="1" applyBorder="1" applyAlignment="1">
      <alignment horizontal="left" vertical="center"/>
    </xf>
    <xf numFmtId="3" fontId="91" fillId="8" borderId="1" xfId="0" applyNumberFormat="1" applyFont="1" applyFill="1" applyBorder="1" applyAlignment="1">
      <alignment horizontal="right" vertical="center"/>
    </xf>
    <xf numFmtId="3" fontId="0" fillId="0" borderId="1" xfId="0" applyNumberFormat="1" applyFont="1" applyBorder="1" applyAlignment="1">
      <alignment horizontal="right" vertical="center"/>
    </xf>
    <xf numFmtId="0" fontId="29" fillId="0" borderId="0" xfId="0" applyFont="1" applyAlignment="1"/>
    <xf numFmtId="0" fontId="92" fillId="0" borderId="0" xfId="0" applyFont="1" applyProtection="1"/>
    <xf numFmtId="0" fontId="94" fillId="0" borderId="0" xfId="0" applyFont="1" applyAlignment="1" applyProtection="1">
      <alignment horizontal="center"/>
    </xf>
    <xf numFmtId="0" fontId="58" fillId="0" borderId="1" xfId="0" applyFont="1" applyFill="1" applyBorder="1" applyAlignment="1" applyProtection="1">
      <alignment horizontal="center" vertical="center"/>
    </xf>
    <xf numFmtId="0" fontId="58" fillId="0" borderId="1" xfId="0" applyFont="1" applyFill="1" applyBorder="1" applyAlignment="1" applyProtection="1">
      <alignment horizontal="center" vertical="center" wrapText="1"/>
    </xf>
    <xf numFmtId="0" fontId="92" fillId="0" borderId="1" xfId="0" applyFont="1" applyFill="1" applyBorder="1" applyAlignment="1" applyProtection="1">
      <alignment horizontal="left" vertical="center"/>
    </xf>
    <xf numFmtId="0" fontId="92" fillId="0" borderId="1" xfId="0" applyFont="1" applyFill="1" applyBorder="1" applyAlignment="1" applyProtection="1">
      <alignment horizontal="center" vertical="center"/>
      <protection locked="0"/>
    </xf>
    <xf numFmtId="0" fontId="92" fillId="0" borderId="1" xfId="0" applyFont="1" applyBorder="1" applyAlignment="1" applyProtection="1">
      <alignment vertical="center"/>
    </xf>
    <xf numFmtId="0" fontId="92" fillId="0" borderId="1" xfId="0" applyFont="1" applyBorder="1" applyAlignment="1" applyProtection="1">
      <alignment horizontal="center" vertical="center"/>
      <protection locked="0"/>
    </xf>
    <xf numFmtId="0" fontId="58" fillId="11" borderId="1" xfId="0" applyFont="1" applyFill="1" applyBorder="1" applyAlignment="1" applyProtection="1">
      <alignment horizontal="left" vertical="center"/>
    </xf>
    <xf numFmtId="0" fontId="58" fillId="11" borderId="1" xfId="0" applyFont="1" applyFill="1" applyBorder="1" applyAlignment="1" applyProtection="1">
      <alignment horizontal="center" vertical="center"/>
    </xf>
    <xf numFmtId="0" fontId="92" fillId="0" borderId="1" xfId="0" applyFont="1" applyFill="1" applyBorder="1" applyAlignment="1" applyProtection="1">
      <alignment vertical="center"/>
    </xf>
    <xf numFmtId="0" fontId="42" fillId="0" borderId="1" xfId="0" applyFont="1" applyFill="1" applyBorder="1" applyAlignment="1" applyProtection="1">
      <alignment vertical="center"/>
    </xf>
    <xf numFmtId="0" fontId="42" fillId="0" borderId="1" xfId="0" applyFont="1" applyFill="1" applyBorder="1" applyAlignment="1" applyProtection="1">
      <alignment horizontal="center" vertical="center"/>
      <protection locked="0"/>
    </xf>
    <xf numFmtId="0" fontId="58" fillId="11" borderId="1" xfId="0" applyFont="1" applyFill="1" applyBorder="1" applyAlignment="1" applyProtection="1">
      <alignment vertical="center"/>
    </xf>
    <xf numFmtId="0" fontId="29" fillId="11" borderId="1" xfId="0" applyFont="1" applyFill="1" applyBorder="1" applyAlignment="1" applyProtection="1">
      <alignment horizontal="center" vertical="center"/>
    </xf>
    <xf numFmtId="0" fontId="58" fillId="12" borderId="1" xfId="0" applyFont="1" applyFill="1" applyBorder="1" applyAlignment="1" applyProtection="1">
      <alignment vertical="center"/>
    </xf>
    <xf numFmtId="0" fontId="58" fillId="12" borderId="1" xfId="0" applyFont="1" applyFill="1" applyBorder="1" applyAlignment="1" applyProtection="1">
      <alignment horizontal="center" vertical="center"/>
    </xf>
    <xf numFmtId="0" fontId="0" fillId="0" borderId="0" xfId="0" applyAlignment="1" applyProtection="1"/>
    <xf numFmtId="0" fontId="93" fillId="0" borderId="0" xfId="0" applyFont="1" applyAlignment="1" applyProtection="1"/>
    <xf numFmtId="0" fontId="7" fillId="0" borderId="0" xfId="12"/>
    <xf numFmtId="0" fontId="99" fillId="0" borderId="0" xfId="12" applyFont="1" applyAlignment="1">
      <alignment vertical="center"/>
    </xf>
    <xf numFmtId="0" fontId="100" fillId="0" borderId="0" xfId="12" applyFont="1" applyAlignment="1">
      <alignment vertical="center"/>
    </xf>
    <xf numFmtId="3" fontId="100" fillId="0" borderId="0" xfId="12" applyNumberFormat="1" applyFont="1" applyAlignment="1">
      <alignment vertical="center"/>
    </xf>
    <xf numFmtId="0" fontId="101" fillId="0" borderId="0" xfId="12" applyFont="1" applyAlignment="1">
      <alignment vertical="center"/>
    </xf>
    <xf numFmtId="0" fontId="102" fillId="0" borderId="0" xfId="8" applyFont="1" applyFill="1" applyProtection="1"/>
    <xf numFmtId="165" fontId="102" fillId="0" borderId="0" xfId="0" applyNumberFormat="1" applyFont="1" applyFill="1" applyAlignment="1">
      <alignment horizontal="center" vertical="center" wrapText="1"/>
    </xf>
    <xf numFmtId="0" fontId="97" fillId="0" borderId="0" xfId="0" applyFont="1" applyAlignment="1">
      <alignment vertical="center"/>
    </xf>
    <xf numFmtId="0" fontId="98" fillId="0" borderId="0" xfId="0" applyFont="1" applyAlignment="1">
      <alignment vertical="center"/>
    </xf>
    <xf numFmtId="0" fontId="99" fillId="0" borderId="0" xfId="0" applyFont="1" applyAlignment="1">
      <alignment vertical="center"/>
    </xf>
    <xf numFmtId="3" fontId="99" fillId="0" borderId="0" xfId="0" applyNumberFormat="1" applyFont="1" applyAlignment="1">
      <alignment vertical="center"/>
    </xf>
    <xf numFmtId="0" fontId="100" fillId="0" borderId="0" xfId="0" applyFont="1" applyAlignment="1">
      <alignment vertical="center"/>
    </xf>
    <xf numFmtId="3" fontId="100" fillId="0" borderId="0" xfId="0" applyNumberFormat="1" applyFont="1" applyAlignment="1">
      <alignment vertical="center"/>
    </xf>
    <xf numFmtId="0" fontId="101" fillId="0" borderId="0" xfId="0" applyFont="1" applyAlignment="1">
      <alignment vertical="center"/>
    </xf>
    <xf numFmtId="0" fontId="98" fillId="0" borderId="0" xfId="0" applyFont="1" applyAlignment="1">
      <alignment horizontal="left" vertical="center"/>
    </xf>
    <xf numFmtId="0" fontId="97" fillId="0" borderId="0" xfId="0" applyFont="1" applyAlignment="1">
      <alignment horizontal="center" vertical="center"/>
    </xf>
    <xf numFmtId="0" fontId="74" fillId="0" borderId="1" xfId="0" applyFont="1" applyFill="1" applyBorder="1" applyAlignment="1">
      <alignment vertical="center"/>
    </xf>
    <xf numFmtId="3" fontId="60" fillId="0" borderId="2" xfId="0" applyNumberFormat="1" applyFont="1" applyBorder="1" applyAlignment="1">
      <alignment horizontal="center" vertical="center" wrapText="1"/>
    </xf>
    <xf numFmtId="3" fontId="24" fillId="0" borderId="1" xfId="8" applyNumberFormat="1" applyFont="1" applyFill="1" applyBorder="1" applyAlignment="1" applyProtection="1">
      <alignment horizontal="center" vertical="center" wrapText="1"/>
    </xf>
    <xf numFmtId="3" fontId="33" fillId="0" borderId="1" xfId="8" applyNumberFormat="1" applyFont="1" applyFill="1" applyBorder="1" applyAlignment="1" applyProtection="1">
      <alignment horizontal="right" vertical="center" wrapText="1"/>
    </xf>
    <xf numFmtId="3" fontId="60" fillId="0" borderId="2" xfId="0" applyNumberFormat="1" applyFont="1" applyBorder="1" applyAlignment="1">
      <alignment horizontal="right" vertical="center" wrapText="1"/>
    </xf>
    <xf numFmtId="3" fontId="24" fillId="0" borderId="1" xfId="8" applyNumberFormat="1" applyFont="1" applyFill="1" applyBorder="1" applyAlignment="1" applyProtection="1">
      <alignment horizontal="right" vertical="center" wrapText="1"/>
    </xf>
    <xf numFmtId="3" fontId="32" fillId="0" borderId="1" xfId="8" applyNumberFormat="1" applyFont="1" applyFill="1" applyBorder="1" applyAlignment="1" applyProtection="1">
      <alignment horizontal="right" vertical="center" wrapText="1"/>
    </xf>
    <xf numFmtId="0" fontId="70" fillId="0" borderId="1" xfId="0" applyFont="1" applyFill="1" applyBorder="1" applyAlignment="1">
      <alignment vertical="center"/>
    </xf>
    <xf numFmtId="3" fontId="70" fillId="0" borderId="1" xfId="0" applyNumberFormat="1" applyFont="1" applyFill="1" applyBorder="1"/>
    <xf numFmtId="0" fontId="72" fillId="9" borderId="1" xfId="0" applyFont="1" applyFill="1" applyBorder="1" applyAlignment="1">
      <alignment vertical="center"/>
    </xf>
    <xf numFmtId="3" fontId="70" fillId="9" borderId="1" xfId="0" applyNumberFormat="1" applyFont="1" applyFill="1" applyBorder="1" applyAlignment="1">
      <alignment vertical="center"/>
    </xf>
    <xf numFmtId="0" fontId="74" fillId="0" borderId="1" xfId="0" applyFont="1" applyFill="1" applyBorder="1" applyAlignment="1">
      <alignment vertical="center" wrapText="1"/>
    </xf>
    <xf numFmtId="0" fontId="60" fillId="9" borderId="1" xfId="0" applyFont="1" applyFill="1" applyBorder="1" applyAlignment="1">
      <alignment vertical="center"/>
    </xf>
    <xf numFmtId="3" fontId="77" fillId="0" borderId="0" xfId="0" applyNumberFormat="1" applyFont="1" applyFill="1"/>
    <xf numFmtId="0" fontId="74" fillId="0" borderId="0" xfId="0" applyFont="1" applyAlignment="1">
      <alignment horizontal="right"/>
    </xf>
    <xf numFmtId="0" fontId="70" fillId="0" borderId="74" xfId="0" applyFont="1" applyFill="1" applyBorder="1" applyAlignment="1">
      <alignment horizontal="right"/>
    </xf>
    <xf numFmtId="3" fontId="11" fillId="0" borderId="1" xfId="8" applyNumberFormat="1" applyFont="1" applyFill="1" applyBorder="1" applyAlignment="1" applyProtection="1">
      <alignment horizontal="right" vertical="center" wrapText="1"/>
    </xf>
    <xf numFmtId="169" fontId="106" fillId="0" borderId="1" xfId="10" applyNumberFormat="1" applyFont="1" applyFill="1" applyBorder="1" applyAlignment="1" applyProtection="1">
      <alignment horizontal="right" vertical="center" wrapText="1"/>
    </xf>
    <xf numFmtId="169" fontId="107" fillId="0" borderId="1" xfId="10" applyNumberFormat="1" applyFont="1" applyFill="1" applyBorder="1" applyAlignment="1" applyProtection="1">
      <alignment horizontal="right" vertical="center" wrapText="1"/>
      <protection locked="0"/>
    </xf>
    <xf numFmtId="169" fontId="108" fillId="0" borderId="1" xfId="10" applyNumberFormat="1" applyFont="1" applyFill="1" applyBorder="1" applyAlignment="1" applyProtection="1">
      <alignment horizontal="right" vertical="center" wrapText="1"/>
      <protection locked="0"/>
    </xf>
    <xf numFmtId="169" fontId="109" fillId="0" borderId="1" xfId="10" applyNumberFormat="1" applyFont="1" applyFill="1" applyBorder="1" applyAlignment="1" applyProtection="1">
      <alignment horizontal="right" vertical="center" wrapText="1"/>
    </xf>
    <xf numFmtId="169" fontId="106" fillId="0" borderId="12" xfId="10" applyNumberFormat="1" applyFont="1" applyFill="1" applyBorder="1" applyAlignment="1" applyProtection="1">
      <alignment horizontal="right" vertical="center" wrapText="1"/>
    </xf>
    <xf numFmtId="165" fontId="92" fillId="0" borderId="1" xfId="0" applyNumberFormat="1" applyFont="1" applyFill="1" applyBorder="1" applyAlignment="1" applyProtection="1">
      <alignment vertical="center" wrapText="1"/>
      <protection locked="0"/>
    </xf>
    <xf numFmtId="0" fontId="92" fillId="0" borderId="1" xfId="0" applyFont="1" applyBorder="1" applyProtection="1">
      <protection locked="0"/>
    </xf>
    <xf numFmtId="165" fontId="92" fillId="0" borderId="1" xfId="0" applyNumberFormat="1" applyFont="1" applyFill="1" applyBorder="1" applyAlignment="1" applyProtection="1">
      <alignment horizontal="right" vertical="center" wrapText="1"/>
      <protection locked="0"/>
    </xf>
    <xf numFmtId="165" fontId="23" fillId="0" borderId="3" xfId="0" quotePrefix="1" applyNumberFormat="1" applyFont="1" applyFill="1" applyBorder="1" applyAlignment="1" applyProtection="1">
      <alignment vertical="center" wrapText="1"/>
      <protection locked="0"/>
    </xf>
    <xf numFmtId="165" fontId="23" fillId="0" borderId="3" xfId="0" applyNumberFormat="1" applyFont="1" applyFill="1" applyBorder="1" applyAlignment="1" applyProtection="1">
      <alignment vertical="center" wrapText="1"/>
      <protection locked="0"/>
    </xf>
    <xf numFmtId="165" fontId="92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11" fillId="0" borderId="1" xfId="13" applyFont="1" applyBorder="1" applyAlignment="1">
      <alignment horizontal="left"/>
    </xf>
    <xf numFmtId="0" fontId="110" fillId="0" borderId="1" xfId="13" applyFont="1" applyBorder="1" applyAlignment="1">
      <alignment horizontal="left" wrapText="1"/>
    </xf>
    <xf numFmtId="0" fontId="111" fillId="0" borderId="1" xfId="13" applyFont="1" applyBorder="1"/>
    <xf numFmtId="0" fontId="110" fillId="0" borderId="1" xfId="13" applyFont="1" applyBorder="1"/>
    <xf numFmtId="165" fontId="35" fillId="0" borderId="9" xfId="0" applyNumberFormat="1" applyFont="1" applyFill="1" applyBorder="1" applyAlignment="1" applyProtection="1">
      <alignment vertical="center" wrapText="1"/>
    </xf>
    <xf numFmtId="3" fontId="110" fillId="0" borderId="1" xfId="13" applyNumberFormat="1" applyFont="1" applyBorder="1"/>
    <xf numFmtId="165" fontId="20" fillId="0" borderId="1" xfId="0" applyNumberFormat="1" applyFont="1" applyFill="1" applyBorder="1" applyAlignment="1" applyProtection="1">
      <alignment vertical="center" wrapText="1"/>
      <protection locked="0"/>
    </xf>
    <xf numFmtId="165" fontId="20" fillId="0" borderId="15" xfId="0" applyNumberFormat="1" applyFont="1" applyFill="1" applyBorder="1" applyAlignment="1" applyProtection="1">
      <alignment vertical="center" wrapText="1"/>
      <protection locked="0"/>
    </xf>
    <xf numFmtId="165" fontId="17" fillId="0" borderId="0" xfId="8" applyNumberFormat="1" applyFont="1" applyFill="1" applyAlignment="1" applyProtection="1">
      <alignment horizontal="right" vertical="center" indent="1"/>
    </xf>
    <xf numFmtId="165" fontId="17" fillId="0" borderId="0" xfId="8" applyNumberFormat="1" applyFill="1" applyProtection="1"/>
    <xf numFmtId="0" fontId="31" fillId="0" borderId="57" xfId="0" applyFont="1" applyBorder="1" applyAlignment="1" applyProtection="1">
      <alignment horizontal="left" vertical="center" wrapText="1" indent="1"/>
    </xf>
    <xf numFmtId="165" fontId="31" fillId="0" borderId="6" xfId="0" quotePrefix="1" applyNumberFormat="1" applyFont="1" applyBorder="1" applyAlignment="1" applyProtection="1">
      <alignment horizontal="right" vertical="center" wrapText="1" indent="1"/>
    </xf>
    <xf numFmtId="165" fontId="25" fillId="0" borderId="24" xfId="8" applyNumberFormat="1" applyFont="1" applyFill="1" applyBorder="1" applyAlignment="1" applyProtection="1">
      <alignment horizontal="right" vertical="center" wrapText="1" indent="1"/>
      <protection locked="0"/>
    </xf>
    <xf numFmtId="165" fontId="32" fillId="0" borderId="17" xfId="8" applyNumberFormat="1" applyFont="1" applyFill="1" applyBorder="1" applyAlignment="1" applyProtection="1">
      <alignment horizontal="right" vertical="center" wrapText="1" indent="1"/>
    </xf>
    <xf numFmtId="165" fontId="24" fillId="0" borderId="17" xfId="8" applyNumberFormat="1" applyFont="1" applyFill="1" applyBorder="1" applyAlignment="1" applyProtection="1">
      <alignment horizontal="right" vertical="center" wrapText="1" indent="1"/>
    </xf>
    <xf numFmtId="165" fontId="25" fillId="0" borderId="26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30" xfId="8" applyNumberFormat="1" applyFont="1" applyFill="1" applyBorder="1" applyAlignment="1" applyProtection="1">
      <alignment horizontal="right" vertical="center" wrapText="1" indent="1"/>
      <protection locked="0"/>
    </xf>
    <xf numFmtId="0" fontId="40" fillId="0" borderId="0" xfId="8" applyFont="1" applyFill="1" applyProtection="1"/>
    <xf numFmtId="165" fontId="24" fillId="0" borderId="17" xfId="8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24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30" xfId="8" applyNumberFormat="1" applyFont="1" applyFill="1" applyBorder="1" applyAlignment="1" applyProtection="1">
      <alignment horizontal="right" vertical="center" wrapText="1" indent="1"/>
    </xf>
    <xf numFmtId="165" fontId="14" fillId="0" borderId="17" xfId="8" applyNumberFormat="1" applyFont="1" applyFill="1" applyBorder="1" applyAlignment="1" applyProtection="1">
      <alignment horizontal="right" vertical="center" wrapText="1" indent="1"/>
    </xf>
    <xf numFmtId="165" fontId="23" fillId="0" borderId="30" xfId="8" applyNumberFormat="1" applyFont="1" applyFill="1" applyBorder="1" applyAlignment="1" applyProtection="1">
      <alignment horizontal="right" vertical="center" wrapText="1" indent="1"/>
      <protection locked="0"/>
    </xf>
    <xf numFmtId="165" fontId="34" fillId="0" borderId="17" xfId="8" applyNumberFormat="1" applyFont="1" applyFill="1" applyBorder="1" applyAlignment="1" applyProtection="1">
      <alignment horizontal="right" vertical="center" wrapText="1" indent="1"/>
    </xf>
    <xf numFmtId="165" fontId="14" fillId="0" borderId="17" xfId="8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0" xfId="20" applyAlignment="1">
      <alignment vertical="center"/>
    </xf>
    <xf numFmtId="3" fontId="92" fillId="0" borderId="0" xfId="20" applyNumberFormat="1" applyFont="1" applyBorder="1" applyAlignment="1">
      <alignment vertical="center"/>
    </xf>
    <xf numFmtId="3" fontId="92" fillId="0" borderId="0" xfId="20" applyNumberFormat="1" applyFont="1" applyBorder="1" applyAlignment="1">
      <alignment horizontal="right" vertical="center"/>
    </xf>
    <xf numFmtId="0" fontId="4" fillId="0" borderId="0" xfId="20"/>
    <xf numFmtId="3" fontId="53" fillId="0" borderId="17" xfId="20" applyNumberFormat="1" applyFont="1" applyBorder="1" applyAlignment="1">
      <alignment horizontal="center" vertical="center" wrapText="1" shrinkToFit="1"/>
    </xf>
    <xf numFmtId="0" fontId="58" fillId="0" borderId="17" xfId="20" applyFont="1" applyBorder="1" applyAlignment="1">
      <alignment horizontal="center" vertical="center"/>
    </xf>
    <xf numFmtId="3" fontId="58" fillId="0" borderId="17" xfId="20" applyNumberFormat="1" applyFont="1" applyFill="1" applyBorder="1" applyAlignment="1">
      <alignment horizontal="right" vertical="center" wrapText="1" indent="2"/>
    </xf>
    <xf numFmtId="3" fontId="118" fillId="0" borderId="30" xfId="20" applyNumberFormat="1" applyFont="1" applyFill="1" applyBorder="1" applyAlignment="1">
      <alignment horizontal="right" indent="2"/>
    </xf>
    <xf numFmtId="3" fontId="58" fillId="0" borderId="74" xfId="20" applyNumberFormat="1" applyFont="1" applyBorder="1" applyAlignment="1">
      <alignment horizontal="right" indent="2"/>
    </xf>
    <xf numFmtId="3" fontId="58" fillId="0" borderId="30" xfId="20" applyNumberFormat="1" applyFont="1" applyBorder="1" applyAlignment="1">
      <alignment horizontal="right" indent="2"/>
    </xf>
    <xf numFmtId="3" fontId="118" fillId="0" borderId="24" xfId="20" applyNumberFormat="1" applyFont="1" applyFill="1" applyBorder="1" applyAlignment="1">
      <alignment horizontal="right" indent="2"/>
    </xf>
    <xf numFmtId="3" fontId="58" fillId="0" borderId="76" xfId="20" applyNumberFormat="1" applyFont="1" applyBorder="1" applyAlignment="1">
      <alignment horizontal="right" indent="2"/>
    </xf>
    <xf numFmtId="3" fontId="58" fillId="0" borderId="24" xfId="20" applyNumberFormat="1" applyFont="1" applyBorder="1" applyAlignment="1">
      <alignment horizontal="right" indent="2"/>
    </xf>
    <xf numFmtId="3" fontId="92" fillId="0" borderId="76" xfId="20" applyNumberFormat="1" applyFont="1" applyBorder="1" applyAlignment="1">
      <alignment horizontal="right" indent="2"/>
    </xf>
    <xf numFmtId="3" fontId="92" fillId="0" borderId="24" xfId="20" applyNumberFormat="1" applyFont="1" applyBorder="1" applyAlignment="1">
      <alignment horizontal="right" indent="2"/>
    </xf>
    <xf numFmtId="3" fontId="118" fillId="0" borderId="24" xfId="20" applyNumberFormat="1" applyFont="1" applyFill="1" applyBorder="1" applyAlignment="1">
      <alignment horizontal="center"/>
    </xf>
    <xf numFmtId="3" fontId="53" fillId="0" borderId="17" xfId="20" applyNumberFormat="1" applyFont="1" applyFill="1" applyBorder="1" applyAlignment="1">
      <alignment horizontal="right" vertical="center" wrapText="1" indent="2"/>
    </xf>
    <xf numFmtId="0" fontId="4" fillId="0" borderId="0" xfId="20" applyAlignment="1">
      <alignment horizontal="right"/>
    </xf>
    <xf numFmtId="0" fontId="62" fillId="0" borderId="17" xfId="20" applyFont="1" applyBorder="1" applyAlignment="1">
      <alignment horizontal="center" vertical="center" wrapText="1"/>
    </xf>
    <xf numFmtId="0" fontId="119" fillId="0" borderId="17" xfId="20" applyFont="1" applyBorder="1" applyAlignment="1">
      <alignment horizontal="center" vertical="center" wrapText="1"/>
    </xf>
    <xf numFmtId="0" fontId="62" fillId="0" borderId="17" xfId="20" applyFont="1" applyFill="1" applyBorder="1" applyAlignment="1">
      <alignment horizontal="center" vertical="center" wrapText="1"/>
    </xf>
    <xf numFmtId="0" fontId="120" fillId="0" borderId="22" xfId="20" applyFont="1" applyBorder="1" applyAlignment="1">
      <alignment horizontal="center"/>
    </xf>
    <xf numFmtId="0" fontId="120" fillId="0" borderId="22" xfId="20" applyFont="1" applyBorder="1"/>
    <xf numFmtId="0" fontId="47" fillId="0" borderId="22" xfId="20" applyFont="1" applyFill="1" applyBorder="1" applyAlignment="1">
      <alignment horizontal="right" vertical="center" indent="7"/>
    </xf>
    <xf numFmtId="0" fontId="47" fillId="0" borderId="22" xfId="20" applyFont="1" applyFill="1" applyBorder="1" applyAlignment="1">
      <alignment horizontal="right" vertical="center" indent="2"/>
    </xf>
    <xf numFmtId="0" fontId="47" fillId="0" borderId="22" xfId="20" applyFont="1" applyBorder="1" applyAlignment="1">
      <alignment horizontal="right" vertical="center" wrapText="1" indent="2"/>
    </xf>
    <xf numFmtId="0" fontId="47" fillId="0" borderId="22" xfId="20" applyFont="1" applyFill="1" applyBorder="1" applyAlignment="1">
      <alignment horizontal="right" vertical="center" indent="3"/>
    </xf>
    <xf numFmtId="0" fontId="120" fillId="0" borderId="24" xfId="20" applyFont="1" applyBorder="1" applyAlignment="1">
      <alignment horizontal="center"/>
    </xf>
    <xf numFmtId="0" fontId="120" fillId="0" borderId="24" xfId="20" applyFont="1" applyBorder="1"/>
    <xf numFmtId="0" fontId="47" fillId="0" borderId="24" xfId="20" applyFont="1" applyFill="1" applyBorder="1" applyAlignment="1">
      <alignment horizontal="right" vertical="center" indent="7"/>
    </xf>
    <xf numFmtId="0" fontId="47" fillId="0" borderId="24" xfId="20" applyFont="1" applyFill="1" applyBorder="1" applyAlignment="1">
      <alignment horizontal="right" vertical="center" indent="2"/>
    </xf>
    <xf numFmtId="0" fontId="47" fillId="0" borderId="24" xfId="20" applyFont="1" applyBorder="1" applyAlignment="1">
      <alignment horizontal="right" vertical="center" wrapText="1" indent="2"/>
    </xf>
    <xf numFmtId="0" fontId="47" fillId="0" borderId="24" xfId="20" applyFont="1" applyFill="1" applyBorder="1" applyAlignment="1">
      <alignment horizontal="right" vertical="center" indent="3"/>
    </xf>
    <xf numFmtId="0" fontId="120" fillId="0" borderId="26" xfId="20" applyFont="1" applyBorder="1" applyAlignment="1">
      <alignment horizontal="center"/>
    </xf>
    <xf numFmtId="0" fontId="120" fillId="0" borderId="26" xfId="20" applyFont="1" applyBorder="1"/>
    <xf numFmtId="0" fontId="47" fillId="0" borderId="26" xfId="20" applyFont="1" applyFill="1" applyBorder="1" applyAlignment="1">
      <alignment horizontal="right" vertical="center" indent="7"/>
    </xf>
    <xf numFmtId="0" fontId="47" fillId="0" borderId="26" xfId="20" applyFont="1" applyFill="1" applyBorder="1" applyAlignment="1">
      <alignment horizontal="right" vertical="center" indent="2"/>
    </xf>
    <xf numFmtId="0" fontId="47" fillId="0" borderId="26" xfId="20" applyFont="1" applyBorder="1" applyAlignment="1">
      <alignment horizontal="right" vertical="center" wrapText="1" indent="2"/>
    </xf>
    <xf numFmtId="0" fontId="47" fillId="0" borderId="26" xfId="20" applyFont="1" applyFill="1" applyBorder="1" applyAlignment="1">
      <alignment horizontal="right" vertical="center" indent="3"/>
    </xf>
    <xf numFmtId="0" fontId="119" fillId="0" borderId="17" xfId="20" applyFont="1" applyBorder="1" applyAlignment="1">
      <alignment horizontal="center"/>
    </xf>
    <xf numFmtId="0" fontId="119" fillId="0" borderId="17" xfId="20" applyFont="1" applyBorder="1"/>
    <xf numFmtId="0" fontId="51" fillId="0" borderId="17" xfId="20" applyFont="1" applyFill="1" applyBorder="1" applyAlignment="1">
      <alignment horizontal="right" vertical="center" indent="7"/>
    </xf>
    <xf numFmtId="0" fontId="51" fillId="0" borderId="17" xfId="20" applyFont="1" applyFill="1" applyBorder="1" applyAlignment="1">
      <alignment horizontal="right" vertical="center" indent="2"/>
    </xf>
    <xf numFmtId="0" fontId="51" fillId="0" borderId="17" xfId="20" applyFont="1" applyFill="1" applyBorder="1" applyAlignment="1">
      <alignment horizontal="right" vertical="center" indent="3"/>
    </xf>
    <xf numFmtId="0" fontId="120" fillId="0" borderId="30" xfId="20" applyFont="1" applyBorder="1" applyAlignment="1">
      <alignment horizontal="center"/>
    </xf>
    <xf numFmtId="0" fontId="120" fillId="0" borderId="30" xfId="20" applyFont="1" applyBorder="1"/>
    <xf numFmtId="0" fontId="47" fillId="0" borderId="30" xfId="20" applyFont="1" applyFill="1" applyBorder="1" applyAlignment="1">
      <alignment horizontal="right" vertical="center" indent="7"/>
    </xf>
    <xf numFmtId="0" fontId="47" fillId="0" borderId="30" xfId="20" applyFont="1" applyFill="1" applyBorder="1" applyAlignment="1">
      <alignment horizontal="right" vertical="center" indent="2"/>
    </xf>
    <xf numFmtId="0" fontId="47" fillId="0" borderId="30" xfId="20" applyFont="1" applyBorder="1" applyAlignment="1">
      <alignment horizontal="right" vertical="center" wrapText="1" indent="2"/>
    </xf>
    <xf numFmtId="0" fontId="47" fillId="0" borderId="30" xfId="20" applyFont="1" applyFill="1" applyBorder="1" applyAlignment="1">
      <alignment horizontal="right" vertical="center" indent="3"/>
    </xf>
    <xf numFmtId="0" fontId="47" fillId="0" borderId="30" xfId="20" applyFont="1" applyFill="1" applyBorder="1" applyAlignment="1">
      <alignment horizontal="right" indent="7"/>
    </xf>
    <xf numFmtId="0" fontId="47" fillId="0" borderId="30" xfId="20" applyFont="1" applyFill="1" applyBorder="1" applyAlignment="1">
      <alignment horizontal="right" indent="2"/>
    </xf>
    <xf numFmtId="0" fontId="47" fillId="0" borderId="24" xfId="20" applyFont="1" applyFill="1" applyBorder="1" applyAlignment="1">
      <alignment horizontal="right" indent="7"/>
    </xf>
    <xf numFmtId="0" fontId="47" fillId="0" borderId="24" xfId="20" applyFont="1" applyFill="1" applyBorder="1" applyAlignment="1">
      <alignment horizontal="right" indent="2"/>
    </xf>
    <xf numFmtId="0" fontId="47" fillId="0" borderId="26" xfId="20" applyFont="1" applyFill="1" applyBorder="1" applyAlignment="1">
      <alignment horizontal="right" indent="7"/>
    </xf>
    <xf numFmtId="0" fontId="47" fillId="0" borderId="26" xfId="20" applyFont="1" applyFill="1" applyBorder="1" applyAlignment="1">
      <alignment horizontal="right" indent="2"/>
    </xf>
    <xf numFmtId="0" fontId="51" fillId="0" borderId="17" xfId="20" applyFont="1" applyFill="1" applyBorder="1" applyAlignment="1">
      <alignment horizontal="right" indent="7"/>
    </xf>
    <xf numFmtId="0" fontId="51" fillId="0" borderId="17" xfId="20" applyFont="1" applyFill="1" applyBorder="1" applyAlignment="1">
      <alignment horizontal="right" indent="2"/>
    </xf>
    <xf numFmtId="0" fontId="47" fillId="0" borderId="30" xfId="20" applyFont="1" applyBorder="1" applyAlignment="1">
      <alignment horizontal="right" indent="2"/>
    </xf>
    <xf numFmtId="0" fontId="47" fillId="0" borderId="26" xfId="20" applyFont="1" applyBorder="1" applyAlignment="1">
      <alignment horizontal="right" indent="2"/>
    </xf>
    <xf numFmtId="0" fontId="120" fillId="0" borderId="30" xfId="20" applyFont="1" applyBorder="1" applyAlignment="1">
      <alignment horizontal="left" vertical="center"/>
    </xf>
    <xf numFmtId="0" fontId="47" fillId="0" borderId="30" xfId="20" applyFont="1" applyBorder="1" applyAlignment="1">
      <alignment horizontal="right" wrapText="1" indent="2"/>
    </xf>
    <xf numFmtId="0" fontId="47" fillId="0" borderId="26" xfId="20" applyFont="1" applyBorder="1" applyAlignment="1">
      <alignment horizontal="right" indent="7"/>
    </xf>
    <xf numFmtId="0" fontId="51" fillId="0" borderId="17" xfId="20" applyFont="1" applyBorder="1" applyAlignment="1">
      <alignment horizontal="right" indent="7"/>
    </xf>
    <xf numFmtId="0" fontId="51" fillId="0" borderId="17" xfId="20" applyFont="1" applyBorder="1" applyAlignment="1">
      <alignment horizontal="right" indent="2"/>
    </xf>
    <xf numFmtId="0" fontId="62" fillId="0" borderId="19" xfId="20" applyFont="1" applyBorder="1"/>
    <xf numFmtId="0" fontId="62" fillId="0" borderId="19" xfId="20" applyFont="1" applyBorder="1" applyAlignment="1">
      <alignment horizontal="right" indent="3"/>
    </xf>
    <xf numFmtId="0" fontId="121" fillId="0" borderId="22" xfId="20" applyFont="1" applyBorder="1" applyAlignment="1">
      <alignment horizontal="center"/>
    </xf>
    <xf numFmtId="0" fontId="121" fillId="0" borderId="22" xfId="20" applyFont="1" applyBorder="1"/>
    <xf numFmtId="0" fontId="122" fillId="0" borderId="26" xfId="20" applyFont="1" applyBorder="1" applyAlignment="1">
      <alignment horizontal="right" indent="7"/>
    </xf>
    <xf numFmtId="0" fontId="122" fillId="0" borderId="26" xfId="20" applyFont="1" applyBorder="1" applyAlignment="1">
      <alignment horizontal="right" indent="2"/>
    </xf>
    <xf numFmtId="0" fontId="121" fillId="0" borderId="24" xfId="20" applyFont="1" applyBorder="1" applyAlignment="1">
      <alignment horizontal="center"/>
    </xf>
    <xf numFmtId="0" fontId="121" fillId="0" borderId="24" xfId="20" applyFont="1" applyBorder="1"/>
    <xf numFmtId="0" fontId="121" fillId="0" borderId="31" xfId="20" applyFont="1" applyBorder="1" applyAlignment="1">
      <alignment horizontal="center"/>
    </xf>
    <xf numFmtId="0" fontId="121" fillId="0" borderId="31" xfId="20" applyFont="1" applyBorder="1"/>
    <xf numFmtId="0" fontId="122" fillId="0" borderId="31" xfId="20" applyFont="1" applyBorder="1" applyAlignment="1">
      <alignment horizontal="right" indent="7"/>
    </xf>
    <xf numFmtId="0" fontId="122" fillId="0" borderId="31" xfId="20" applyFont="1" applyBorder="1" applyAlignment="1">
      <alignment horizontal="right" indent="2"/>
    </xf>
    <xf numFmtId="0" fontId="47" fillId="0" borderId="0" xfId="20" applyFont="1"/>
    <xf numFmtId="0" fontId="120" fillId="0" borderId="0" xfId="20" applyFont="1"/>
    <xf numFmtId="0" fontId="51" fillId="0" borderId="17" xfId="20" applyFont="1" applyBorder="1" applyAlignment="1">
      <alignment horizontal="center" vertical="center"/>
    </xf>
    <xf numFmtId="0" fontId="51" fillId="0" borderId="17" xfId="20" applyFont="1" applyBorder="1" applyAlignment="1">
      <alignment horizontal="center" vertical="center" wrapText="1"/>
    </xf>
    <xf numFmtId="0" fontId="120" fillId="0" borderId="0" xfId="20" applyFont="1" applyFill="1"/>
    <xf numFmtId="0" fontId="119" fillId="0" borderId="0" xfId="20" applyFont="1"/>
    <xf numFmtId="3" fontId="119" fillId="0" borderId="0" xfId="20" applyNumberFormat="1" applyFont="1"/>
    <xf numFmtId="165" fontId="20" fillId="0" borderId="0" xfId="8" applyNumberFormat="1" applyFont="1" applyFill="1" applyProtection="1"/>
    <xf numFmtId="3" fontId="118" fillId="0" borderId="63" xfId="20" applyNumberFormat="1" applyFont="1" applyFill="1" applyBorder="1" applyAlignment="1">
      <alignment horizontal="right" indent="2"/>
    </xf>
    <xf numFmtId="3" fontId="92" fillId="0" borderId="0" xfId="20" applyNumberFormat="1" applyFont="1" applyBorder="1" applyAlignment="1">
      <alignment horizontal="right" indent="2"/>
    </xf>
    <xf numFmtId="3" fontId="92" fillId="0" borderId="63" xfId="20" applyNumberFormat="1" applyFont="1" applyBorder="1" applyAlignment="1">
      <alignment horizontal="right" indent="2"/>
    </xf>
    <xf numFmtId="3" fontId="118" fillId="0" borderId="63" xfId="20" applyNumberFormat="1" applyFont="1" applyFill="1" applyBorder="1" applyAlignment="1">
      <alignment horizontal="center"/>
    </xf>
    <xf numFmtId="0" fontId="92" fillId="0" borderId="22" xfId="20" applyFont="1" applyBorder="1" applyAlignment="1">
      <alignment horizontal="center" vertical="center"/>
    </xf>
    <xf numFmtId="0" fontId="92" fillId="0" borderId="24" xfId="20" applyFont="1" applyBorder="1" applyAlignment="1">
      <alignment horizontal="center" vertical="center"/>
    </xf>
    <xf numFmtId="0" fontId="92" fillId="0" borderId="31" xfId="20" applyFont="1" applyBorder="1" applyAlignment="1">
      <alignment horizontal="center" vertical="center"/>
    </xf>
    <xf numFmtId="3" fontId="118" fillId="0" borderId="22" xfId="20" applyNumberFormat="1" applyFont="1" applyFill="1" applyBorder="1" applyAlignment="1">
      <alignment horizontal="right" indent="2"/>
    </xf>
    <xf numFmtId="0" fontId="29" fillId="0" borderId="27" xfId="0" applyFont="1" applyBorder="1" applyAlignment="1" applyProtection="1">
      <alignment horizontal="left" vertical="center" wrapText="1" indent="1"/>
    </xf>
    <xf numFmtId="165" fontId="34" fillId="0" borderId="72" xfId="8" applyNumberFormat="1" applyFont="1" applyFill="1" applyBorder="1" applyAlignment="1" applyProtection="1">
      <alignment horizontal="right" vertical="center" wrapText="1" indent="1"/>
    </xf>
    <xf numFmtId="0" fontId="29" fillId="0" borderId="17" xfId="0" applyFont="1" applyBorder="1" applyAlignment="1" applyProtection="1">
      <alignment horizontal="left" vertical="center" wrapText="1" indent="1"/>
    </xf>
    <xf numFmtId="0" fontId="34" fillId="0" borderId="17" xfId="8" applyFont="1" applyFill="1" applyBorder="1" applyProtection="1"/>
    <xf numFmtId="0" fontId="17" fillId="0" borderId="17" xfId="8" applyFont="1" applyFill="1" applyBorder="1" applyProtection="1"/>
    <xf numFmtId="0" fontId="30" fillId="0" borderId="1" xfId="0" applyFont="1" applyBorder="1" applyAlignment="1" applyProtection="1">
      <alignment horizontal="center" wrapText="1"/>
    </xf>
    <xf numFmtId="0" fontId="53" fillId="0" borderId="17" xfId="20" applyFont="1" applyBorder="1" applyAlignment="1">
      <alignment horizontal="center" vertical="center" wrapText="1"/>
    </xf>
    <xf numFmtId="0" fontId="118" fillId="0" borderId="37" xfId="20" applyFont="1" applyFill="1" applyBorder="1"/>
    <xf numFmtId="49" fontId="58" fillId="0" borderId="35" xfId="20" applyNumberFormat="1" applyFont="1" applyBorder="1" applyAlignment="1">
      <alignment horizontal="left" vertical="center" wrapText="1"/>
    </xf>
    <xf numFmtId="0" fontId="92" fillId="0" borderId="30" xfId="20" applyFont="1" applyBorder="1" applyAlignment="1">
      <alignment horizontal="center" vertical="center"/>
    </xf>
    <xf numFmtId="0" fontId="118" fillId="0" borderId="59" xfId="20" applyFont="1" applyFill="1" applyBorder="1"/>
    <xf numFmtId="3" fontId="118" fillId="0" borderId="31" xfId="20" applyNumberFormat="1" applyFont="1" applyFill="1" applyBorder="1" applyAlignment="1">
      <alignment horizontal="right" indent="2"/>
    </xf>
    <xf numFmtId="3" fontId="92" fillId="0" borderId="71" xfId="20" applyNumberFormat="1" applyFont="1" applyBorder="1" applyAlignment="1">
      <alignment horizontal="right" indent="2"/>
    </xf>
    <xf numFmtId="3" fontId="92" fillId="0" borderId="31" xfId="20" applyNumberFormat="1" applyFont="1" applyBorder="1" applyAlignment="1">
      <alignment horizontal="right" indent="2"/>
    </xf>
    <xf numFmtId="49" fontId="53" fillId="0" borderId="35" xfId="20" applyNumberFormat="1" applyFont="1" applyBorder="1" applyAlignment="1">
      <alignment horizontal="left" vertical="center" wrapText="1"/>
    </xf>
    <xf numFmtId="0" fontId="24" fillId="0" borderId="45" xfId="8" applyFont="1" applyFill="1" applyBorder="1" applyAlignment="1" applyProtection="1">
      <alignment horizontal="center" vertical="center" wrapText="1"/>
    </xf>
    <xf numFmtId="165" fontId="24" fillId="0" borderId="45" xfId="8" applyNumberFormat="1" applyFont="1" applyFill="1" applyBorder="1" applyAlignment="1" applyProtection="1">
      <alignment horizontal="right" vertical="center" wrapText="1" indent="1"/>
    </xf>
    <xf numFmtId="165" fontId="25" fillId="0" borderId="75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15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16" xfId="8" applyNumberFormat="1" applyFont="1" applyFill="1" applyBorder="1" applyAlignment="1" applyProtection="1">
      <alignment horizontal="right" vertical="center" wrapText="1" indent="1"/>
      <protection locked="0"/>
    </xf>
    <xf numFmtId="165" fontId="32" fillId="0" borderId="45" xfId="8" applyNumberFormat="1" applyFont="1" applyFill="1" applyBorder="1" applyAlignment="1" applyProtection="1">
      <alignment horizontal="right" vertical="center" wrapText="1" indent="1"/>
    </xf>
    <xf numFmtId="165" fontId="25" fillId="0" borderId="75" xfId="8" applyNumberFormat="1" applyFont="1" applyFill="1" applyBorder="1" applyAlignment="1" applyProtection="1">
      <alignment horizontal="right" vertical="center" wrapText="1" indent="1"/>
    </xf>
    <xf numFmtId="165" fontId="33" fillId="0" borderId="15" xfId="8" applyNumberFormat="1" applyFont="1" applyFill="1" applyBorder="1" applyAlignment="1" applyProtection="1">
      <alignment horizontal="right" vertical="center" wrapText="1" indent="1"/>
      <protection locked="0"/>
    </xf>
    <xf numFmtId="165" fontId="31" fillId="0" borderId="45" xfId="0" applyNumberFormat="1" applyFont="1" applyBorder="1" applyAlignment="1" applyProtection="1">
      <alignment horizontal="right" vertical="center" wrapText="1" indent="1"/>
    </xf>
    <xf numFmtId="165" fontId="29" fillId="0" borderId="45" xfId="0" quotePrefix="1" applyNumberFormat="1" applyFont="1" applyBorder="1" applyAlignment="1" applyProtection="1">
      <alignment horizontal="right" vertical="center" wrapText="1" indent="1"/>
    </xf>
    <xf numFmtId="0" fontId="30" fillId="0" borderId="26" xfId="0" applyFont="1" applyBorder="1" applyAlignment="1" applyProtection="1">
      <alignment horizontal="left" vertical="center" wrapText="1" indent="1"/>
    </xf>
    <xf numFmtId="165" fontId="8" fillId="0" borderId="0" xfId="8" applyNumberFormat="1" applyFont="1" applyFill="1" applyProtection="1"/>
    <xf numFmtId="0" fontId="32" fillId="0" borderId="45" xfId="8" applyFont="1" applyFill="1" applyBorder="1" applyAlignment="1" applyProtection="1">
      <alignment horizontal="left" vertical="center" wrapText="1" indent="1"/>
    </xf>
    <xf numFmtId="165" fontId="34" fillId="0" borderId="27" xfId="8" applyNumberFormat="1" applyFont="1" applyFill="1" applyBorder="1" applyAlignment="1" applyProtection="1">
      <alignment horizontal="right" vertical="center" indent="1"/>
    </xf>
    <xf numFmtId="165" fontId="25" fillId="0" borderId="44" xfId="8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27" xfId="8" applyNumberFormat="1" applyFont="1" applyFill="1" applyBorder="1" applyAlignment="1" applyProtection="1">
      <alignment horizontal="right" vertical="center" wrapText="1" indent="1"/>
    </xf>
    <xf numFmtId="165" fontId="24" fillId="0" borderId="72" xfId="8" applyNumberFormat="1" applyFont="1" applyFill="1" applyBorder="1" applyAlignment="1" applyProtection="1">
      <alignment horizontal="right" vertical="center" wrapText="1" indent="1"/>
    </xf>
    <xf numFmtId="165" fontId="25" fillId="0" borderId="74" xfId="8" applyNumberFormat="1" applyFont="1" applyFill="1" applyBorder="1" applyAlignment="1" applyProtection="1">
      <alignment horizontal="right" vertical="center" wrapText="1" indent="1"/>
      <protection locked="0"/>
    </xf>
    <xf numFmtId="165" fontId="32" fillId="0" borderId="72" xfId="8" applyNumberFormat="1" applyFont="1" applyFill="1" applyBorder="1" applyAlignment="1" applyProtection="1">
      <alignment horizontal="right" vertical="center" wrapText="1" indent="1"/>
    </xf>
    <xf numFmtId="165" fontId="33" fillId="0" borderId="76" xfId="8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72" xfId="8" applyNumberFormat="1" applyFont="1" applyFill="1" applyBorder="1" applyAlignment="1" applyProtection="1">
      <alignment horizontal="right" vertical="center" wrapText="1" indent="1"/>
      <protection locked="0"/>
    </xf>
    <xf numFmtId="165" fontId="23" fillId="0" borderId="63" xfId="8" applyNumberFormat="1" applyFont="1" applyFill="1" applyBorder="1" applyAlignment="1" applyProtection="1">
      <alignment horizontal="right" vertical="center" wrapText="1" indent="1"/>
      <protection locked="0"/>
    </xf>
    <xf numFmtId="165" fontId="23" fillId="0" borderId="17" xfId="8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21" xfId="8" applyNumberFormat="1" applyFont="1" applyFill="1" applyBorder="1" applyAlignment="1" applyProtection="1">
      <alignment horizontal="right" vertical="center" wrapText="1" indent="1"/>
      <protection locked="0"/>
    </xf>
    <xf numFmtId="165" fontId="14" fillId="0" borderId="19" xfId="8" applyNumberFormat="1" applyFont="1" applyFill="1" applyBorder="1" applyAlignment="1" applyProtection="1">
      <alignment horizontal="right" vertical="center" wrapText="1" indent="1"/>
      <protection locked="0"/>
    </xf>
    <xf numFmtId="167" fontId="4" fillId="0" borderId="0" xfId="20" applyNumberFormat="1"/>
    <xf numFmtId="0" fontId="53" fillId="0" borderId="17" xfId="20" applyFont="1" applyBorder="1" applyAlignment="1">
      <alignment horizontal="center" vertical="center" wrapText="1"/>
    </xf>
    <xf numFmtId="0" fontId="53" fillId="0" borderId="17" xfId="20" applyFont="1" applyBorder="1" applyAlignment="1">
      <alignment horizontal="center" vertical="center"/>
    </xf>
    <xf numFmtId="3" fontId="118" fillId="0" borderId="30" xfId="20" applyNumberFormat="1" applyFont="1" applyFill="1" applyBorder="1" applyAlignment="1">
      <alignment horizontal="center"/>
    </xf>
    <xf numFmtId="0" fontId="58" fillId="0" borderId="21" xfId="20" applyFont="1" applyBorder="1" applyAlignment="1">
      <alignment horizontal="center" vertical="center"/>
    </xf>
    <xf numFmtId="3" fontId="58" fillId="0" borderId="35" xfId="20" applyNumberFormat="1" applyFont="1" applyFill="1" applyBorder="1" applyAlignment="1">
      <alignment horizontal="right" vertical="center" wrapText="1" indent="2"/>
    </xf>
    <xf numFmtId="3" fontId="58" fillId="0" borderId="17" xfId="20" applyNumberFormat="1" applyFont="1" applyFill="1" applyBorder="1" applyAlignment="1">
      <alignment horizontal="right" vertical="center" wrapText="1" indent="1"/>
    </xf>
    <xf numFmtId="3" fontId="4" fillId="0" borderId="0" xfId="20" applyNumberFormat="1"/>
    <xf numFmtId="3" fontId="58" fillId="0" borderId="30" xfId="20" applyNumberFormat="1" applyFont="1" applyFill="1" applyBorder="1" applyAlignment="1">
      <alignment horizontal="right" indent="2"/>
    </xf>
    <xf numFmtId="3" fontId="58" fillId="0" borderId="74" xfId="20" applyNumberFormat="1" applyFont="1" applyFill="1" applyBorder="1" applyAlignment="1">
      <alignment horizontal="right" indent="2"/>
    </xf>
    <xf numFmtId="3" fontId="92" fillId="0" borderId="22" xfId="20" applyNumberFormat="1" applyFont="1" applyFill="1" applyBorder="1" applyAlignment="1">
      <alignment horizontal="right" indent="1"/>
    </xf>
    <xf numFmtId="3" fontId="92" fillId="0" borderId="74" xfId="20" applyNumberFormat="1" applyFont="1" applyFill="1" applyBorder="1" applyAlignment="1">
      <alignment horizontal="right" indent="1"/>
    </xf>
    <xf numFmtId="3" fontId="118" fillId="0" borderId="59" xfId="20" applyNumberFormat="1" applyFont="1" applyFill="1" applyBorder="1" applyAlignment="1">
      <alignment horizontal="center"/>
    </xf>
    <xf numFmtId="3" fontId="58" fillId="0" borderId="24" xfId="20" applyNumberFormat="1" applyFont="1" applyFill="1" applyBorder="1" applyAlignment="1">
      <alignment horizontal="right" indent="2"/>
    </xf>
    <xf numFmtId="3" fontId="58" fillId="0" borderId="76" xfId="20" applyNumberFormat="1" applyFont="1" applyFill="1" applyBorder="1" applyAlignment="1">
      <alignment horizontal="right" indent="2"/>
    </xf>
    <xf numFmtId="3" fontId="92" fillId="0" borderId="24" xfId="20" applyNumberFormat="1" applyFont="1" applyFill="1" applyBorder="1" applyAlignment="1">
      <alignment horizontal="right" indent="1"/>
    </xf>
    <xf numFmtId="3" fontId="92" fillId="0" borderId="76" xfId="20" applyNumberFormat="1" applyFont="1" applyFill="1" applyBorder="1" applyAlignment="1">
      <alignment horizontal="right" indent="1"/>
    </xf>
    <xf numFmtId="3" fontId="118" fillId="0" borderId="67" xfId="20" applyNumberFormat="1" applyFont="1" applyFill="1" applyBorder="1" applyAlignment="1">
      <alignment horizontal="center"/>
    </xf>
    <xf numFmtId="3" fontId="118" fillId="0" borderId="24" xfId="20" applyNumberFormat="1" applyFont="1" applyFill="1" applyBorder="1" applyAlignment="1">
      <alignment horizontal="right" indent="1"/>
    </xf>
    <xf numFmtId="3" fontId="58" fillId="0" borderId="26" xfId="20" applyNumberFormat="1" applyFont="1" applyFill="1" applyBorder="1" applyAlignment="1">
      <alignment horizontal="right" indent="2"/>
    </xf>
    <xf numFmtId="3" fontId="58" fillId="0" borderId="77" xfId="20" applyNumberFormat="1" applyFont="1" applyFill="1" applyBorder="1" applyAlignment="1">
      <alignment horizontal="right" indent="2"/>
    </xf>
    <xf numFmtId="3" fontId="92" fillId="0" borderId="26" xfId="20" applyNumberFormat="1" applyFont="1" applyFill="1" applyBorder="1" applyAlignment="1">
      <alignment horizontal="right" indent="1"/>
    </xf>
    <xf numFmtId="3" fontId="92" fillId="0" borderId="77" xfId="20" applyNumberFormat="1" applyFont="1" applyFill="1" applyBorder="1" applyAlignment="1">
      <alignment horizontal="right" indent="1"/>
    </xf>
    <xf numFmtId="3" fontId="118" fillId="0" borderId="60" xfId="20" applyNumberFormat="1" applyFont="1" applyFill="1" applyBorder="1" applyAlignment="1">
      <alignment horizontal="center"/>
    </xf>
    <xf numFmtId="3" fontId="58" fillId="0" borderId="72" xfId="20" applyNumberFormat="1" applyFont="1" applyFill="1" applyBorder="1" applyAlignment="1">
      <alignment horizontal="right" vertical="center" wrapText="1" indent="2"/>
    </xf>
    <xf numFmtId="3" fontId="58" fillId="0" borderId="72" xfId="20" applyNumberFormat="1" applyFont="1" applyFill="1" applyBorder="1" applyAlignment="1">
      <alignment horizontal="right" vertical="center" wrapText="1" indent="1"/>
    </xf>
    <xf numFmtId="3" fontId="92" fillId="0" borderId="74" xfId="20" applyNumberFormat="1" applyFont="1" applyBorder="1" applyAlignment="1">
      <alignment horizontal="right" indent="1"/>
    </xf>
    <xf numFmtId="3" fontId="92" fillId="0" borderId="30" xfId="20" applyNumberFormat="1" applyFont="1" applyBorder="1" applyAlignment="1">
      <alignment horizontal="right" indent="1"/>
    </xf>
    <xf numFmtId="3" fontId="118" fillId="0" borderId="30" xfId="20" applyNumberFormat="1" applyFont="1" applyFill="1" applyBorder="1" applyAlignment="1">
      <alignment horizontal="right" indent="1"/>
    </xf>
    <xf numFmtId="3" fontId="92" fillId="0" borderId="24" xfId="20" applyNumberFormat="1" applyFont="1" applyBorder="1" applyAlignment="1">
      <alignment horizontal="right" indent="1"/>
    </xf>
    <xf numFmtId="3" fontId="53" fillId="0" borderId="17" xfId="20" applyNumberFormat="1" applyFont="1" applyFill="1" applyBorder="1" applyAlignment="1">
      <alignment horizontal="right" vertical="center" wrapText="1" indent="1"/>
    </xf>
    <xf numFmtId="0" fontId="3" fillId="0" borderId="0" xfId="20" applyFont="1"/>
    <xf numFmtId="0" fontId="70" fillId="0" borderId="0" xfId="16" applyAlignment="1">
      <alignment vertical="center"/>
    </xf>
    <xf numFmtId="0" fontId="70" fillId="0" borderId="0" xfId="16" applyFill="1" applyAlignment="1">
      <alignment vertical="center"/>
    </xf>
    <xf numFmtId="0" fontId="127" fillId="0" borderId="0" xfId="16" applyFont="1" applyAlignment="1">
      <alignment vertical="center"/>
    </xf>
    <xf numFmtId="0" fontId="128" fillId="0" borderId="0" xfId="16" applyFont="1" applyAlignment="1">
      <alignment vertical="center"/>
    </xf>
    <xf numFmtId="0" fontId="70" fillId="0" borderId="0" xfId="16" applyAlignment="1">
      <alignment horizontal="center" vertical="center"/>
    </xf>
    <xf numFmtId="0" fontId="14" fillId="0" borderId="43" xfId="8" applyFont="1" applyFill="1" applyBorder="1" applyAlignment="1" applyProtection="1">
      <alignment horizontal="center" vertical="center" wrapText="1"/>
    </xf>
    <xf numFmtId="165" fontId="34" fillId="0" borderId="33" xfId="8" applyNumberFormat="1" applyFont="1" applyFill="1" applyBorder="1" applyAlignment="1" applyProtection="1">
      <alignment horizontal="center" vertical="center"/>
    </xf>
    <xf numFmtId="165" fontId="34" fillId="0" borderId="53" xfId="8" applyNumberFormat="1" applyFont="1" applyFill="1" applyBorder="1" applyAlignment="1" applyProtection="1">
      <alignment horizontal="center" vertical="center"/>
    </xf>
    <xf numFmtId="0" fontId="33" fillId="0" borderId="0" xfId="8" applyFont="1" applyFill="1" applyProtection="1"/>
    <xf numFmtId="0" fontId="129" fillId="0" borderId="0" xfId="8" applyFont="1" applyFill="1" applyProtection="1"/>
    <xf numFmtId="165" fontId="129" fillId="0" borderId="0" xfId="8" applyNumberFormat="1" applyFont="1" applyFill="1" applyBorder="1" applyAlignment="1" applyProtection="1">
      <alignment vertical="center"/>
    </xf>
    <xf numFmtId="0" fontId="26" fillId="0" borderId="0" xfId="22" applyFont="1" applyFill="1" applyBorder="1" applyAlignment="1" applyProtection="1">
      <alignment horizontal="right" vertical="center"/>
    </xf>
    <xf numFmtId="49" fontId="32" fillId="0" borderId="17" xfId="8" applyNumberFormat="1" applyFont="1" applyFill="1" applyBorder="1" applyAlignment="1" applyProtection="1">
      <alignment horizontal="center" vertical="center" wrapText="1"/>
    </xf>
    <xf numFmtId="49" fontId="32" fillId="13" borderId="17" xfId="8" applyNumberFormat="1" applyFont="1" applyFill="1" applyBorder="1" applyAlignment="1" applyProtection="1">
      <alignment horizontal="center" vertical="center" wrapText="1"/>
    </xf>
    <xf numFmtId="49" fontId="32" fillId="0" borderId="0" xfId="8" applyNumberFormat="1" applyFont="1" applyFill="1" applyProtection="1"/>
    <xf numFmtId="0" fontId="32" fillId="0" borderId="17" xfId="8" applyFont="1" applyFill="1" applyBorder="1" applyAlignment="1" applyProtection="1">
      <alignment horizontal="center" vertical="center" wrapText="1"/>
    </xf>
    <xf numFmtId="3" fontId="32" fillId="0" borderId="17" xfId="8" applyNumberFormat="1" applyFont="1" applyFill="1" applyBorder="1" applyAlignment="1" applyProtection="1">
      <alignment horizontal="center" vertical="center"/>
    </xf>
    <xf numFmtId="0" fontId="32" fillId="0" borderId="0" xfId="8" applyFont="1" applyFill="1" applyAlignment="1" applyProtection="1">
      <alignment horizontal="center" vertical="center"/>
    </xf>
    <xf numFmtId="0" fontId="24" fillId="0" borderId="17" xfId="8" applyFont="1" applyFill="1" applyBorder="1" applyAlignment="1" applyProtection="1">
      <alignment horizontal="left" vertical="center" wrapText="1" indent="1"/>
    </xf>
    <xf numFmtId="165" fontId="32" fillId="0" borderId="17" xfId="8" applyNumberFormat="1" applyFont="1" applyFill="1" applyBorder="1" applyAlignment="1" applyProtection="1">
      <alignment horizontal="right" vertical="center" wrapText="1" indent="1"/>
      <protection locked="0"/>
    </xf>
    <xf numFmtId="49" fontId="25" fillId="0" borderId="30" xfId="8" applyNumberFormat="1" applyFont="1" applyFill="1" applyBorder="1" applyAlignment="1" applyProtection="1">
      <alignment horizontal="left" vertical="center" wrapText="1" indent="1"/>
    </xf>
    <xf numFmtId="0" fontId="30" fillId="0" borderId="30" xfId="22" applyFont="1" applyFill="1" applyBorder="1" applyAlignment="1" applyProtection="1">
      <alignment horizontal="left" wrapText="1" indent="1"/>
    </xf>
    <xf numFmtId="3" fontId="25" fillId="0" borderId="30" xfId="8" applyNumberFormat="1" applyFont="1" applyFill="1" applyBorder="1" applyProtection="1"/>
    <xf numFmtId="49" fontId="25" fillId="0" borderId="24" xfId="8" applyNumberFormat="1" applyFont="1" applyFill="1" applyBorder="1" applyAlignment="1" applyProtection="1">
      <alignment horizontal="left" vertical="center" wrapText="1" indent="1"/>
    </xf>
    <xf numFmtId="0" fontId="30" fillId="0" borderId="24" xfId="22" applyFont="1" applyFill="1" applyBorder="1" applyAlignment="1" applyProtection="1">
      <alignment horizontal="left" wrapText="1" indent="1"/>
    </xf>
    <xf numFmtId="3" fontId="25" fillId="0" borderId="24" xfId="8" applyNumberFormat="1" applyFont="1" applyFill="1" applyBorder="1" applyProtection="1"/>
    <xf numFmtId="49" fontId="25" fillId="0" borderId="26" xfId="8" applyNumberFormat="1" applyFont="1" applyFill="1" applyBorder="1" applyAlignment="1" applyProtection="1">
      <alignment horizontal="left" vertical="center" wrapText="1" indent="1"/>
    </xf>
    <xf numFmtId="0" fontId="30" fillId="0" borderId="26" xfId="22" applyFont="1" applyFill="1" applyBorder="1" applyAlignment="1" applyProtection="1">
      <alignment horizontal="left" wrapText="1" indent="1"/>
    </xf>
    <xf numFmtId="165" fontId="25" fillId="0" borderId="63" xfId="8" applyNumberFormat="1" applyFont="1" applyFill="1" applyBorder="1" applyAlignment="1" applyProtection="1">
      <alignment horizontal="right" vertical="center" wrapText="1" indent="1"/>
      <protection locked="0"/>
    </xf>
    <xf numFmtId="3" fontId="25" fillId="0" borderId="26" xfId="8" applyNumberFormat="1" applyFont="1" applyFill="1" applyBorder="1" applyProtection="1"/>
    <xf numFmtId="0" fontId="31" fillId="0" borderId="17" xfId="22" applyFont="1" applyFill="1" applyBorder="1" applyAlignment="1" applyProtection="1">
      <alignment horizontal="left" vertical="center" wrapText="1" indent="1"/>
    </xf>
    <xf numFmtId="3" fontId="25" fillId="0" borderId="17" xfId="8" applyNumberFormat="1" applyFont="1" applyFill="1" applyBorder="1" applyProtection="1"/>
    <xf numFmtId="3" fontId="25" fillId="0" borderId="24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17" xfId="8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26" xfId="22" applyFont="1" applyFill="1" applyBorder="1" applyAlignment="1" applyProtection="1">
      <alignment horizontal="left" vertical="center" wrapText="1" indent="1"/>
    </xf>
    <xf numFmtId="3" fontId="25" fillId="0" borderId="26" xfId="8" applyNumberFormat="1" applyFont="1" applyFill="1" applyBorder="1" applyAlignment="1" applyProtection="1">
      <alignment horizontal="right" vertical="center" wrapText="1" indent="1"/>
      <protection locked="0"/>
    </xf>
    <xf numFmtId="0" fontId="31" fillId="0" borderId="17" xfId="22" applyFont="1" applyFill="1" applyBorder="1" applyAlignment="1" applyProtection="1">
      <alignment vertical="center" wrapText="1"/>
    </xf>
    <xf numFmtId="0" fontId="30" fillId="0" borderId="26" xfId="22" applyFont="1" applyFill="1" applyBorder="1" applyAlignment="1" applyProtection="1">
      <alignment vertical="center" wrapText="1"/>
    </xf>
    <xf numFmtId="0" fontId="30" fillId="0" borderId="30" xfId="22" applyFont="1" applyFill="1" applyBorder="1" applyAlignment="1" applyProtection="1">
      <alignment wrapText="1"/>
    </xf>
    <xf numFmtId="0" fontId="30" fillId="0" borderId="24" xfId="22" applyFont="1" applyFill="1" applyBorder="1" applyAlignment="1" applyProtection="1">
      <alignment wrapText="1"/>
    </xf>
    <xf numFmtId="0" fontId="31" fillId="0" borderId="0" xfId="22" applyFont="1" applyFill="1" applyBorder="1" applyAlignment="1" applyProtection="1">
      <alignment horizontal="left" vertical="center" wrapText="1" indent="1"/>
    </xf>
    <xf numFmtId="0" fontId="25" fillId="0" borderId="28" xfId="8" applyFont="1" applyFill="1" applyBorder="1" applyProtection="1"/>
    <xf numFmtId="3" fontId="25" fillId="0" borderId="28" xfId="8" applyNumberFormat="1" applyFont="1" applyFill="1" applyBorder="1" applyProtection="1"/>
    <xf numFmtId="3" fontId="25" fillId="0" borderId="0" xfId="8" applyNumberFormat="1" applyFont="1" applyFill="1" applyBorder="1" applyProtection="1"/>
    <xf numFmtId="3" fontId="33" fillId="0" borderId="0" xfId="8" applyNumberFormat="1" applyFont="1" applyFill="1" applyBorder="1" applyProtection="1"/>
    <xf numFmtId="165" fontId="129" fillId="0" borderId="11" xfId="8" applyNumberFormat="1" applyFont="1" applyFill="1" applyBorder="1" applyAlignment="1" applyProtection="1"/>
    <xf numFmtId="0" fontId="33" fillId="0" borderId="11" xfId="8" applyFont="1" applyFill="1" applyBorder="1" applyAlignment="1" applyProtection="1"/>
    <xf numFmtId="3" fontId="33" fillId="0" borderId="11" xfId="8" applyNumberFormat="1" applyFont="1" applyFill="1" applyBorder="1" applyAlignment="1" applyProtection="1"/>
    <xf numFmtId="0" fontId="26" fillId="0" borderId="11" xfId="22" applyFont="1" applyFill="1" applyBorder="1" applyAlignment="1" applyProtection="1">
      <alignment horizontal="right" vertical="center"/>
    </xf>
    <xf numFmtId="0" fontId="33" fillId="0" borderId="0" xfId="8" applyFont="1" applyFill="1" applyAlignment="1" applyProtection="1"/>
    <xf numFmtId="0" fontId="24" fillId="0" borderId="72" xfId="8" applyFont="1" applyFill="1" applyBorder="1" applyAlignment="1" applyProtection="1">
      <alignment vertical="center" wrapText="1"/>
    </xf>
    <xf numFmtId="0" fontId="25" fillId="0" borderId="74" xfId="8" applyFont="1" applyFill="1" applyBorder="1" applyAlignment="1" applyProtection="1">
      <alignment horizontal="left" vertical="center" wrapText="1" indent="1"/>
    </xf>
    <xf numFmtId="3" fontId="33" fillId="0" borderId="30" xfId="8" applyNumberFormat="1" applyFont="1" applyFill="1" applyBorder="1" applyProtection="1"/>
    <xf numFmtId="0" fontId="25" fillId="0" borderId="76" xfId="8" applyFont="1" applyFill="1" applyBorder="1" applyAlignment="1" applyProtection="1">
      <alignment horizontal="left" vertical="center" wrapText="1" indent="1"/>
    </xf>
    <xf numFmtId="3" fontId="33" fillId="13" borderId="24" xfId="8" applyNumberFormat="1" applyFont="1" applyFill="1" applyBorder="1" applyProtection="1"/>
    <xf numFmtId="3" fontId="33" fillId="0" borderId="24" xfId="8" applyNumberFormat="1" applyFont="1" applyFill="1" applyBorder="1" applyProtection="1"/>
    <xf numFmtId="0" fontId="25" fillId="0" borderId="76" xfId="8" applyFont="1" applyFill="1" applyBorder="1" applyAlignment="1" applyProtection="1">
      <alignment horizontal="left" indent="6"/>
    </xf>
    <xf numFmtId="0" fontId="25" fillId="0" borderId="76" xfId="8" applyFont="1" applyFill="1" applyBorder="1" applyAlignment="1" applyProtection="1">
      <alignment horizontal="left" vertical="center" wrapText="1" indent="6"/>
    </xf>
    <xf numFmtId="49" fontId="25" fillId="0" borderId="63" xfId="8" applyNumberFormat="1" applyFont="1" applyFill="1" applyBorder="1" applyAlignment="1" applyProtection="1">
      <alignment horizontal="left" vertical="center" wrapText="1" indent="1"/>
    </xf>
    <xf numFmtId="0" fontId="25" fillId="0" borderId="77" xfId="8" applyFont="1" applyFill="1" applyBorder="1" applyAlignment="1" applyProtection="1">
      <alignment horizontal="left" vertical="center" wrapText="1" indent="6"/>
    </xf>
    <xf numFmtId="49" fontId="25" fillId="0" borderId="31" xfId="8" applyNumberFormat="1" applyFont="1" applyFill="1" applyBorder="1" applyAlignment="1" applyProtection="1">
      <alignment horizontal="left" vertical="center" wrapText="1" indent="1"/>
    </xf>
    <xf numFmtId="0" fontId="25" fillId="0" borderId="71" xfId="8" applyFont="1" applyFill="1" applyBorder="1" applyAlignment="1" applyProtection="1">
      <alignment horizontal="left" vertical="center" wrapText="1" indent="6"/>
    </xf>
    <xf numFmtId="3" fontId="33" fillId="0" borderId="26" xfId="8" applyNumberFormat="1" applyFont="1" applyFill="1" applyBorder="1" applyProtection="1"/>
    <xf numFmtId="0" fontId="25" fillId="0" borderId="77" xfId="8" applyFont="1" applyFill="1" applyBorder="1" applyAlignment="1" applyProtection="1">
      <alignment horizontal="left" vertical="center" wrapText="1" indent="1"/>
    </xf>
    <xf numFmtId="0" fontId="30" fillId="0" borderId="77" xfId="22" applyFont="1" applyFill="1" applyBorder="1" applyAlignment="1" applyProtection="1">
      <alignment horizontal="left" vertical="center" wrapText="1" indent="1"/>
    </xf>
    <xf numFmtId="0" fontId="30" fillId="0" borderId="76" xfId="22" applyFont="1" applyFill="1" applyBorder="1" applyAlignment="1" applyProtection="1">
      <alignment horizontal="left" vertical="center" wrapText="1" indent="1"/>
    </xf>
    <xf numFmtId="0" fontId="25" fillId="0" borderId="74" xfId="8" applyFont="1" applyFill="1" applyBorder="1" applyAlignment="1" applyProtection="1">
      <alignment horizontal="left" vertical="center" wrapText="1" indent="6"/>
    </xf>
    <xf numFmtId="3" fontId="33" fillId="0" borderId="24" xfId="8" applyNumberFormat="1" applyFont="1" applyFill="1" applyBorder="1" applyAlignment="1" applyProtection="1">
      <alignment horizontal="left" vertical="center" indent="1"/>
    </xf>
    <xf numFmtId="0" fontId="33" fillId="0" borderId="0" xfId="8" applyFont="1" applyFill="1" applyAlignment="1" applyProtection="1">
      <alignment horizontal="left" vertical="center" indent="1"/>
    </xf>
    <xf numFmtId="0" fontId="32" fillId="0" borderId="72" xfId="8" applyFont="1" applyFill="1" applyBorder="1" applyAlignment="1" applyProtection="1">
      <alignment horizontal="left" vertical="center" wrapText="1" indent="1"/>
    </xf>
    <xf numFmtId="3" fontId="33" fillId="0" borderId="17" xfId="8" applyNumberFormat="1" applyFont="1" applyFill="1" applyBorder="1" applyProtection="1"/>
    <xf numFmtId="3" fontId="32" fillId="0" borderId="17" xfId="8" applyNumberFormat="1" applyFont="1" applyFill="1" applyBorder="1" applyProtection="1"/>
    <xf numFmtId="165" fontId="31" fillId="0" borderId="17" xfId="22" quotePrefix="1" applyNumberFormat="1" applyFont="1" applyFill="1" applyBorder="1" applyAlignment="1" applyProtection="1">
      <alignment horizontal="right" vertical="center" wrapText="1" indent="1"/>
    </xf>
    <xf numFmtId="0" fontId="31" fillId="0" borderId="19" xfId="22" applyFont="1" applyFill="1" applyBorder="1" applyAlignment="1" applyProtection="1">
      <alignment horizontal="left" vertical="center" wrapText="1" indent="1"/>
    </xf>
    <xf numFmtId="0" fontId="31" fillId="0" borderId="11" xfId="22" applyFont="1" applyFill="1" applyBorder="1" applyAlignment="1" applyProtection="1">
      <alignment horizontal="left" vertical="center" wrapText="1" indent="1"/>
    </xf>
    <xf numFmtId="0" fontId="33" fillId="0" borderId="0" xfId="8" applyFont="1" applyFill="1" applyAlignment="1" applyProtection="1">
      <alignment horizontal="right" vertical="center" indent="1"/>
    </xf>
    <xf numFmtId="3" fontId="33" fillId="0" borderId="0" xfId="8" applyNumberFormat="1" applyFont="1" applyFill="1" applyProtection="1"/>
    <xf numFmtId="165" fontId="129" fillId="0" borderId="11" xfId="8" applyNumberFormat="1" applyFont="1" applyFill="1" applyBorder="1" applyAlignment="1" applyProtection="1">
      <alignment vertical="center"/>
    </xf>
    <xf numFmtId="0" fontId="26" fillId="0" borderId="11" xfId="18" applyFont="1" applyFill="1" applyBorder="1" applyAlignment="1" applyProtection="1">
      <alignment horizontal="right" vertical="center"/>
    </xf>
    <xf numFmtId="3" fontId="33" fillId="0" borderId="0" xfId="8" applyNumberFormat="1" applyFont="1" applyFill="1" applyAlignment="1" applyProtection="1">
      <alignment wrapText="1"/>
    </xf>
    <xf numFmtId="3" fontId="32" fillId="0" borderId="63" xfId="8" applyNumberFormat="1" applyFont="1" applyFill="1" applyBorder="1" applyAlignment="1" applyProtection="1">
      <alignment horizontal="center" vertical="center"/>
    </xf>
    <xf numFmtId="3" fontId="32" fillId="0" borderId="0" xfId="8" applyNumberFormat="1" applyFont="1" applyFill="1" applyAlignment="1" applyProtection="1">
      <alignment horizontal="center" vertical="center"/>
    </xf>
    <xf numFmtId="3" fontId="25" fillId="0" borderId="0" xfId="8" applyNumberFormat="1" applyFont="1" applyFill="1" applyProtection="1"/>
    <xf numFmtId="0" fontId="30" fillId="0" borderId="30" xfId="18" applyFont="1" applyBorder="1" applyAlignment="1" applyProtection="1">
      <alignment horizontal="left" wrapText="1" indent="1"/>
    </xf>
    <xf numFmtId="0" fontId="30" fillId="0" borderId="24" xfId="18" applyFont="1" applyBorder="1" applyAlignment="1" applyProtection="1">
      <alignment horizontal="left" wrapText="1" indent="1"/>
    </xf>
    <xf numFmtId="0" fontId="30" fillId="0" borderId="26" xfId="18" applyFont="1" applyBorder="1" applyAlignment="1" applyProtection="1">
      <alignment horizontal="left" wrapText="1" indent="1"/>
    </xf>
    <xf numFmtId="0" fontId="31" fillId="0" borderId="17" xfId="18" applyFont="1" applyBorder="1" applyAlignment="1" applyProtection="1">
      <alignment horizontal="left" vertical="center" wrapText="1" indent="1"/>
    </xf>
    <xf numFmtId="165" fontId="33" fillId="0" borderId="30" xfId="8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26" xfId="8" applyNumberFormat="1" applyFont="1" applyFill="1" applyBorder="1" applyAlignment="1" applyProtection="1">
      <alignment horizontal="right" vertical="center" wrapText="1" indent="1"/>
      <protection locked="0"/>
    </xf>
    <xf numFmtId="0" fontId="31" fillId="0" borderId="17" xfId="18" applyFont="1" applyBorder="1" applyAlignment="1" applyProtection="1">
      <alignment vertical="center" wrapText="1"/>
    </xf>
    <xf numFmtId="0" fontId="30" fillId="0" borderId="26" xfId="18" applyFont="1" applyBorder="1" applyAlignment="1" applyProtection="1">
      <alignment vertical="center" wrapText="1"/>
    </xf>
    <xf numFmtId="0" fontId="30" fillId="0" borderId="26" xfId="18" applyFont="1" applyBorder="1" applyAlignment="1" applyProtection="1">
      <alignment horizontal="left" vertical="center" wrapText="1" indent="1"/>
    </xf>
    <xf numFmtId="0" fontId="30" fillId="0" borderId="30" xfId="18" applyFont="1" applyBorder="1" applyAlignment="1" applyProtection="1">
      <alignment wrapText="1"/>
    </xf>
    <xf numFmtId="0" fontId="30" fillId="0" borderId="24" xfId="18" applyFont="1" applyBorder="1" applyAlignment="1" applyProtection="1">
      <alignment wrapText="1"/>
    </xf>
    <xf numFmtId="0" fontId="31" fillId="0" borderId="19" xfId="18" applyFont="1" applyBorder="1" applyAlignment="1" applyProtection="1">
      <alignment vertical="center" wrapText="1"/>
    </xf>
    <xf numFmtId="0" fontId="31" fillId="0" borderId="0" xfId="18" applyFont="1" applyBorder="1" applyAlignment="1" applyProtection="1">
      <alignment horizontal="left" vertical="center" wrapText="1" indent="1"/>
    </xf>
    <xf numFmtId="165" fontId="32" fillId="0" borderId="0" xfId="8" applyNumberFormat="1" applyFont="1" applyFill="1" applyBorder="1" applyAlignment="1" applyProtection="1">
      <alignment horizontal="right" vertical="center" wrapText="1" indent="1"/>
    </xf>
    <xf numFmtId="3" fontId="33" fillId="0" borderId="0" xfId="8" applyNumberFormat="1" applyFont="1" applyFill="1" applyAlignment="1" applyProtection="1"/>
    <xf numFmtId="0" fontId="24" fillId="0" borderId="21" xfId="8" applyFont="1" applyFill="1" applyBorder="1" applyAlignment="1" applyProtection="1">
      <alignment horizontal="left" vertical="center" wrapText="1" indent="1"/>
    </xf>
    <xf numFmtId="0" fontId="24" fillId="0" borderId="21" xfId="8" applyFont="1" applyFill="1" applyBorder="1" applyAlignment="1" applyProtection="1">
      <alignment vertical="center" wrapText="1"/>
    </xf>
    <xf numFmtId="165" fontId="24" fillId="0" borderId="21" xfId="8" applyNumberFormat="1" applyFont="1" applyFill="1" applyBorder="1" applyAlignment="1" applyProtection="1">
      <alignment horizontal="right" vertical="center" wrapText="1" indent="1"/>
    </xf>
    <xf numFmtId="49" fontId="25" fillId="0" borderId="22" xfId="8" applyNumberFormat="1" applyFont="1" applyFill="1" applyBorder="1" applyAlignment="1" applyProtection="1">
      <alignment horizontal="left" vertical="center" wrapText="1" indent="1"/>
    </xf>
    <xf numFmtId="0" fontId="25" fillId="0" borderId="22" xfId="8" applyFont="1" applyFill="1" applyBorder="1" applyAlignment="1" applyProtection="1">
      <alignment horizontal="left" vertical="center" wrapText="1" indent="1"/>
    </xf>
    <xf numFmtId="165" fontId="25" fillId="0" borderId="22" xfId="8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24" xfId="8" applyFont="1" applyFill="1" applyBorder="1" applyAlignment="1" applyProtection="1">
      <alignment horizontal="left" vertical="center" wrapText="1" indent="1"/>
    </xf>
    <xf numFmtId="0" fontId="25" fillId="0" borderId="63" xfId="8" applyFont="1" applyFill="1" applyBorder="1" applyAlignment="1" applyProtection="1">
      <alignment horizontal="left" vertical="center" wrapText="1" indent="1"/>
    </xf>
    <xf numFmtId="0" fontId="25" fillId="0" borderId="24" xfId="8" applyFont="1" applyFill="1" applyBorder="1" applyAlignment="1" applyProtection="1">
      <alignment horizontal="left" indent="6"/>
    </xf>
    <xf numFmtId="0" fontId="25" fillId="0" borderId="24" xfId="8" applyFont="1" applyFill="1" applyBorder="1" applyAlignment="1" applyProtection="1">
      <alignment horizontal="left" vertical="center" wrapText="1" indent="6"/>
    </xf>
    <xf numFmtId="0" fontId="25" fillId="0" borderId="26" xfId="8" applyFont="1" applyFill="1" applyBorder="1" applyAlignment="1" applyProtection="1">
      <alignment horizontal="left" vertical="center" wrapText="1" indent="6"/>
    </xf>
    <xf numFmtId="0" fontId="25" fillId="0" borderId="31" xfId="8" applyFont="1" applyFill="1" applyBorder="1" applyAlignment="1" applyProtection="1">
      <alignment horizontal="left" vertical="center" wrapText="1" indent="6"/>
    </xf>
    <xf numFmtId="165" fontId="25" fillId="0" borderId="31" xfId="8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17" xfId="8" applyFont="1" applyFill="1" applyBorder="1" applyAlignment="1" applyProtection="1">
      <alignment vertical="center" wrapText="1"/>
    </xf>
    <xf numFmtId="0" fontId="25" fillId="0" borderId="26" xfId="8" applyFont="1" applyFill="1" applyBorder="1" applyAlignment="1" applyProtection="1">
      <alignment horizontal="left" vertical="center" wrapText="1" indent="1"/>
    </xf>
    <xf numFmtId="0" fontId="30" fillId="0" borderId="24" xfId="18" applyFont="1" applyBorder="1" applyAlignment="1" applyProtection="1">
      <alignment horizontal="left" vertical="center" wrapText="1" indent="1"/>
    </xf>
    <xf numFmtId="0" fontId="25" fillId="0" borderId="30" xfId="8" applyFont="1" applyFill="1" applyBorder="1" applyAlignment="1" applyProtection="1">
      <alignment horizontal="left" vertical="center" wrapText="1" indent="6"/>
    </xf>
    <xf numFmtId="3" fontId="33" fillId="0" borderId="0" xfId="8" applyNumberFormat="1" applyFont="1" applyFill="1" applyAlignment="1" applyProtection="1">
      <alignment horizontal="left" vertical="center" indent="1"/>
    </xf>
    <xf numFmtId="0" fontId="32" fillId="0" borderId="17" xfId="8" applyFont="1" applyFill="1" applyBorder="1" applyAlignment="1" applyProtection="1">
      <alignment horizontal="left" vertical="center" wrapText="1" indent="1"/>
    </xf>
    <xf numFmtId="0" fontId="25" fillId="0" borderId="30" xfId="8" applyFont="1" applyFill="1" applyBorder="1" applyAlignment="1" applyProtection="1">
      <alignment horizontal="left" vertical="center" wrapText="1" indent="1"/>
    </xf>
    <xf numFmtId="165" fontId="31" fillId="0" borderId="17" xfId="18" applyNumberFormat="1" applyFont="1" applyBorder="1" applyAlignment="1" applyProtection="1">
      <alignment horizontal="right" vertical="center" wrapText="1" indent="1"/>
    </xf>
    <xf numFmtId="165" fontId="31" fillId="0" borderId="17" xfId="18" quotePrefix="1" applyNumberFormat="1" applyFont="1" applyBorder="1" applyAlignment="1" applyProtection="1">
      <alignment horizontal="right" vertical="center" wrapText="1" indent="1"/>
    </xf>
    <xf numFmtId="0" fontId="31" fillId="0" borderId="19" xfId="18" applyFont="1" applyBorder="1" applyAlignment="1" applyProtection="1">
      <alignment horizontal="left" vertical="center" wrapText="1" indent="1"/>
    </xf>
    <xf numFmtId="0" fontId="12" fillId="0" borderId="11" xfId="22" applyFont="1" applyFill="1" applyBorder="1" applyAlignment="1" applyProtection="1">
      <alignment horizontal="right" vertical="center"/>
    </xf>
    <xf numFmtId="0" fontId="27" fillId="0" borderId="0" xfId="8" applyFont="1" applyFill="1" applyAlignment="1" applyProtection="1">
      <alignment horizontal="center" vertical="center"/>
    </xf>
    <xf numFmtId="3" fontId="32" fillId="0" borderId="17" xfId="8" applyNumberFormat="1" applyFont="1" applyFill="1" applyBorder="1" applyAlignment="1" applyProtection="1">
      <alignment horizontal="center"/>
    </xf>
    <xf numFmtId="3" fontId="32" fillId="0" borderId="0" xfId="8" applyNumberFormat="1" applyFont="1" applyFill="1" applyAlignment="1" applyProtection="1">
      <alignment horizontal="center"/>
    </xf>
    <xf numFmtId="0" fontId="32" fillId="0" borderId="0" xfId="8" applyFont="1" applyFill="1" applyAlignment="1" applyProtection="1">
      <alignment horizontal="center"/>
    </xf>
    <xf numFmtId="3" fontId="20" fillId="0" borderId="0" xfId="8" applyNumberFormat="1" applyFont="1" applyFill="1" applyProtection="1"/>
    <xf numFmtId="0" fontId="30" fillId="0" borderId="30" xfId="22" applyFont="1" applyBorder="1" applyAlignment="1" applyProtection="1">
      <alignment horizontal="left" wrapText="1" indent="1"/>
    </xf>
    <xf numFmtId="3" fontId="20" fillId="0" borderId="24" xfId="8" applyNumberFormat="1" applyFont="1" applyFill="1" applyBorder="1" applyProtection="1"/>
    <xf numFmtId="0" fontId="30" fillId="0" borderId="24" xfId="22" applyFont="1" applyBorder="1" applyAlignment="1" applyProtection="1">
      <alignment horizontal="left" wrapText="1" indent="1"/>
    </xf>
    <xf numFmtId="0" fontId="30" fillId="0" borderId="26" xfId="22" applyFont="1" applyBorder="1" applyAlignment="1" applyProtection="1">
      <alignment horizontal="left" wrapText="1" indent="1"/>
    </xf>
    <xf numFmtId="0" fontId="31" fillId="0" borderId="17" xfId="22" applyFont="1" applyBorder="1" applyAlignment="1" applyProtection="1">
      <alignment horizontal="left" vertical="center" wrapText="1" indent="1"/>
    </xf>
    <xf numFmtId="0" fontId="31" fillId="0" borderId="17" xfId="22" applyFont="1" applyBorder="1" applyAlignment="1" applyProtection="1">
      <alignment vertical="center" wrapText="1"/>
    </xf>
    <xf numFmtId="0" fontId="30" fillId="0" borderId="26" xfId="22" applyFont="1" applyBorder="1" applyAlignment="1" applyProtection="1">
      <alignment vertical="center" wrapText="1"/>
    </xf>
    <xf numFmtId="0" fontId="30" fillId="0" borderId="26" xfId="22" applyFont="1" applyBorder="1" applyAlignment="1" applyProtection="1">
      <alignment horizontal="left" vertical="center" wrapText="1" indent="1"/>
    </xf>
    <xf numFmtId="0" fontId="30" fillId="0" borderId="30" xfId="22" applyFont="1" applyBorder="1" applyAlignment="1" applyProtection="1">
      <alignment wrapText="1"/>
    </xf>
    <xf numFmtId="0" fontId="30" fillId="0" borderId="24" xfId="22" applyFont="1" applyBorder="1" applyAlignment="1" applyProtection="1">
      <alignment wrapText="1"/>
    </xf>
    <xf numFmtId="0" fontId="31" fillId="0" borderId="19" xfId="22" applyFont="1" applyBorder="1" applyAlignment="1" applyProtection="1">
      <alignment vertical="center" wrapText="1"/>
    </xf>
    <xf numFmtId="0" fontId="29" fillId="0" borderId="0" xfId="22" applyFont="1" applyBorder="1" applyAlignment="1" applyProtection="1">
      <alignment horizontal="left" vertical="center" wrapText="1" indent="1"/>
    </xf>
    <xf numFmtId="3" fontId="17" fillId="0" borderId="0" xfId="8" applyNumberFormat="1" applyFill="1" applyProtection="1"/>
    <xf numFmtId="0" fontId="33" fillId="0" borderId="30" xfId="8" applyFont="1" applyFill="1" applyBorder="1" applyProtection="1"/>
    <xf numFmtId="0" fontId="17" fillId="0" borderId="30" xfId="8" applyFill="1" applyBorder="1" applyProtection="1"/>
    <xf numFmtId="0" fontId="33" fillId="0" borderId="24" xfId="8" applyFont="1" applyFill="1" applyBorder="1" applyProtection="1"/>
    <xf numFmtId="0" fontId="17" fillId="0" borderId="24" xfId="8" applyFill="1" applyBorder="1" applyProtection="1"/>
    <xf numFmtId="0" fontId="17" fillId="0" borderId="26" xfId="8" applyFill="1" applyBorder="1" applyProtection="1"/>
    <xf numFmtId="0" fontId="30" fillId="0" borderId="24" xfId="22" applyFont="1" applyBorder="1" applyAlignment="1" applyProtection="1">
      <alignment horizontal="left" vertical="center" wrapText="1" indent="1"/>
    </xf>
    <xf numFmtId="0" fontId="17" fillId="0" borderId="24" xfId="8" applyFill="1" applyBorder="1" applyAlignment="1" applyProtection="1">
      <alignment horizontal="left" vertical="center" indent="1"/>
    </xf>
    <xf numFmtId="0" fontId="17" fillId="0" borderId="17" xfId="8" applyFill="1" applyBorder="1" applyProtection="1"/>
    <xf numFmtId="0" fontId="24" fillId="0" borderId="30" xfId="8" applyFont="1" applyFill="1" applyBorder="1" applyAlignment="1" applyProtection="1">
      <alignment horizontal="left" vertical="center" wrapText="1" indent="1"/>
    </xf>
    <xf numFmtId="0" fontId="32" fillId="0" borderId="30" xfId="8" applyFont="1" applyFill="1" applyBorder="1" applyAlignment="1" applyProtection="1">
      <alignment horizontal="left" vertical="center" wrapText="1" indent="1"/>
    </xf>
    <xf numFmtId="0" fontId="27" fillId="0" borderId="17" xfId="8" applyFont="1" applyFill="1" applyBorder="1" applyProtection="1"/>
    <xf numFmtId="0" fontId="20" fillId="0" borderId="30" xfId="8" applyFont="1" applyFill="1" applyBorder="1" applyProtection="1"/>
    <xf numFmtId="165" fontId="29" fillId="0" borderId="17" xfId="22" quotePrefix="1" applyNumberFormat="1" applyFont="1" applyBorder="1" applyAlignment="1" applyProtection="1">
      <alignment horizontal="right" vertical="center" wrapText="1" indent="1"/>
    </xf>
    <xf numFmtId="0" fontId="29" fillId="0" borderId="17" xfId="22" applyFont="1" applyBorder="1" applyAlignment="1" applyProtection="1">
      <alignment horizontal="left" vertical="center" wrapText="1" indent="1"/>
    </xf>
    <xf numFmtId="0" fontId="12" fillId="0" borderId="11" xfId="18" applyFont="1" applyFill="1" applyBorder="1" applyAlignment="1" applyProtection="1">
      <alignment horizontal="right" vertical="center"/>
    </xf>
    <xf numFmtId="49" fontId="40" fillId="0" borderId="0" xfId="8" applyNumberFormat="1" applyFont="1" applyFill="1" applyProtection="1"/>
    <xf numFmtId="3" fontId="32" fillId="0" borderId="63" xfId="8" applyNumberFormat="1" applyFont="1" applyFill="1" applyBorder="1" applyAlignment="1" applyProtection="1">
      <alignment horizontal="center"/>
    </xf>
    <xf numFmtId="0" fontId="32" fillId="0" borderId="63" xfId="8" applyFont="1" applyFill="1" applyBorder="1" applyAlignment="1" applyProtection="1">
      <alignment horizontal="center"/>
    </xf>
    <xf numFmtId="0" fontId="33" fillId="0" borderId="26" xfId="8" applyFont="1" applyFill="1" applyBorder="1" applyProtection="1"/>
    <xf numFmtId="0" fontId="33" fillId="0" borderId="17" xfId="8" applyFont="1" applyFill="1" applyBorder="1" applyProtection="1"/>
    <xf numFmtId="0" fontId="29" fillId="0" borderId="0" xfId="18" applyFont="1" applyBorder="1" applyAlignment="1" applyProtection="1">
      <alignment horizontal="left" vertical="center" wrapText="1" indent="1"/>
    </xf>
    <xf numFmtId="3" fontId="33" fillId="0" borderId="24" xfId="8" applyNumberFormat="1" applyFont="1" applyFill="1" applyBorder="1" applyAlignment="1" applyProtection="1"/>
    <xf numFmtId="3" fontId="33" fillId="0" borderId="24" xfId="8" applyNumberFormat="1" applyFont="1" applyFill="1" applyBorder="1" applyAlignment="1" applyProtection="1">
      <alignment horizontal="left" vertical="center"/>
    </xf>
    <xf numFmtId="0" fontId="33" fillId="0" borderId="24" xfId="8" applyFont="1" applyFill="1" applyBorder="1" applyAlignment="1" applyProtection="1">
      <alignment horizontal="left" vertical="center" indent="1"/>
    </xf>
    <xf numFmtId="3" fontId="25" fillId="0" borderId="24" xfId="8" applyNumberFormat="1" applyFont="1" applyFill="1" applyBorder="1" applyAlignment="1" applyProtection="1"/>
    <xf numFmtId="0" fontId="25" fillId="0" borderId="24" xfId="8" applyFont="1" applyFill="1" applyBorder="1" applyProtection="1"/>
    <xf numFmtId="165" fontId="29" fillId="0" borderId="17" xfId="18" quotePrefix="1" applyNumberFormat="1" applyFont="1" applyBorder="1" applyAlignment="1" applyProtection="1">
      <alignment horizontal="right" vertical="center" wrapText="1" indent="1"/>
    </xf>
    <xf numFmtId="0" fontId="29" fillId="0" borderId="19" xfId="18" applyFont="1" applyBorder="1" applyAlignment="1" applyProtection="1">
      <alignment horizontal="left" vertical="center" wrapText="1" indent="1"/>
    </xf>
    <xf numFmtId="0" fontId="38" fillId="0" borderId="0" xfId="8" applyFont="1" applyFill="1" applyProtection="1"/>
    <xf numFmtId="0" fontId="40" fillId="0" borderId="0" xfId="8" applyFont="1" applyFill="1" applyAlignment="1" applyProtection="1">
      <alignment horizontal="right" vertical="center" indent="1"/>
    </xf>
    <xf numFmtId="3" fontId="40" fillId="0" borderId="0" xfId="8" applyNumberFormat="1" applyFont="1" applyFill="1" applyProtection="1"/>
    <xf numFmtId="0" fontId="54" fillId="0" borderId="11" xfId="21" applyFont="1" applyFill="1" applyBorder="1" applyAlignment="1" applyProtection="1">
      <alignment horizontal="right" vertical="center"/>
    </xf>
    <xf numFmtId="0" fontId="34" fillId="0" borderId="0" xfId="8" applyFont="1" applyFill="1" applyAlignment="1" applyProtection="1">
      <alignment horizontal="center" vertical="center"/>
    </xf>
    <xf numFmtId="0" fontId="34" fillId="0" borderId="17" xfId="8" applyFont="1" applyFill="1" applyBorder="1" applyAlignment="1" applyProtection="1">
      <alignment horizontal="center" vertical="center" wrapText="1"/>
    </xf>
    <xf numFmtId="3" fontId="34" fillId="0" borderId="17" xfId="8" applyNumberFormat="1" applyFont="1" applyFill="1" applyBorder="1" applyAlignment="1" applyProtection="1">
      <alignment horizontal="center" vertical="center"/>
    </xf>
    <xf numFmtId="0" fontId="34" fillId="0" borderId="17" xfId="8" applyFont="1" applyFill="1" applyBorder="1" applyAlignment="1" applyProtection="1">
      <alignment horizontal="center" vertical="center"/>
    </xf>
    <xf numFmtId="0" fontId="14" fillId="0" borderId="17" xfId="8" applyFont="1" applyFill="1" applyBorder="1" applyAlignment="1" applyProtection="1">
      <alignment horizontal="left" vertical="center" wrapText="1" indent="1"/>
    </xf>
    <xf numFmtId="0" fontId="23" fillId="0" borderId="0" xfId="8" applyFont="1" applyFill="1" applyProtection="1"/>
    <xf numFmtId="49" fontId="23" fillId="0" borderId="30" xfId="8" applyNumberFormat="1" applyFont="1" applyFill="1" applyBorder="1" applyAlignment="1" applyProtection="1">
      <alignment horizontal="left" vertical="center" wrapText="1" indent="1"/>
    </xf>
    <xf numFmtId="0" fontId="42" fillId="0" borderId="30" xfId="21" applyFont="1" applyBorder="1" applyAlignment="1" applyProtection="1">
      <alignment horizontal="left" wrapText="1" indent="1"/>
    </xf>
    <xf numFmtId="3" fontId="23" fillId="0" borderId="30" xfId="8" applyNumberFormat="1" applyFont="1" applyFill="1" applyBorder="1" applyProtection="1"/>
    <xf numFmtId="0" fontId="23" fillId="0" borderId="30" xfId="8" applyFont="1" applyFill="1" applyBorder="1" applyProtection="1"/>
    <xf numFmtId="49" fontId="23" fillId="0" borderId="24" xfId="8" applyNumberFormat="1" applyFont="1" applyFill="1" applyBorder="1" applyAlignment="1" applyProtection="1">
      <alignment horizontal="left" vertical="center" wrapText="1" indent="1"/>
    </xf>
    <xf numFmtId="0" fontId="42" fillId="0" borderId="24" xfId="21" applyFont="1" applyBorder="1" applyAlignment="1" applyProtection="1">
      <alignment horizontal="left" wrapText="1" indent="1"/>
    </xf>
    <xf numFmtId="165" fontId="23" fillId="0" borderId="24" xfId="8" applyNumberFormat="1" applyFont="1" applyFill="1" applyBorder="1" applyAlignment="1" applyProtection="1">
      <alignment horizontal="right" vertical="center" wrapText="1" indent="1"/>
      <protection locked="0"/>
    </xf>
    <xf numFmtId="3" fontId="23" fillId="0" borderId="24" xfId="8" applyNumberFormat="1" applyFont="1" applyFill="1" applyBorder="1" applyProtection="1"/>
    <xf numFmtId="0" fontId="23" fillId="0" borderId="24" xfId="8" applyFont="1" applyFill="1" applyBorder="1" applyProtection="1"/>
    <xf numFmtId="49" fontId="23" fillId="0" borderId="26" xfId="8" applyNumberFormat="1" applyFont="1" applyFill="1" applyBorder="1" applyAlignment="1" applyProtection="1">
      <alignment horizontal="left" vertical="center" wrapText="1" indent="1"/>
    </xf>
    <xf numFmtId="0" fontId="42" fillId="0" borderId="26" xfId="21" applyFont="1" applyBorder="1" applyAlignment="1" applyProtection="1">
      <alignment horizontal="left" wrapText="1" indent="1"/>
    </xf>
    <xf numFmtId="165" fontId="23" fillId="0" borderId="26" xfId="8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26" xfId="8" applyFont="1" applyFill="1" applyBorder="1" applyProtection="1"/>
    <xf numFmtId="0" fontId="29" fillId="0" borderId="17" xfId="21" applyFont="1" applyBorder="1" applyAlignment="1" applyProtection="1">
      <alignment horizontal="left" vertical="center" wrapText="1" indent="1"/>
    </xf>
    <xf numFmtId="165" fontId="23" fillId="0" borderId="30" xfId="8" applyNumberFormat="1" applyFont="1" applyFill="1" applyBorder="1" applyAlignment="1" applyProtection="1">
      <alignment horizontal="right" vertical="center" wrapText="1" indent="1"/>
    </xf>
    <xf numFmtId="165" fontId="40" fillId="0" borderId="30" xfId="8" applyNumberFormat="1" applyFont="1" applyFill="1" applyBorder="1" applyAlignment="1" applyProtection="1">
      <alignment horizontal="right" vertical="center" wrapText="1" indent="1"/>
      <protection locked="0"/>
    </xf>
    <xf numFmtId="165" fontId="40" fillId="0" borderId="24" xfId="8" applyNumberFormat="1" applyFont="1" applyFill="1" applyBorder="1" applyAlignment="1" applyProtection="1">
      <alignment horizontal="right" vertical="center" wrapText="1" indent="1"/>
      <protection locked="0"/>
    </xf>
    <xf numFmtId="165" fontId="40" fillId="0" borderId="26" xfId="8" applyNumberFormat="1" applyFont="1" applyFill="1" applyBorder="1" applyAlignment="1" applyProtection="1">
      <alignment horizontal="right" vertical="center" wrapText="1" indent="1"/>
      <protection locked="0"/>
    </xf>
    <xf numFmtId="0" fontId="29" fillId="0" borderId="17" xfId="21" applyFont="1" applyBorder="1" applyAlignment="1" applyProtection="1">
      <alignment vertical="center" wrapText="1"/>
    </xf>
    <xf numFmtId="3" fontId="23" fillId="0" borderId="17" xfId="8" applyNumberFormat="1" applyFont="1" applyFill="1" applyBorder="1" applyProtection="1"/>
    <xf numFmtId="0" fontId="23" fillId="0" borderId="17" xfId="8" applyFont="1" applyFill="1" applyBorder="1" applyProtection="1"/>
    <xf numFmtId="0" fontId="42" fillId="0" borderId="26" xfId="21" applyFont="1" applyBorder="1" applyAlignment="1" applyProtection="1">
      <alignment vertical="center" wrapText="1"/>
    </xf>
    <xf numFmtId="3" fontId="23" fillId="0" borderId="26" xfId="8" applyNumberFormat="1" applyFont="1" applyFill="1" applyBorder="1" applyProtection="1"/>
    <xf numFmtId="167" fontId="32" fillId="0" borderId="17" xfId="1" applyNumberFormat="1" applyFont="1" applyFill="1" applyBorder="1" applyProtection="1"/>
    <xf numFmtId="165" fontId="40" fillId="0" borderId="17" xfId="8" applyNumberFormat="1" applyFont="1" applyFill="1" applyBorder="1" applyAlignment="1" applyProtection="1">
      <alignment horizontal="right" vertical="center" wrapText="1" indent="1"/>
    </xf>
    <xf numFmtId="0" fontId="42" fillId="0" borderId="26" xfId="21" applyFont="1" applyBorder="1" applyAlignment="1" applyProtection="1">
      <alignment horizontal="left" vertical="center" wrapText="1" indent="1"/>
    </xf>
    <xf numFmtId="0" fontId="42" fillId="0" borderId="30" xfId="21" applyFont="1" applyBorder="1" applyAlignment="1" applyProtection="1">
      <alignment wrapText="1"/>
    </xf>
    <xf numFmtId="0" fontId="42" fillId="0" borderId="24" xfId="21" applyFont="1" applyBorder="1" applyAlignment="1" applyProtection="1">
      <alignment wrapText="1"/>
    </xf>
    <xf numFmtId="0" fontId="29" fillId="0" borderId="19" xfId="21" applyFont="1" applyBorder="1" applyAlignment="1" applyProtection="1">
      <alignment vertical="center" wrapText="1"/>
    </xf>
    <xf numFmtId="0" fontId="29" fillId="0" borderId="0" xfId="21" applyFont="1" applyBorder="1" applyAlignment="1" applyProtection="1">
      <alignment horizontal="left" vertical="center" wrapText="1" indent="1"/>
    </xf>
    <xf numFmtId="3" fontId="23" fillId="0" borderId="0" xfId="8" applyNumberFormat="1" applyFont="1" applyFill="1" applyProtection="1"/>
    <xf numFmtId="3" fontId="40" fillId="0" borderId="0" xfId="8" applyNumberFormat="1" applyFont="1" applyFill="1" applyAlignment="1" applyProtection="1"/>
    <xf numFmtId="0" fontId="40" fillId="0" borderId="0" xfId="8" applyFont="1" applyFill="1" applyAlignment="1" applyProtection="1"/>
    <xf numFmtId="0" fontId="14" fillId="0" borderId="8" xfId="8" applyFont="1" applyFill="1" applyBorder="1" applyAlignment="1" applyProtection="1">
      <alignment horizontal="center" vertical="center" wrapText="1"/>
    </xf>
    <xf numFmtId="0" fontId="14" fillId="0" borderId="6" xfId="8" applyFont="1" applyFill="1" applyBorder="1" applyAlignment="1" applyProtection="1">
      <alignment horizontal="center" vertical="center" wrapText="1"/>
    </xf>
    <xf numFmtId="0" fontId="14" fillId="0" borderId="7" xfId="8" applyFont="1" applyFill="1" applyBorder="1" applyAlignment="1" applyProtection="1">
      <alignment horizontal="center" vertical="center" wrapText="1"/>
    </xf>
    <xf numFmtId="0" fontId="14" fillId="0" borderId="50" xfId="8" applyFont="1" applyFill="1" applyBorder="1" applyAlignment="1" applyProtection="1">
      <alignment horizontal="left" vertical="center" wrapText="1" indent="1"/>
    </xf>
    <xf numFmtId="0" fontId="14" fillId="0" borderId="51" xfId="8" applyFont="1" applyFill="1" applyBorder="1" applyAlignment="1" applyProtection="1">
      <alignment vertical="center" wrapText="1"/>
    </xf>
    <xf numFmtId="165" fontId="14" fillId="0" borderId="58" xfId="8" applyNumberFormat="1" applyFont="1" applyFill="1" applyBorder="1" applyAlignment="1" applyProtection="1">
      <alignment horizontal="right" vertical="center" wrapText="1" indent="1"/>
    </xf>
    <xf numFmtId="49" fontId="23" fillId="0" borderId="43" xfId="8" applyNumberFormat="1" applyFont="1" applyFill="1" applyBorder="1" applyAlignment="1" applyProtection="1">
      <alignment horizontal="left" vertical="center" wrapText="1" indent="1"/>
    </xf>
    <xf numFmtId="0" fontId="23" fillId="0" borderId="33" xfId="8" applyFont="1" applyFill="1" applyBorder="1" applyAlignment="1" applyProtection="1">
      <alignment horizontal="left" vertical="center" wrapText="1" indent="1"/>
    </xf>
    <xf numFmtId="3" fontId="23" fillId="0" borderId="41" xfId="8" applyNumberFormat="1" applyFont="1" applyFill="1" applyBorder="1" applyAlignment="1" applyProtection="1">
      <alignment horizontal="right" vertical="center" wrapText="1" indent="1"/>
      <protection locked="0"/>
    </xf>
    <xf numFmtId="3" fontId="40" fillId="0" borderId="30" xfId="8" applyNumberFormat="1" applyFont="1" applyFill="1" applyBorder="1" applyProtection="1"/>
    <xf numFmtId="49" fontId="23" fillId="0" borderId="3" xfId="8" applyNumberFormat="1" applyFont="1" applyFill="1" applyBorder="1" applyAlignment="1" applyProtection="1">
      <alignment horizontal="left" vertical="center" wrapText="1" indent="1"/>
    </xf>
    <xf numFmtId="0" fontId="23" fillId="0" borderId="1" xfId="8" applyFont="1" applyFill="1" applyBorder="1" applyAlignment="1" applyProtection="1">
      <alignment horizontal="left" vertical="center" wrapText="1" indent="1"/>
    </xf>
    <xf numFmtId="3" fontId="40" fillId="0" borderId="24" xfId="8" applyNumberFormat="1" applyFont="1" applyFill="1" applyBorder="1" applyProtection="1"/>
    <xf numFmtId="0" fontId="23" fillId="0" borderId="49" xfId="8" applyFont="1" applyFill="1" applyBorder="1" applyAlignment="1" applyProtection="1">
      <alignment horizontal="left" vertical="center" wrapText="1" indent="1"/>
    </xf>
    <xf numFmtId="0" fontId="23" fillId="0" borderId="0" xfId="8" applyFont="1" applyFill="1" applyBorder="1" applyAlignment="1" applyProtection="1">
      <alignment horizontal="left" vertical="center" wrapText="1" indent="1"/>
    </xf>
    <xf numFmtId="0" fontId="23" fillId="0" borderId="1" xfId="8" applyFont="1" applyFill="1" applyBorder="1" applyAlignment="1" applyProtection="1">
      <alignment horizontal="left" indent="6"/>
    </xf>
    <xf numFmtId="0" fontId="23" fillId="0" borderId="1" xfId="8" applyFont="1" applyFill="1" applyBorder="1" applyAlignment="1" applyProtection="1">
      <alignment horizontal="left" vertical="center" wrapText="1" indent="6"/>
    </xf>
    <xf numFmtId="49" fontId="23" fillId="0" borderId="4" xfId="8" applyNumberFormat="1" applyFont="1" applyFill="1" applyBorder="1" applyAlignment="1" applyProtection="1">
      <alignment horizontal="left" vertical="center" wrapText="1" indent="1"/>
    </xf>
    <xf numFmtId="0" fontId="23" fillId="0" borderId="2" xfId="8" applyFont="1" applyFill="1" applyBorder="1" applyAlignment="1" applyProtection="1">
      <alignment horizontal="left" vertical="center" wrapText="1" indent="6"/>
    </xf>
    <xf numFmtId="49" fontId="23" fillId="0" borderId="46" xfId="8" applyNumberFormat="1" applyFont="1" applyFill="1" applyBorder="1" applyAlignment="1" applyProtection="1">
      <alignment horizontal="left" vertical="center" wrapText="1" indent="1"/>
    </xf>
    <xf numFmtId="0" fontId="23" fillId="0" borderId="12" xfId="8" applyFont="1" applyFill="1" applyBorder="1" applyAlignment="1" applyProtection="1">
      <alignment horizontal="left" vertical="center" wrapText="1" indent="6"/>
    </xf>
    <xf numFmtId="0" fontId="14" fillId="0" borderId="8" xfId="8" applyFont="1" applyFill="1" applyBorder="1" applyAlignment="1" applyProtection="1">
      <alignment horizontal="left" vertical="center" wrapText="1" indent="1"/>
    </xf>
    <xf numFmtId="0" fontId="14" fillId="0" borderId="6" xfId="8" applyFont="1" applyFill="1" applyBorder="1" applyAlignment="1" applyProtection="1">
      <alignment vertical="center" wrapText="1"/>
    </xf>
    <xf numFmtId="3" fontId="14" fillId="0" borderId="35" xfId="8" applyNumberFormat="1" applyFont="1" applyFill="1" applyBorder="1" applyAlignment="1" applyProtection="1">
      <alignment horizontal="right" vertical="center" wrapText="1" indent="1"/>
    </xf>
    <xf numFmtId="49" fontId="23" fillId="0" borderId="29" xfId="8" applyNumberFormat="1" applyFont="1" applyFill="1" applyBorder="1" applyAlignment="1" applyProtection="1">
      <alignment horizontal="left" vertical="center" wrapText="1" indent="1"/>
    </xf>
    <xf numFmtId="0" fontId="23" fillId="0" borderId="2" xfId="8" applyFont="1" applyFill="1" applyBorder="1" applyAlignment="1" applyProtection="1">
      <alignment horizontal="left" vertical="center" wrapText="1" indent="1"/>
    </xf>
    <xf numFmtId="0" fontId="42" fillId="0" borderId="2" xfId="21" applyFont="1" applyBorder="1" applyAlignment="1" applyProtection="1">
      <alignment horizontal="left" vertical="center" wrapText="1" indent="1"/>
    </xf>
    <xf numFmtId="0" fontId="42" fillId="0" borderId="1" xfId="21" applyFont="1" applyBorder="1" applyAlignment="1" applyProtection="1">
      <alignment horizontal="left" vertical="center" wrapText="1" indent="1"/>
    </xf>
    <xf numFmtId="0" fontId="23" fillId="0" borderId="34" xfId="8" applyFont="1" applyFill="1" applyBorder="1" applyAlignment="1" applyProtection="1">
      <alignment horizontal="left" vertical="center" wrapText="1" indent="6"/>
    </xf>
    <xf numFmtId="3" fontId="40" fillId="0" borderId="24" xfId="8" applyNumberFormat="1" applyFont="1" applyFill="1" applyBorder="1" applyAlignment="1" applyProtection="1">
      <alignment horizontal="left" vertical="center" indent="1"/>
    </xf>
    <xf numFmtId="0" fontId="40" fillId="0" borderId="0" xfId="8" applyFont="1" applyFill="1" applyAlignment="1" applyProtection="1">
      <alignment horizontal="left" vertical="center" indent="1"/>
    </xf>
    <xf numFmtId="0" fontId="34" fillId="0" borderId="6" xfId="8" applyFont="1" applyFill="1" applyBorder="1" applyAlignment="1" applyProtection="1">
      <alignment horizontal="left" vertical="center" wrapText="1" indent="1"/>
    </xf>
    <xf numFmtId="0" fontId="23" fillId="0" borderId="34" xfId="8" applyFont="1" applyFill="1" applyBorder="1" applyAlignment="1" applyProtection="1">
      <alignment horizontal="left" vertical="center" wrapText="1" indent="1"/>
    </xf>
    <xf numFmtId="49" fontId="23" fillId="0" borderId="5" xfId="8" applyNumberFormat="1" applyFont="1" applyFill="1" applyBorder="1" applyAlignment="1" applyProtection="1">
      <alignment horizontal="left" vertical="center" wrapText="1" indent="1"/>
    </xf>
    <xf numFmtId="0" fontId="23" fillId="0" borderId="10" xfId="8" applyFont="1" applyFill="1" applyBorder="1" applyAlignment="1" applyProtection="1">
      <alignment horizontal="left" vertical="center" wrapText="1" indent="1"/>
    </xf>
    <xf numFmtId="3" fontId="34" fillId="0" borderId="35" xfId="8" applyNumberFormat="1" applyFont="1" applyFill="1" applyBorder="1" applyAlignment="1" applyProtection="1">
      <alignment horizontal="right" vertical="center" wrapText="1" indent="1"/>
    </xf>
    <xf numFmtId="3" fontId="29" fillId="0" borderId="35" xfId="21" applyNumberFormat="1" applyFont="1" applyBorder="1" applyAlignment="1" applyProtection="1">
      <alignment horizontal="right" vertical="center" wrapText="1" indent="1"/>
    </xf>
    <xf numFmtId="0" fontId="29" fillId="0" borderId="18" xfId="21" applyFont="1" applyBorder="1" applyAlignment="1" applyProtection="1">
      <alignment horizontal="left" vertical="center" wrapText="1" indent="1"/>
    </xf>
    <xf numFmtId="0" fontId="29" fillId="0" borderId="8" xfId="21" applyFont="1" applyBorder="1" applyAlignment="1" applyProtection="1">
      <alignment horizontal="left" vertical="center" wrapText="1" indent="1"/>
    </xf>
    <xf numFmtId="3" fontId="34" fillId="0" borderId="35" xfId="8" applyNumberFormat="1" applyFont="1" applyFill="1" applyBorder="1" applyAlignment="1" applyProtection="1">
      <alignment horizontal="right" vertical="center" wrapText="1" indent="1"/>
      <protection locked="0"/>
    </xf>
    <xf numFmtId="3" fontId="23" fillId="0" borderId="35" xfId="8" applyNumberFormat="1" applyFont="1" applyFill="1" applyBorder="1" applyAlignment="1" applyProtection="1">
      <alignment horizontal="right" vertical="center" wrapText="1" indent="1"/>
      <protection locked="0"/>
    </xf>
    <xf numFmtId="3" fontId="40" fillId="0" borderId="0" xfId="8" applyNumberFormat="1" applyFont="1" applyFill="1" applyAlignment="1" applyProtection="1">
      <alignment horizontal="right" vertical="center" indent="1"/>
    </xf>
    <xf numFmtId="0" fontId="133" fillId="0" borderId="17" xfId="16" applyFont="1" applyFill="1" applyBorder="1" applyAlignment="1">
      <alignment horizontal="center" vertical="center" wrapText="1"/>
    </xf>
    <xf numFmtId="0" fontId="133" fillId="0" borderId="72" xfId="16" applyFont="1" applyFill="1" applyBorder="1" applyAlignment="1">
      <alignment horizontal="center" vertical="center"/>
    </xf>
    <xf numFmtId="0" fontId="133" fillId="0" borderId="36" xfId="16" applyFont="1" applyFill="1" applyBorder="1" applyAlignment="1">
      <alignment horizontal="center" vertical="center"/>
    </xf>
    <xf numFmtId="0" fontId="133" fillId="0" borderId="35" xfId="16" applyFont="1" applyFill="1" applyBorder="1" applyAlignment="1">
      <alignment horizontal="center" vertical="center"/>
    </xf>
    <xf numFmtId="0" fontId="133" fillId="0" borderId="0" xfId="16" applyFont="1" applyFill="1" applyBorder="1" applyAlignment="1">
      <alignment horizontal="center" vertical="center"/>
    </xf>
    <xf numFmtId="0" fontId="133" fillId="0" borderId="30" xfId="16" applyFont="1" applyBorder="1" applyAlignment="1">
      <alignment horizontal="center" vertical="center" wrapText="1"/>
    </xf>
    <xf numFmtId="0" fontId="133" fillId="0" borderId="74" xfId="16" applyFont="1" applyBorder="1" applyAlignment="1">
      <alignment horizontal="left" vertical="center" wrapText="1"/>
    </xf>
    <xf numFmtId="174" fontId="60" fillId="0" borderId="22" xfId="17" applyNumberFormat="1" applyFont="1" applyBorder="1" applyAlignment="1">
      <alignment horizontal="center" vertical="center"/>
    </xf>
    <xf numFmtId="165" fontId="31" fillId="0" borderId="17" xfId="8" applyNumberFormat="1" applyFont="1" applyFill="1" applyBorder="1" applyAlignment="1" applyProtection="1">
      <alignment horizontal="right" vertical="center" wrapText="1" indent="1"/>
    </xf>
    <xf numFmtId="0" fontId="134" fillId="0" borderId="74" xfId="16" applyFont="1" applyBorder="1" applyAlignment="1">
      <alignment horizontal="left" vertical="center" wrapText="1"/>
    </xf>
    <xf numFmtId="0" fontId="133" fillId="0" borderId="31" xfId="16" applyFont="1" applyBorder="1" applyAlignment="1">
      <alignment horizontal="center" vertical="center" wrapText="1"/>
    </xf>
    <xf numFmtId="0" fontId="133" fillId="0" borderId="71" xfId="16" applyFont="1" applyBorder="1" applyAlignment="1">
      <alignment horizontal="left" vertical="center" wrapText="1"/>
    </xf>
    <xf numFmtId="174" fontId="60" fillId="0" borderId="31" xfId="17" applyNumberFormat="1" applyFont="1" applyBorder="1" applyAlignment="1">
      <alignment horizontal="center" vertical="center"/>
    </xf>
    <xf numFmtId="174" fontId="31" fillId="0" borderId="31" xfId="17" applyNumberFormat="1" applyFont="1" applyBorder="1" applyAlignment="1">
      <alignment horizontal="right" vertical="center"/>
    </xf>
    <xf numFmtId="0" fontId="133" fillId="0" borderId="22" xfId="16" applyFont="1" applyBorder="1" applyAlignment="1">
      <alignment horizontal="center" vertical="center" wrapText="1"/>
    </xf>
    <xf numFmtId="0" fontId="133" fillId="0" borderId="40" xfId="16" applyFont="1" applyBorder="1" applyAlignment="1">
      <alignment horizontal="left" vertical="center"/>
    </xf>
    <xf numFmtId="174" fontId="60" fillId="0" borderId="22" xfId="17" applyNumberFormat="1" applyFont="1" applyBorder="1" applyAlignment="1">
      <alignment horizontal="right" vertical="center"/>
    </xf>
    <xf numFmtId="0" fontId="133" fillId="0" borderId="40" xfId="16" applyFont="1" applyBorder="1" applyAlignment="1">
      <alignment horizontal="left" vertical="center" wrapText="1"/>
    </xf>
    <xf numFmtId="174" fontId="74" fillId="0" borderId="22" xfId="17" applyNumberFormat="1" applyFont="1" applyBorder="1" applyAlignment="1">
      <alignment horizontal="right" vertical="center" wrapText="1"/>
    </xf>
    <xf numFmtId="0" fontId="133" fillId="0" borderId="24" xfId="16" applyFont="1" applyBorder="1" applyAlignment="1">
      <alignment horizontal="center" vertical="center" wrapText="1"/>
    </xf>
    <xf numFmtId="0" fontId="134" fillId="0" borderId="76" xfId="16" applyFont="1" applyBorder="1" applyAlignment="1">
      <alignment horizontal="left" vertical="center"/>
    </xf>
    <xf numFmtId="174" fontId="74" fillId="0" borderId="24" xfId="17" applyNumberFormat="1" applyFont="1" applyFill="1" applyBorder="1" applyAlignment="1">
      <alignment horizontal="center" vertical="center"/>
    </xf>
    <xf numFmtId="174" fontId="30" fillId="0" borderId="24" xfId="17" applyNumberFormat="1" applyFont="1" applyFill="1" applyBorder="1" applyAlignment="1">
      <alignment horizontal="right" vertical="center"/>
    </xf>
    <xf numFmtId="0" fontId="133" fillId="0" borderId="76" xfId="16" applyFont="1" applyBorder="1" applyAlignment="1">
      <alignment horizontal="left" vertical="center" wrapText="1"/>
    </xf>
    <xf numFmtId="174" fontId="74" fillId="0" borderId="24" xfId="17" applyNumberFormat="1" applyFont="1" applyBorder="1" applyAlignment="1">
      <alignment horizontal="right" vertical="center" wrapText="1"/>
    </xf>
    <xf numFmtId="174" fontId="74" fillId="0" borderId="24" xfId="17" applyNumberFormat="1" applyFont="1" applyFill="1" applyBorder="1" applyAlignment="1">
      <alignment horizontal="right" vertical="center"/>
    </xf>
    <xf numFmtId="174" fontId="74" fillId="0" borderId="24" xfId="17" applyNumberFormat="1" applyFont="1" applyFill="1" applyBorder="1" applyAlignment="1">
      <alignment horizontal="right" vertical="center" wrapText="1"/>
    </xf>
    <xf numFmtId="0" fontId="134" fillId="0" borderId="76" xfId="16" applyFont="1" applyBorder="1" applyAlignment="1">
      <alignment horizontal="left" vertical="center" wrapText="1"/>
    </xf>
    <xf numFmtId="165" fontId="30" fillId="0" borderId="30" xfId="8" applyNumberFormat="1" applyFont="1" applyFill="1" applyBorder="1" applyAlignment="1" applyProtection="1">
      <alignment horizontal="right" vertical="center" wrapText="1" indent="1"/>
      <protection locked="0"/>
    </xf>
    <xf numFmtId="174" fontId="74" fillId="0" borderId="30" xfId="17" applyNumberFormat="1" applyFont="1" applyBorder="1" applyAlignment="1">
      <alignment horizontal="right" vertical="center" wrapText="1"/>
    </xf>
    <xf numFmtId="0" fontId="133" fillId="0" borderId="24" xfId="16" applyFont="1" applyBorder="1" applyAlignment="1">
      <alignment horizontal="center" vertical="center"/>
    </xf>
    <xf numFmtId="0" fontId="133" fillId="0" borderId="76" xfId="16" applyFont="1" applyBorder="1" applyAlignment="1">
      <alignment vertical="center"/>
    </xf>
    <xf numFmtId="174" fontId="60" fillId="0" borderId="24" xfId="17" applyNumberFormat="1" applyFont="1" applyBorder="1" applyAlignment="1">
      <alignment horizontal="center" vertical="center" wrapText="1"/>
    </xf>
    <xf numFmtId="174" fontId="60" fillId="0" borderId="24" xfId="17" applyNumberFormat="1" applyFont="1" applyBorder="1" applyAlignment="1">
      <alignment horizontal="right" vertical="center" wrapText="1"/>
    </xf>
    <xf numFmtId="0" fontId="134" fillId="0" borderId="24" xfId="16" applyFont="1" applyBorder="1" applyAlignment="1">
      <alignment vertical="center"/>
    </xf>
    <xf numFmtId="0" fontId="134" fillId="0" borderId="76" xfId="16" applyFont="1" applyBorder="1" applyAlignment="1">
      <alignment vertical="center"/>
    </xf>
    <xf numFmtId="174" fontId="74" fillId="0" borderId="24" xfId="17" applyNumberFormat="1" applyFont="1" applyBorder="1" applyAlignment="1">
      <alignment horizontal="right" vertical="center"/>
    </xf>
    <xf numFmtId="174" fontId="74" fillId="0" borderId="24" xfId="17" applyNumberFormat="1" applyFont="1" applyBorder="1" applyAlignment="1">
      <alignment horizontal="center" vertical="center"/>
    </xf>
    <xf numFmtId="174" fontId="30" fillId="0" borderId="24" xfId="17" applyNumberFormat="1" applyFont="1" applyBorder="1" applyAlignment="1">
      <alignment horizontal="right" vertical="center"/>
    </xf>
    <xf numFmtId="174" fontId="60" fillId="0" borderId="24" xfId="17" applyNumberFormat="1" applyFont="1" applyBorder="1" applyAlignment="1">
      <alignment horizontal="center" vertical="center"/>
    </xf>
    <xf numFmtId="174" fontId="60" fillId="0" borderId="24" xfId="17" applyNumberFormat="1" applyFont="1" applyBorder="1" applyAlignment="1">
      <alignment horizontal="right" vertical="center"/>
    </xf>
    <xf numFmtId="0" fontId="134" fillId="0" borderId="24" xfId="16" applyFont="1" applyBorder="1" applyAlignment="1">
      <alignment horizontal="center" vertical="center"/>
    </xf>
    <xf numFmtId="0" fontId="133" fillId="0" borderId="17" xfId="16" applyFont="1" applyBorder="1" applyAlignment="1">
      <alignment horizontal="center" vertical="center"/>
    </xf>
    <xf numFmtId="0" fontId="133" fillId="0" borderId="17" xfId="16" applyFont="1" applyFill="1" applyBorder="1" applyAlignment="1">
      <alignment horizontal="left" vertical="center" wrapText="1"/>
    </xf>
    <xf numFmtId="174" fontId="60" fillId="0" borderId="65" xfId="17" applyNumberFormat="1" applyFont="1" applyBorder="1" applyAlignment="1">
      <alignment horizontal="center" vertical="center"/>
    </xf>
    <xf numFmtId="174" fontId="60" fillId="0" borderId="65" xfId="17" applyNumberFormat="1" applyFont="1" applyBorder="1" applyAlignment="1">
      <alignment horizontal="right" vertical="center"/>
    </xf>
    <xf numFmtId="0" fontId="134" fillId="0" borderId="17" xfId="16" applyFont="1" applyBorder="1" applyAlignment="1">
      <alignment vertical="center"/>
    </xf>
    <xf numFmtId="0" fontId="133" fillId="0" borderId="17" xfId="16" applyFont="1" applyBorder="1" applyAlignment="1">
      <alignment vertical="center"/>
    </xf>
    <xf numFmtId="0" fontId="133" fillId="0" borderId="17" xfId="16" applyFont="1" applyFill="1" applyBorder="1" applyAlignment="1">
      <alignment horizontal="center" vertical="center"/>
    </xf>
    <xf numFmtId="0" fontId="133" fillId="0" borderId="27" xfId="16" applyFont="1" applyFill="1" applyBorder="1" applyAlignment="1">
      <alignment horizontal="center" vertical="center"/>
    </xf>
    <xf numFmtId="0" fontId="133" fillId="0" borderId="30" xfId="16" applyFont="1" applyBorder="1" applyAlignment="1">
      <alignment horizontal="center" vertical="center"/>
    </xf>
    <xf numFmtId="0" fontId="133" fillId="0" borderId="74" xfId="16" applyFont="1" applyBorder="1" applyAlignment="1">
      <alignment horizontal="left" vertical="center"/>
    </xf>
    <xf numFmtId="174" fontId="32" fillId="0" borderId="22" xfId="17" applyNumberFormat="1" applyFont="1" applyBorder="1" applyAlignment="1">
      <alignment horizontal="center" vertical="center"/>
    </xf>
    <xf numFmtId="0" fontId="134" fillId="0" borderId="74" xfId="16" applyFont="1" applyBorder="1" applyAlignment="1">
      <alignment vertical="center"/>
    </xf>
    <xf numFmtId="174" fontId="74" fillId="0" borderId="30" xfId="17" applyNumberFormat="1" applyFont="1" applyFill="1" applyBorder="1" applyAlignment="1">
      <alignment horizontal="right" vertical="center" wrapText="1"/>
    </xf>
    <xf numFmtId="0" fontId="74" fillId="0" borderId="24" xfId="16" applyFont="1" applyBorder="1" applyAlignment="1">
      <alignment vertical="center"/>
    </xf>
    <xf numFmtId="0" fontId="74" fillId="0" borderId="76" xfId="16" applyFont="1" applyBorder="1" applyAlignment="1">
      <alignment vertical="center"/>
    </xf>
    <xf numFmtId="0" fontId="133" fillId="0" borderId="76" xfId="16" applyFont="1" applyFill="1" applyBorder="1" applyAlignment="1">
      <alignment horizontal="left" vertical="center" wrapText="1"/>
    </xf>
    <xf numFmtId="174" fontId="32" fillId="0" borderId="24" xfId="17" applyNumberFormat="1" applyFont="1" applyBorder="1" applyAlignment="1">
      <alignment horizontal="center" vertical="center"/>
    </xf>
    <xf numFmtId="174" fontId="32" fillId="0" borderId="24" xfId="17" applyNumberFormat="1" applyFont="1" applyBorder="1" applyAlignment="1">
      <alignment horizontal="right" vertical="center"/>
    </xf>
    <xf numFmtId="174" fontId="74" fillId="0" borderId="65" xfId="17" applyNumberFormat="1" applyFont="1" applyBorder="1" applyAlignment="1">
      <alignment horizontal="center" vertical="center"/>
    </xf>
    <xf numFmtId="0" fontId="74" fillId="0" borderId="17" xfId="16" applyFont="1" applyBorder="1" applyAlignment="1">
      <alignment vertical="center"/>
    </xf>
    <xf numFmtId="0" fontId="31" fillId="0" borderId="17" xfId="16" applyFont="1" applyBorder="1" applyAlignment="1">
      <alignment vertical="center"/>
    </xf>
    <xf numFmtId="174" fontId="74" fillId="0" borderId="19" xfId="17" applyNumberFormat="1" applyFont="1" applyBorder="1" applyAlignment="1">
      <alignment horizontal="right" vertical="center"/>
    </xf>
    <xf numFmtId="174" fontId="74" fillId="0" borderId="22" xfId="17" applyNumberFormat="1" applyFont="1" applyBorder="1" applyAlignment="1">
      <alignment horizontal="center" vertical="center"/>
    </xf>
    <xf numFmtId="174" fontId="30" fillId="0" borderId="30" xfId="17" applyNumberFormat="1" applyFont="1" applyBorder="1" applyAlignment="1">
      <alignment horizontal="center" vertical="center"/>
    </xf>
    <xf numFmtId="174" fontId="74" fillId="0" borderId="22" xfId="17" applyNumberFormat="1" applyFont="1" applyBorder="1" applyAlignment="1">
      <alignment horizontal="right" vertical="center"/>
    </xf>
    <xf numFmtId="174" fontId="30" fillId="0" borderId="24" xfId="17" applyNumberFormat="1" applyFont="1" applyBorder="1" applyAlignment="1">
      <alignment horizontal="center" vertical="center"/>
    </xf>
    <xf numFmtId="0" fontId="134" fillId="0" borderId="76" xfId="16" applyFont="1" applyFill="1" applyBorder="1" applyAlignment="1">
      <alignment horizontal="left" vertical="center" wrapText="1"/>
    </xf>
    <xf numFmtId="174" fontId="74" fillId="0" borderId="26" xfId="17" applyNumberFormat="1" applyFont="1" applyBorder="1" applyAlignment="1">
      <alignment horizontal="right" vertical="center"/>
    </xf>
    <xf numFmtId="0" fontId="133" fillId="0" borderId="25" xfId="16" applyFont="1" applyBorder="1" applyAlignment="1">
      <alignment horizontal="center" vertical="center" wrapText="1"/>
    </xf>
    <xf numFmtId="0" fontId="134" fillId="0" borderId="26" xfId="16" applyFont="1" applyFill="1" applyBorder="1" applyAlignment="1">
      <alignment horizontal="left" vertical="center" wrapText="1"/>
    </xf>
    <xf numFmtId="174" fontId="74" fillId="0" borderId="23" xfId="17" applyNumberFormat="1" applyFont="1" applyBorder="1" applyAlignment="1">
      <alignment horizontal="center" vertical="center"/>
    </xf>
    <xf numFmtId="174" fontId="30" fillId="0" borderId="23" xfId="17" applyNumberFormat="1" applyFont="1" applyBorder="1" applyAlignment="1">
      <alignment horizontal="right" vertical="center"/>
    </xf>
    <xf numFmtId="0" fontId="134" fillId="0" borderId="77" xfId="16" applyFont="1" applyFill="1" applyBorder="1" applyAlignment="1">
      <alignment horizontal="left" vertical="center" wrapText="1"/>
    </xf>
    <xf numFmtId="174" fontId="74" fillId="0" borderId="31" xfId="17" applyNumberFormat="1" applyFont="1" applyBorder="1" applyAlignment="1">
      <alignment horizontal="right" vertical="center"/>
    </xf>
    <xf numFmtId="174" fontId="30" fillId="0" borderId="17" xfId="17" applyNumberFormat="1" applyFont="1" applyBorder="1" applyAlignment="1">
      <alignment horizontal="right" vertical="center"/>
    </xf>
    <xf numFmtId="0" fontId="133" fillId="0" borderId="26" xfId="16" applyFont="1" applyBorder="1" applyAlignment="1">
      <alignment horizontal="center" vertical="center" wrapText="1"/>
    </xf>
    <xf numFmtId="174" fontId="74" fillId="0" borderId="31" xfId="17" applyNumberFormat="1" applyFont="1" applyBorder="1" applyAlignment="1">
      <alignment horizontal="center" vertical="center"/>
    </xf>
    <xf numFmtId="174" fontId="30" fillId="0" borderId="26" xfId="17" applyNumberFormat="1" applyFont="1" applyBorder="1" applyAlignment="1">
      <alignment horizontal="center" vertical="center"/>
    </xf>
    <xf numFmtId="0" fontId="133" fillId="0" borderId="17" xfId="16" applyFont="1" applyBorder="1" applyAlignment="1">
      <alignment horizontal="center" vertical="center" wrapText="1"/>
    </xf>
    <xf numFmtId="0" fontId="134" fillId="0" borderId="17" xfId="16" applyFont="1" applyFill="1" applyBorder="1" applyAlignment="1">
      <alignment horizontal="left" vertical="center" wrapText="1"/>
    </xf>
    <xf numFmtId="174" fontId="74" fillId="0" borderId="17" xfId="17" applyNumberFormat="1" applyFont="1" applyBorder="1" applyAlignment="1">
      <alignment horizontal="center" vertical="center"/>
    </xf>
    <xf numFmtId="0" fontId="133" fillId="0" borderId="78" xfId="16" applyFont="1" applyBorder="1" applyAlignment="1">
      <alignment horizontal="center" vertical="center" wrapText="1"/>
    </xf>
    <xf numFmtId="0" fontId="134" fillId="0" borderId="22" xfId="16" applyFont="1" applyBorder="1" applyAlignment="1">
      <alignment horizontal="left" vertical="center" wrapText="1"/>
    </xf>
    <xf numFmtId="174" fontId="74" fillId="0" borderId="20" xfId="17" applyNumberFormat="1" applyFont="1" applyBorder="1" applyAlignment="1">
      <alignment horizontal="center" vertical="center"/>
    </xf>
    <xf numFmtId="174" fontId="30" fillId="0" borderId="20" xfId="17" applyNumberFormat="1" applyFont="1" applyBorder="1" applyAlignment="1">
      <alignment horizontal="right" vertical="center"/>
    </xf>
    <xf numFmtId="0" fontId="133" fillId="0" borderId="23" xfId="16" applyFont="1" applyBorder="1" applyAlignment="1">
      <alignment horizontal="center" vertical="center" wrapText="1"/>
    </xf>
    <xf numFmtId="0" fontId="134" fillId="0" borderId="24" xfId="16" applyFont="1" applyBorder="1" applyAlignment="1">
      <alignment horizontal="left" vertical="center" wrapText="1"/>
    </xf>
    <xf numFmtId="0" fontId="134" fillId="0" borderId="24" xfId="16" applyFont="1" applyFill="1" applyBorder="1" applyAlignment="1">
      <alignment horizontal="left" vertical="center" wrapText="1"/>
    </xf>
    <xf numFmtId="0" fontId="133" fillId="0" borderId="15" xfId="16" applyFont="1" applyBorder="1" applyAlignment="1">
      <alignment horizontal="center" vertical="center" wrapText="1"/>
    </xf>
    <xf numFmtId="0" fontId="134" fillId="0" borderId="31" xfId="16" applyFont="1" applyFill="1" applyBorder="1" applyAlignment="1">
      <alignment horizontal="left" vertical="center" wrapText="1"/>
    </xf>
    <xf numFmtId="174" fontId="74" fillId="0" borderId="66" xfId="17" applyNumberFormat="1" applyFont="1" applyBorder="1" applyAlignment="1">
      <alignment horizontal="center" vertical="center"/>
    </xf>
    <xf numFmtId="174" fontId="30" fillId="0" borderId="18" xfId="17" applyNumberFormat="1" applyFont="1" applyBorder="1" applyAlignment="1">
      <alignment horizontal="right" vertical="center"/>
    </xf>
    <xf numFmtId="0" fontId="133" fillId="0" borderId="19" xfId="16" applyFont="1" applyBorder="1" applyAlignment="1">
      <alignment horizontal="center" vertical="center" wrapText="1"/>
    </xf>
    <xf numFmtId="0" fontId="134" fillId="0" borderId="35" xfId="16" applyFont="1" applyFill="1" applyBorder="1" applyAlignment="1">
      <alignment horizontal="left" vertical="center" wrapText="1"/>
    </xf>
    <xf numFmtId="0" fontId="135" fillId="0" borderId="19" xfId="16" applyFont="1" applyBorder="1" applyAlignment="1">
      <alignment vertical="center"/>
    </xf>
    <xf numFmtId="0" fontId="136" fillId="0" borderId="18" xfId="16" applyFont="1" applyBorder="1" applyAlignment="1">
      <alignment vertical="center"/>
    </xf>
    <xf numFmtId="174" fontId="136" fillId="0" borderId="19" xfId="16" applyNumberFormat="1" applyFont="1" applyBorder="1" applyAlignment="1">
      <alignment horizontal="center" vertical="center"/>
    </xf>
    <xf numFmtId="174" fontId="136" fillId="0" borderId="19" xfId="16" applyNumberFormat="1" applyFont="1" applyBorder="1" applyAlignment="1">
      <alignment vertical="center"/>
    </xf>
    <xf numFmtId="0" fontId="135" fillId="0" borderId="17" xfId="16" applyFont="1" applyBorder="1" applyAlignment="1">
      <alignment vertical="center"/>
    </xf>
    <xf numFmtId="0" fontId="136" fillId="0" borderId="72" xfId="16" applyFont="1" applyBorder="1" applyAlignment="1">
      <alignment horizontal="center" vertical="center"/>
    </xf>
    <xf numFmtId="174" fontId="136" fillId="0" borderId="17" xfId="16" applyNumberFormat="1" applyFont="1" applyBorder="1" applyAlignment="1">
      <alignment horizontal="right" vertical="center"/>
    </xf>
    <xf numFmtId="0" fontId="74" fillId="0" borderId="0" xfId="16" applyFont="1" applyAlignment="1">
      <alignment vertical="center"/>
    </xf>
    <xf numFmtId="0" fontId="74" fillId="0" borderId="0" xfId="16" applyFont="1" applyAlignment="1">
      <alignment horizontal="center" vertical="center"/>
    </xf>
    <xf numFmtId="0" fontId="30" fillId="0" borderId="0" xfId="16" applyFont="1" applyAlignment="1">
      <alignment vertical="center"/>
    </xf>
    <xf numFmtId="174" fontId="74" fillId="0" borderId="0" xfId="16" applyNumberFormat="1" applyFont="1" applyAlignment="1">
      <alignment vertical="center"/>
    </xf>
    <xf numFmtId="0" fontId="119" fillId="0" borderId="17" xfId="20" applyFont="1" applyBorder="1" applyAlignment="1">
      <alignment horizontal="left"/>
    </xf>
    <xf numFmtId="0" fontId="120" fillId="0" borderId="29" xfId="20" applyFont="1" applyBorder="1"/>
    <xf numFmtId="167" fontId="120" fillId="0" borderId="48" xfId="1" applyNumberFormat="1" applyFont="1" applyBorder="1"/>
    <xf numFmtId="0" fontId="47" fillId="0" borderId="3" xfId="20" applyFont="1" applyBorder="1"/>
    <xf numFmtId="167" fontId="47" fillId="0" borderId="9" xfId="1" applyNumberFormat="1" applyFont="1" applyBorder="1"/>
    <xf numFmtId="0" fontId="120" fillId="0" borderId="3" xfId="20" applyFont="1" applyBorder="1"/>
    <xf numFmtId="167" fontId="120" fillId="0" borderId="9" xfId="1" applyNumberFormat="1" applyFont="1" applyBorder="1"/>
    <xf numFmtId="0" fontId="120" fillId="0" borderId="5" xfId="20" applyFont="1" applyBorder="1"/>
    <xf numFmtId="167" fontId="120" fillId="0" borderId="54" xfId="1" applyNumberFormat="1" applyFont="1" applyBorder="1"/>
    <xf numFmtId="167" fontId="119" fillId="0" borderId="17" xfId="20" applyNumberFormat="1" applyFont="1" applyBorder="1"/>
    <xf numFmtId="0" fontId="24" fillId="0" borderId="3" xfId="8" applyFont="1" applyFill="1" applyBorder="1" applyAlignment="1" applyProtection="1">
      <alignment horizontal="left" vertical="center" wrapText="1" indent="1"/>
    </xf>
    <xf numFmtId="167" fontId="32" fillId="0" borderId="1" xfId="1" applyNumberFormat="1" applyFont="1" applyFill="1" applyBorder="1" applyAlignment="1" applyProtection="1">
      <alignment horizontal="right" vertical="center" wrapText="1" indent="1"/>
    </xf>
    <xf numFmtId="167" fontId="33" fillId="0" borderId="1" xfId="1" applyNumberFormat="1" applyFont="1" applyFill="1" applyBorder="1" applyAlignment="1" applyProtection="1">
      <alignment horizontal="right" vertical="center" wrapText="1" indent="1"/>
    </xf>
    <xf numFmtId="167" fontId="33" fillId="0" borderId="9" xfId="1" applyNumberFormat="1" applyFont="1" applyFill="1" applyBorder="1" applyAlignment="1" applyProtection="1">
      <alignment horizontal="right" vertical="center" wrapText="1" indent="1"/>
    </xf>
    <xf numFmtId="0" fontId="31" fillId="0" borderId="3" xfId="0" applyFont="1" applyBorder="1" applyAlignment="1" applyProtection="1">
      <alignment horizontal="left" vertical="center" wrapText="1" indent="1"/>
    </xf>
    <xf numFmtId="167" fontId="33" fillId="0" borderId="1" xfId="1" applyNumberFormat="1" applyFont="1" applyFill="1" applyBorder="1" applyProtection="1"/>
    <xf numFmtId="167" fontId="33" fillId="0" borderId="9" xfId="1" applyNumberFormat="1" applyFont="1" applyFill="1" applyBorder="1" applyProtection="1"/>
    <xf numFmtId="0" fontId="31" fillId="0" borderId="3" xfId="0" applyFont="1" applyBorder="1" applyAlignment="1" applyProtection="1">
      <alignment vertical="center" wrapText="1"/>
    </xf>
    <xf numFmtId="0" fontId="31" fillId="0" borderId="46" xfId="0" applyFont="1" applyBorder="1" applyAlignment="1" applyProtection="1">
      <alignment vertical="center" wrapText="1"/>
    </xf>
    <xf numFmtId="0" fontId="29" fillId="0" borderId="62" xfId="0" applyFont="1" applyBorder="1" applyAlignment="1" applyProtection="1">
      <alignment horizontal="left" vertical="center" wrapText="1" indent="1"/>
    </xf>
    <xf numFmtId="0" fontId="24" fillId="0" borderId="3" xfId="8" applyFont="1" applyFill="1" applyBorder="1" applyAlignment="1" applyProtection="1">
      <alignment vertical="center" wrapText="1"/>
    </xf>
    <xf numFmtId="0" fontId="25" fillId="0" borderId="3" xfId="8" applyFont="1" applyFill="1" applyBorder="1" applyAlignment="1" applyProtection="1">
      <alignment horizontal="left" vertical="center" wrapText="1" indent="1"/>
    </xf>
    <xf numFmtId="0" fontId="30" fillId="0" borderId="3" xfId="0" applyFont="1" applyBorder="1" applyAlignment="1" applyProtection="1">
      <alignment horizontal="left" vertical="center" wrapText="1" indent="1"/>
    </xf>
    <xf numFmtId="0" fontId="32" fillId="0" borderId="3" xfId="8" applyFont="1" applyFill="1" applyBorder="1" applyAlignment="1" applyProtection="1">
      <alignment horizontal="left" vertical="center" wrapText="1" indent="1"/>
    </xf>
    <xf numFmtId="0" fontId="29" fillId="0" borderId="46" xfId="0" applyFont="1" applyBorder="1" applyAlignment="1" applyProtection="1">
      <alignment horizontal="left" vertical="center" wrapText="1" indent="1"/>
    </xf>
    <xf numFmtId="165" fontId="33" fillId="0" borderId="0" xfId="8" applyNumberFormat="1" applyFont="1" applyFill="1" applyProtection="1"/>
    <xf numFmtId="0" fontId="137" fillId="0" borderId="17" xfId="20" applyFont="1" applyBorder="1" applyAlignment="1">
      <alignment horizontal="center" vertical="center"/>
    </xf>
    <xf numFmtId="0" fontId="138" fillId="0" borderId="0" xfId="20" applyFont="1"/>
    <xf numFmtId="0" fontId="137" fillId="0" borderId="17" xfId="20" applyFont="1" applyBorder="1"/>
    <xf numFmtId="167" fontId="137" fillId="0" borderId="17" xfId="20" applyNumberFormat="1" applyFont="1" applyBorder="1"/>
    <xf numFmtId="167" fontId="137" fillId="0" borderId="17" xfId="23" applyNumberFormat="1" applyFont="1" applyBorder="1"/>
    <xf numFmtId="0" fontId="140" fillId="0" borderId="30" xfId="20" applyFont="1" applyBorder="1"/>
    <xf numFmtId="167" fontId="138" fillId="0" borderId="30" xfId="23" applyNumberFormat="1" applyFont="1" applyBorder="1"/>
    <xf numFmtId="0" fontId="140" fillId="0" borderId="24" xfId="20" applyFont="1" applyBorder="1"/>
    <xf numFmtId="167" fontId="138" fillId="0" borderId="24" xfId="23" applyNumberFormat="1" applyFont="1" applyBorder="1"/>
    <xf numFmtId="0" fontId="140" fillId="0" borderId="26" xfId="20" applyFont="1" applyBorder="1"/>
    <xf numFmtId="167" fontId="138" fillId="0" borderId="26" xfId="23" applyNumberFormat="1" applyFont="1" applyBorder="1"/>
    <xf numFmtId="167" fontId="138" fillId="0" borderId="17" xfId="23" applyNumberFormat="1" applyFont="1" applyBorder="1"/>
    <xf numFmtId="0" fontId="139" fillId="0" borderId="17" xfId="20" applyFont="1" applyBorder="1"/>
    <xf numFmtId="167" fontId="139" fillId="0" borderId="17" xfId="20" applyNumberFormat="1" applyFont="1" applyBorder="1"/>
    <xf numFmtId="3" fontId="138" fillId="0" borderId="0" xfId="20" applyNumberFormat="1" applyFont="1"/>
    <xf numFmtId="0" fontId="140" fillId="0" borderId="0" xfId="20" applyFont="1" applyAlignment="1">
      <alignment horizontal="right"/>
    </xf>
    <xf numFmtId="3" fontId="137" fillId="0" borderId="17" xfId="20" applyNumberFormat="1" applyFont="1" applyBorder="1" applyAlignment="1">
      <alignment horizontal="center"/>
    </xf>
    <xf numFmtId="0" fontId="137" fillId="0" borderId="17" xfId="20" applyFont="1" applyBorder="1" applyAlignment="1">
      <alignment horizontal="center"/>
    </xf>
    <xf numFmtId="3" fontId="137" fillId="0" borderId="17" xfId="20" applyNumberFormat="1" applyFont="1" applyBorder="1"/>
    <xf numFmtId="3" fontId="140" fillId="0" borderId="30" xfId="20" applyNumberFormat="1" applyFont="1" applyBorder="1"/>
    <xf numFmtId="3" fontId="140" fillId="0" borderId="24" xfId="20" applyNumberFormat="1" applyFont="1" applyBorder="1"/>
    <xf numFmtId="3" fontId="139" fillId="0" borderId="17" xfId="20" applyNumberFormat="1" applyFont="1" applyBorder="1" applyAlignment="1">
      <alignment horizontal="center"/>
    </xf>
    <xf numFmtId="167" fontId="138" fillId="0" borderId="0" xfId="20" applyNumberFormat="1" applyFont="1"/>
    <xf numFmtId="0" fontId="14" fillId="0" borderId="17" xfId="8" applyFont="1" applyFill="1" applyBorder="1" applyAlignment="1" applyProtection="1">
      <alignment horizontal="center" vertical="center" wrapText="1"/>
    </xf>
    <xf numFmtId="0" fontId="24" fillId="0" borderId="17" xfId="8" applyFont="1" applyFill="1" applyBorder="1" applyAlignment="1" applyProtection="1">
      <alignment horizontal="center" vertical="center" wrapText="1"/>
    </xf>
    <xf numFmtId="0" fontId="14" fillId="0" borderId="57" xfId="8" applyFont="1" applyFill="1" applyBorder="1" applyAlignment="1" applyProtection="1">
      <alignment horizontal="center" vertical="center" wrapText="1"/>
    </xf>
    <xf numFmtId="165" fontId="38" fillId="0" borderId="18" xfId="8" applyNumberFormat="1" applyFont="1" applyFill="1" applyBorder="1" applyAlignment="1" applyProtection="1">
      <alignment vertical="center"/>
    </xf>
    <xf numFmtId="0" fontId="12" fillId="0" borderId="65" xfId="0" applyFont="1" applyFill="1" applyBorder="1" applyAlignment="1" applyProtection="1">
      <alignment horizontal="right" vertical="center"/>
    </xf>
    <xf numFmtId="0" fontId="14" fillId="0" borderId="14" xfId="8" applyFont="1" applyFill="1" applyBorder="1" applyAlignment="1" applyProtection="1">
      <alignment horizontal="center" vertical="center" wrapText="1"/>
    </xf>
    <xf numFmtId="165" fontId="25" fillId="0" borderId="22" xfId="8" applyNumberFormat="1" applyFont="1" applyFill="1" applyBorder="1" applyAlignment="1" applyProtection="1">
      <alignment horizontal="right" vertical="center" wrapText="1" indent="1"/>
    </xf>
    <xf numFmtId="165" fontId="38" fillId="0" borderId="18" xfId="8" applyNumberFormat="1" applyFont="1" applyFill="1" applyBorder="1" applyAlignment="1" applyProtection="1"/>
    <xf numFmtId="165" fontId="38" fillId="0" borderId="65" xfId="8" applyNumberFormat="1" applyFont="1" applyFill="1" applyBorder="1" applyAlignment="1" applyProtection="1">
      <alignment horizontal="right"/>
    </xf>
    <xf numFmtId="165" fontId="31" fillId="0" borderId="17" xfId="0" applyNumberFormat="1" applyFont="1" applyBorder="1" applyAlignment="1" applyProtection="1">
      <alignment horizontal="right" vertical="center" wrapText="1" indent="1"/>
    </xf>
    <xf numFmtId="165" fontId="29" fillId="0" borderId="17" xfId="0" quotePrefix="1" applyNumberFormat="1" applyFont="1" applyBorder="1" applyAlignment="1" applyProtection="1">
      <alignment horizontal="right" vertical="center" wrapText="1" indent="1"/>
    </xf>
    <xf numFmtId="0" fontId="133" fillId="0" borderId="72" xfId="16" applyFont="1" applyFill="1" applyBorder="1" applyAlignment="1">
      <alignment horizontal="center" vertical="center"/>
    </xf>
    <xf numFmtId="0" fontId="133" fillId="0" borderId="35" xfId="16" applyFont="1" applyFill="1" applyBorder="1" applyAlignment="1">
      <alignment horizontal="center" vertical="center"/>
    </xf>
    <xf numFmtId="0" fontId="92" fillId="0" borderId="24" xfId="20" applyFont="1" applyFill="1" applyBorder="1"/>
    <xf numFmtId="0" fontId="47" fillId="0" borderId="43" xfId="20" applyFont="1" applyFill="1" applyBorder="1" applyAlignment="1">
      <alignment horizontal="left" wrapText="1"/>
    </xf>
    <xf numFmtId="0" fontId="51" fillId="0" borderId="53" xfId="20" applyNumberFormat="1" applyFont="1" applyFill="1" applyBorder="1" applyAlignment="1">
      <alignment horizontal="right" vertical="center"/>
    </xf>
    <xf numFmtId="3" fontId="119" fillId="0" borderId="9" xfId="20" applyNumberFormat="1" applyFont="1" applyBorder="1"/>
    <xf numFmtId="0" fontId="47" fillId="0" borderId="3" xfId="20" applyFont="1" applyFill="1" applyBorder="1" applyAlignment="1">
      <alignment horizontal="left" vertical="center"/>
    </xf>
    <xf numFmtId="165" fontId="51" fillId="0" borderId="9" xfId="20" applyNumberFormat="1" applyFont="1" applyFill="1" applyBorder="1" applyAlignment="1">
      <alignment horizontal="right" vertical="center"/>
    </xf>
    <xf numFmtId="11" fontId="47" fillId="0" borderId="3" xfId="20" applyNumberFormat="1" applyFont="1" applyFill="1" applyBorder="1" applyAlignment="1">
      <alignment horizontal="left" vertical="center"/>
    </xf>
    <xf numFmtId="0" fontId="119" fillId="0" borderId="46" xfId="20" applyFont="1" applyBorder="1"/>
    <xf numFmtId="0" fontId="51" fillId="0" borderId="13" xfId="20" applyNumberFormat="1" applyFont="1" applyFill="1" applyBorder="1" applyAlignment="1">
      <alignment horizontal="right" vertical="center"/>
    </xf>
    <xf numFmtId="0" fontId="92" fillId="0" borderId="37" xfId="20" applyFont="1" applyFill="1" applyBorder="1"/>
    <xf numFmtId="0" fontId="14" fillId="0" borderId="17" xfId="8" applyFont="1" applyFill="1" applyBorder="1" applyAlignment="1" applyProtection="1">
      <alignment horizontal="center" vertical="center" wrapText="1"/>
    </xf>
    <xf numFmtId="0" fontId="24" fillId="0" borderId="17" xfId="8" applyFont="1" applyFill="1" applyBorder="1" applyAlignment="1" applyProtection="1">
      <alignment horizontal="center" vertical="center" wrapText="1"/>
    </xf>
    <xf numFmtId="3" fontId="124" fillId="0" borderId="30" xfId="20" applyNumberFormat="1" applyFont="1" applyFill="1" applyBorder="1" applyAlignment="1">
      <alignment horizontal="right" indent="2"/>
    </xf>
    <xf numFmtId="3" fontId="92" fillId="0" borderId="30" xfId="20" applyNumberFormat="1" applyFont="1" applyFill="1" applyBorder="1" applyAlignment="1">
      <alignment horizontal="right" indent="2"/>
    </xf>
    <xf numFmtId="0" fontId="92" fillId="0" borderId="67" xfId="20" applyFont="1" applyFill="1" applyBorder="1"/>
    <xf numFmtId="0" fontId="2" fillId="0" borderId="0" xfId="20" applyFont="1"/>
    <xf numFmtId="3" fontId="118" fillId="0" borderId="23" xfId="20" applyNumberFormat="1" applyFont="1" applyFill="1" applyBorder="1" applyAlignment="1">
      <alignment horizontal="right" indent="2"/>
    </xf>
    <xf numFmtId="0" fontId="92" fillId="0" borderId="23" xfId="20" applyFont="1" applyBorder="1" applyAlignment="1">
      <alignment horizontal="center" vertical="center"/>
    </xf>
    <xf numFmtId="3" fontId="118" fillId="0" borderId="37" xfId="20" applyNumberFormat="1" applyFont="1" applyFill="1" applyBorder="1" applyAlignment="1">
      <alignment horizontal="right" indent="2"/>
    </xf>
    <xf numFmtId="0" fontId="92" fillId="0" borderId="25" xfId="20" applyFont="1" applyBorder="1" applyAlignment="1">
      <alignment horizontal="center" vertical="center"/>
    </xf>
    <xf numFmtId="3" fontId="118" fillId="0" borderId="41" xfId="20" applyNumberFormat="1" applyFont="1" applyFill="1" applyBorder="1" applyAlignment="1">
      <alignment horizontal="right" indent="2"/>
    </xf>
    <xf numFmtId="3" fontId="118" fillId="0" borderId="56" xfId="20" applyNumberFormat="1" applyFont="1" applyFill="1" applyBorder="1" applyAlignment="1">
      <alignment horizontal="right" indent="2"/>
    </xf>
    <xf numFmtId="0" fontId="118" fillId="0" borderId="22" xfId="20" applyFont="1" applyFill="1" applyBorder="1"/>
    <xf numFmtId="0" fontId="125" fillId="0" borderId="30" xfId="20" applyFont="1" applyFill="1" applyBorder="1"/>
    <xf numFmtId="0" fontId="125" fillId="0" borderId="24" xfId="20" applyFont="1" applyFill="1" applyBorder="1"/>
    <xf numFmtId="0" fontId="125" fillId="0" borderId="26" xfId="20" applyFont="1" applyFill="1" applyBorder="1"/>
    <xf numFmtId="0" fontId="141" fillId="0" borderId="24" xfId="0" applyFont="1" applyBorder="1" applyAlignment="1">
      <alignment vertical="center"/>
    </xf>
    <xf numFmtId="0" fontId="141" fillId="0" borderId="24" xfId="0" applyFont="1" applyBorder="1"/>
    <xf numFmtId="0" fontId="118" fillId="0" borderId="31" xfId="20" applyFont="1" applyFill="1" applyBorder="1"/>
    <xf numFmtId="3" fontId="118" fillId="0" borderId="31" xfId="20" applyNumberFormat="1" applyFont="1" applyFill="1" applyBorder="1" applyAlignment="1">
      <alignment horizontal="right" indent="1"/>
    </xf>
    <xf numFmtId="3" fontId="118" fillId="0" borderId="22" xfId="20" applyNumberFormat="1" applyFont="1" applyFill="1" applyBorder="1" applyAlignment="1">
      <alignment horizontal="right"/>
    </xf>
    <xf numFmtId="3" fontId="118" fillId="0" borderId="56" xfId="20" applyNumberFormat="1" applyFont="1" applyFill="1" applyBorder="1" applyAlignment="1">
      <alignment horizontal="center"/>
    </xf>
    <xf numFmtId="49" fontId="58" fillId="0" borderId="58" xfId="20" applyNumberFormat="1" applyFont="1" applyBorder="1" applyAlignment="1">
      <alignment horizontal="left" vertical="center" wrapText="1"/>
    </xf>
    <xf numFmtId="3" fontId="58" fillId="0" borderId="21" xfId="20" applyNumberFormat="1" applyFont="1" applyFill="1" applyBorder="1" applyAlignment="1">
      <alignment horizontal="right" vertical="center" wrapText="1" indent="2"/>
    </xf>
    <xf numFmtId="3" fontId="118" fillId="0" borderId="76" xfId="20" applyNumberFormat="1" applyFont="1" applyFill="1" applyBorder="1" applyAlignment="1">
      <alignment horizontal="right" indent="2"/>
    </xf>
    <xf numFmtId="3" fontId="118" fillId="0" borderId="71" xfId="20" applyNumberFormat="1" applyFont="1" applyFill="1" applyBorder="1" applyAlignment="1">
      <alignment horizontal="right" indent="2"/>
    </xf>
    <xf numFmtId="3" fontId="58" fillId="0" borderId="71" xfId="20" applyNumberFormat="1" applyFont="1" applyBorder="1" applyAlignment="1">
      <alignment horizontal="right" indent="2"/>
    </xf>
    <xf numFmtId="3" fontId="92" fillId="0" borderId="23" xfId="20" applyNumberFormat="1" applyFont="1" applyFill="1" applyBorder="1" applyAlignment="1">
      <alignment horizontal="right" indent="2"/>
    </xf>
    <xf numFmtId="1" fontId="92" fillId="0" borderId="24" xfId="20" applyNumberFormat="1" applyFont="1" applyBorder="1" applyAlignment="1">
      <alignment horizontal="right" indent="2"/>
    </xf>
    <xf numFmtId="174" fontId="60" fillId="0" borderId="19" xfId="17" applyNumberFormat="1" applyFont="1" applyBorder="1" applyAlignment="1">
      <alignment horizontal="right" vertical="center"/>
    </xf>
    <xf numFmtId="165" fontId="34" fillId="0" borderId="17" xfId="8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45" xfId="8" applyFont="1" applyFill="1" applyBorder="1" applyAlignment="1" applyProtection="1">
      <alignment horizontal="left" vertical="center" wrapText="1" indent="1"/>
    </xf>
    <xf numFmtId="0" fontId="30" fillId="0" borderId="75" xfId="0" applyFont="1" applyBorder="1" applyAlignment="1" applyProtection="1">
      <alignment horizontal="left" wrapText="1" indent="1"/>
    </xf>
    <xf numFmtId="0" fontId="30" fillId="0" borderId="15" xfId="0" applyFont="1" applyBorder="1" applyAlignment="1" applyProtection="1">
      <alignment horizontal="left" wrapText="1" indent="1"/>
    </xf>
    <xf numFmtId="0" fontId="30" fillId="0" borderId="16" xfId="0" applyFont="1" applyBorder="1" applyAlignment="1" applyProtection="1">
      <alignment horizontal="left" wrapText="1" indent="1"/>
    </xf>
    <xf numFmtId="0" fontId="31" fillId="0" borderId="45" xfId="0" applyFont="1" applyBorder="1" applyAlignment="1" applyProtection="1">
      <alignment horizontal="left" vertical="center" wrapText="1" indent="1"/>
    </xf>
    <xf numFmtId="0" fontId="30" fillId="0" borderId="16" xfId="0" applyFont="1" applyBorder="1" applyAlignment="1" applyProtection="1">
      <alignment horizontal="left" vertical="center" wrapText="1" indent="1"/>
    </xf>
    <xf numFmtId="0" fontId="30" fillId="0" borderId="16" xfId="0" applyFont="1" applyBorder="1" applyAlignment="1" applyProtection="1">
      <alignment vertical="center" wrapText="1"/>
    </xf>
    <xf numFmtId="0" fontId="31" fillId="0" borderId="45" xfId="0" applyFont="1" applyBorder="1" applyAlignment="1" applyProtection="1">
      <alignment vertical="center" wrapText="1"/>
    </xf>
    <xf numFmtId="0" fontId="31" fillId="0" borderId="14" xfId="0" applyFont="1" applyBorder="1" applyAlignment="1" applyProtection="1">
      <alignment vertical="center" wrapText="1"/>
    </xf>
    <xf numFmtId="165" fontId="25" fillId="0" borderId="76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77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74" xfId="8" applyNumberFormat="1" applyFont="1" applyFill="1" applyBorder="1" applyAlignment="1" applyProtection="1">
      <alignment horizontal="right" vertical="center" wrapText="1" indent="1"/>
    </xf>
    <xf numFmtId="165" fontId="33" fillId="0" borderId="77" xfId="8" applyNumberFormat="1" applyFont="1" applyFill="1" applyBorder="1" applyAlignment="1" applyProtection="1">
      <alignment horizontal="right" vertical="center" wrapText="1" indent="1"/>
      <protection locked="0"/>
    </xf>
    <xf numFmtId="165" fontId="33" fillId="0" borderId="74" xfId="8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24" xfId="8" applyNumberFormat="1" applyFont="1" applyFill="1" applyBorder="1" applyAlignment="1" applyProtection="1">
      <alignment horizontal="right" vertical="center" wrapText="1" indent="1"/>
    </xf>
    <xf numFmtId="165" fontId="24" fillId="0" borderId="26" xfId="8" applyNumberFormat="1" applyFont="1" applyFill="1" applyBorder="1" applyAlignment="1" applyProtection="1">
      <alignment horizontal="right" vertical="center" wrapText="1" indent="1"/>
    </xf>
    <xf numFmtId="165" fontId="24" fillId="0" borderId="30" xfId="8" applyNumberFormat="1" applyFont="1" applyFill="1" applyBorder="1" applyAlignment="1" applyProtection="1">
      <alignment horizontal="right" vertical="center" wrapText="1" indent="1"/>
    </xf>
    <xf numFmtId="165" fontId="33" fillId="0" borderId="30" xfId="8" applyNumberFormat="1" applyFont="1" applyFill="1" applyBorder="1" applyAlignment="1" applyProtection="1">
      <alignment horizontal="right" vertical="center" wrapText="1" indent="1"/>
    </xf>
    <xf numFmtId="165" fontId="33" fillId="0" borderId="24" xfId="8" applyNumberFormat="1" applyFont="1" applyFill="1" applyBorder="1" applyAlignment="1" applyProtection="1">
      <alignment horizontal="right" vertical="center" wrapText="1" indent="1"/>
    </xf>
    <xf numFmtId="165" fontId="33" fillId="0" borderId="26" xfId="8" applyNumberFormat="1" applyFont="1" applyFill="1" applyBorder="1" applyAlignment="1" applyProtection="1">
      <alignment horizontal="right" vertical="center" wrapText="1" indent="1"/>
    </xf>
    <xf numFmtId="165" fontId="29" fillId="0" borderId="72" xfId="0" quotePrefix="1" applyNumberFormat="1" applyFont="1" applyBorder="1" applyAlignment="1" applyProtection="1">
      <alignment horizontal="right" vertical="center" wrapText="1" indent="1"/>
    </xf>
    <xf numFmtId="165" fontId="31" fillId="0" borderId="72" xfId="0" applyNumberFormat="1" applyFont="1" applyBorder="1" applyAlignment="1" applyProtection="1">
      <alignment horizontal="right" vertical="center" wrapText="1" indent="1"/>
    </xf>
    <xf numFmtId="0" fontId="24" fillId="0" borderId="45" xfId="8" applyFont="1" applyFill="1" applyBorder="1" applyAlignment="1" applyProtection="1">
      <alignment vertical="center" wrapText="1"/>
    </xf>
    <xf numFmtId="0" fontId="24" fillId="0" borderId="32" xfId="8" applyFont="1" applyFill="1" applyBorder="1" applyAlignment="1" applyProtection="1">
      <alignment vertical="center" wrapText="1"/>
    </xf>
    <xf numFmtId="0" fontId="25" fillId="0" borderId="39" xfId="8" applyFont="1" applyFill="1" applyBorder="1" applyAlignment="1" applyProtection="1">
      <alignment horizontal="left" vertical="center" wrapText="1" indent="1"/>
    </xf>
    <xf numFmtId="0" fontId="25" fillId="0" borderId="15" xfId="8" applyFont="1" applyFill="1" applyBorder="1" applyAlignment="1" applyProtection="1">
      <alignment horizontal="left" vertical="center" wrapText="1" indent="1"/>
    </xf>
    <xf numFmtId="0" fontId="25" fillId="0" borderId="15" xfId="8" applyFont="1" applyFill="1" applyBorder="1" applyAlignment="1" applyProtection="1">
      <alignment horizontal="left" indent="6"/>
    </xf>
    <xf numFmtId="0" fontId="25" fillId="0" borderId="15" xfId="8" applyFont="1" applyFill="1" applyBorder="1" applyAlignment="1" applyProtection="1">
      <alignment horizontal="left" vertical="center" wrapText="1" indent="6"/>
    </xf>
    <xf numFmtId="0" fontId="25" fillId="0" borderId="16" xfId="8" applyFont="1" applyFill="1" applyBorder="1" applyAlignment="1" applyProtection="1">
      <alignment horizontal="left" vertical="center" wrapText="1" indent="6"/>
    </xf>
    <xf numFmtId="0" fontId="25" fillId="0" borderId="42" xfId="8" applyFont="1" applyFill="1" applyBorder="1" applyAlignment="1" applyProtection="1">
      <alignment horizontal="left" vertical="center" wrapText="1" indent="6"/>
    </xf>
    <xf numFmtId="0" fontId="25" fillId="0" borderId="16" xfId="8" applyFont="1" applyFill="1" applyBorder="1" applyAlignment="1" applyProtection="1">
      <alignment horizontal="left" vertical="center" wrapText="1" indent="1"/>
    </xf>
    <xf numFmtId="0" fontId="30" fillId="0" borderId="15" xfId="0" applyFont="1" applyBorder="1" applyAlignment="1" applyProtection="1">
      <alignment horizontal="left" vertical="center" wrapText="1" indent="1"/>
    </xf>
    <xf numFmtId="0" fontId="25" fillId="0" borderId="75" xfId="8" applyFont="1" applyFill="1" applyBorder="1" applyAlignment="1" applyProtection="1">
      <alignment horizontal="left" vertical="center" wrapText="1" indent="6"/>
    </xf>
    <xf numFmtId="0" fontId="25" fillId="0" borderId="75" xfId="8" applyFont="1" applyFill="1" applyBorder="1" applyAlignment="1" applyProtection="1">
      <alignment horizontal="left" vertical="center" wrapText="1" indent="1"/>
    </xf>
    <xf numFmtId="0" fontId="25" fillId="0" borderId="44" xfId="8" applyFont="1" applyFill="1" applyBorder="1" applyAlignment="1" applyProtection="1">
      <alignment horizontal="left" vertical="center" wrapText="1" indent="1"/>
    </xf>
    <xf numFmtId="0" fontId="29" fillId="0" borderId="14" xfId="0" applyFont="1" applyBorder="1" applyAlignment="1" applyProtection="1">
      <alignment horizontal="left" vertical="center" wrapText="1" indent="1"/>
    </xf>
    <xf numFmtId="0" fontId="14" fillId="0" borderId="11" xfId="8" applyFont="1" applyFill="1" applyBorder="1" applyAlignment="1" applyProtection="1">
      <alignment horizontal="center" vertical="center" wrapText="1"/>
    </xf>
    <xf numFmtId="0" fontId="24" fillId="0" borderId="72" xfId="8" applyFont="1" applyFill="1" applyBorder="1" applyAlignment="1" applyProtection="1">
      <alignment horizontal="center" vertical="center" wrapText="1"/>
    </xf>
    <xf numFmtId="165" fontId="24" fillId="0" borderId="28" xfId="8" applyNumberFormat="1" applyFont="1" applyFill="1" applyBorder="1" applyAlignment="1" applyProtection="1">
      <alignment horizontal="right" vertical="center" wrapText="1" indent="1"/>
    </xf>
    <xf numFmtId="165" fontId="25" fillId="0" borderId="40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71" xfId="8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21" xfId="8" applyNumberFormat="1" applyFont="1" applyFill="1" applyBorder="1" applyAlignment="1" applyProtection="1">
      <alignment horizontal="right" vertical="center" wrapText="1" indent="1"/>
      <protection locked="0"/>
    </xf>
    <xf numFmtId="3" fontId="34" fillId="0" borderId="41" xfId="8" applyNumberFormat="1" applyFont="1" applyFill="1" applyBorder="1" applyAlignment="1" applyProtection="1">
      <alignment horizontal="right" vertical="center" wrapText="1" indent="1"/>
      <protection locked="0"/>
    </xf>
    <xf numFmtId="167" fontId="142" fillId="0" borderId="1" xfId="1" applyNumberFormat="1" applyFont="1" applyFill="1" applyBorder="1" applyAlignment="1" applyProtection="1">
      <alignment horizontal="right" vertical="center" wrapText="1" indent="1"/>
    </xf>
    <xf numFmtId="167" fontId="143" fillId="0" borderId="1" xfId="1" applyNumberFormat="1" applyFont="1" applyFill="1" applyBorder="1" applyAlignment="1" applyProtection="1">
      <alignment horizontal="right" vertical="center" wrapText="1" indent="1"/>
    </xf>
    <xf numFmtId="167" fontId="143" fillId="0" borderId="9" xfId="1" applyNumberFormat="1" applyFont="1" applyFill="1" applyBorder="1" applyAlignment="1" applyProtection="1">
      <alignment horizontal="right" vertical="center" wrapText="1" indent="1"/>
    </xf>
    <xf numFmtId="167" fontId="143" fillId="0" borderId="1" xfId="1" applyNumberFormat="1" applyFont="1" applyFill="1" applyBorder="1" applyProtection="1"/>
    <xf numFmtId="167" fontId="143" fillId="0" borderId="9" xfId="1" applyNumberFormat="1" applyFont="1" applyFill="1" applyBorder="1" applyProtection="1"/>
    <xf numFmtId="167" fontId="144" fillId="0" borderId="49" xfId="1" applyNumberFormat="1" applyFont="1" applyBorder="1" applyAlignment="1" applyProtection="1">
      <alignment horizontal="right" vertical="center" wrapText="1" indent="1"/>
    </xf>
    <xf numFmtId="167" fontId="143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165" fontId="142" fillId="0" borderId="0" xfId="8" applyNumberFormat="1" applyFont="1" applyFill="1" applyBorder="1" applyAlignment="1" applyProtection="1">
      <alignment horizontal="right" vertical="center" wrapText="1" indent="1"/>
    </xf>
    <xf numFmtId="165" fontId="145" fillId="0" borderId="0" xfId="8" applyNumberFormat="1" applyFont="1" applyFill="1" applyBorder="1" applyProtection="1"/>
    <xf numFmtId="0" fontId="145" fillId="0" borderId="0" xfId="8" applyFont="1" applyFill="1" applyBorder="1" applyProtection="1"/>
    <xf numFmtId="0" fontId="145" fillId="0" borderId="67" xfId="8" applyFont="1" applyFill="1" applyBorder="1" applyProtection="1"/>
    <xf numFmtId="165" fontId="142" fillId="0" borderId="33" xfId="8" applyNumberFormat="1" applyFont="1" applyFill="1" applyBorder="1" applyAlignment="1" applyProtection="1">
      <alignment horizontal="center" vertical="center"/>
    </xf>
    <xf numFmtId="165" fontId="142" fillId="0" borderId="53" xfId="8" applyNumberFormat="1" applyFont="1" applyFill="1" applyBorder="1" applyAlignment="1" applyProtection="1">
      <alignment horizontal="center" vertical="center"/>
    </xf>
    <xf numFmtId="167" fontId="146" fillId="0" borderId="1" xfId="1" applyNumberFormat="1" applyFont="1" applyFill="1" applyBorder="1" applyAlignment="1" applyProtection="1">
      <alignment vertical="center" wrapText="1"/>
    </xf>
    <xf numFmtId="167" fontId="146" fillId="0" borderId="9" xfId="1" applyNumberFormat="1" applyFont="1" applyFill="1" applyBorder="1" applyAlignment="1" applyProtection="1">
      <alignment vertical="center" wrapText="1"/>
    </xf>
    <xf numFmtId="167" fontId="145" fillId="0" borderId="1" xfId="1" applyNumberFormat="1" applyFont="1" applyFill="1" applyBorder="1" applyAlignment="1" applyProtection="1">
      <alignment vertical="center" wrapText="1"/>
      <protection locked="0"/>
    </xf>
    <xf numFmtId="167" fontId="145" fillId="0" borderId="9" xfId="1" applyNumberFormat="1" applyFont="1" applyFill="1" applyBorder="1" applyAlignment="1" applyProtection="1">
      <alignment vertical="center" wrapText="1"/>
      <protection locked="0"/>
    </xf>
    <xf numFmtId="167" fontId="143" fillId="0" borderId="1" xfId="1" applyNumberFormat="1" applyFont="1" applyFill="1" applyBorder="1" applyAlignment="1" applyProtection="1"/>
    <xf numFmtId="167" fontId="143" fillId="0" borderId="9" xfId="1" applyNumberFormat="1" applyFont="1" applyFill="1" applyBorder="1" applyAlignment="1" applyProtection="1"/>
    <xf numFmtId="167" fontId="143" fillId="0" borderId="1" xfId="1" applyNumberFormat="1" applyFont="1" applyFill="1" applyBorder="1" applyAlignment="1" applyProtection="1">
      <alignment vertical="center"/>
    </xf>
    <xf numFmtId="167" fontId="143" fillId="0" borderId="9" xfId="1" applyNumberFormat="1" applyFont="1" applyFill="1" applyBorder="1" applyAlignment="1" applyProtection="1">
      <alignment vertical="center"/>
    </xf>
    <xf numFmtId="167" fontId="142" fillId="0" borderId="1" xfId="1" applyNumberFormat="1" applyFont="1" applyFill="1" applyBorder="1" applyAlignment="1" applyProtection="1">
      <alignment vertical="center" wrapText="1"/>
    </xf>
    <xf numFmtId="167" fontId="144" fillId="0" borderId="1" xfId="1" applyNumberFormat="1" applyFont="1" applyBorder="1" applyAlignment="1" applyProtection="1">
      <alignment vertical="center" wrapText="1"/>
    </xf>
    <xf numFmtId="167" fontId="146" fillId="0" borderId="12" xfId="1" applyNumberFormat="1" applyFont="1" applyFill="1" applyBorder="1" applyAlignment="1" applyProtection="1">
      <alignment vertical="center" wrapText="1"/>
    </xf>
    <xf numFmtId="167" fontId="146" fillId="0" borderId="13" xfId="1" applyNumberFormat="1" applyFont="1" applyFill="1" applyBorder="1" applyAlignment="1" applyProtection="1">
      <alignment vertical="center" wrapText="1"/>
    </xf>
    <xf numFmtId="2" fontId="25" fillId="0" borderId="1" xfId="8" applyNumberFormat="1" applyFont="1" applyFill="1" applyBorder="1" applyAlignment="1" applyProtection="1">
      <alignment horizontal="right" vertical="center" wrapText="1" indent="1"/>
      <protection locked="0"/>
    </xf>
    <xf numFmtId="0" fontId="133" fillId="0" borderId="72" xfId="16" applyFont="1" applyFill="1" applyBorder="1" applyAlignment="1">
      <alignment horizontal="center" vertical="center"/>
    </xf>
    <xf numFmtId="0" fontId="133" fillId="0" borderId="35" xfId="16" applyFont="1" applyFill="1" applyBorder="1" applyAlignment="1">
      <alignment horizontal="center" vertical="center"/>
    </xf>
    <xf numFmtId="0" fontId="134" fillId="0" borderId="20" xfId="16" applyFont="1" applyBorder="1" applyAlignment="1">
      <alignment horizontal="left" vertical="center" wrapText="1"/>
    </xf>
    <xf numFmtId="175" fontId="74" fillId="0" borderId="22" xfId="17" applyNumberFormat="1" applyFont="1" applyBorder="1" applyAlignment="1">
      <alignment vertical="center" wrapText="1"/>
    </xf>
    <xf numFmtId="0" fontId="134" fillId="0" borderId="66" xfId="16" applyFont="1" applyBorder="1" applyAlignment="1">
      <alignment horizontal="left" vertical="center" wrapText="1"/>
    </xf>
    <xf numFmtId="175" fontId="74" fillId="0" borderId="31" xfId="17" applyNumberFormat="1" applyFont="1" applyBorder="1" applyAlignment="1">
      <alignment vertical="center" wrapText="1"/>
    </xf>
    <xf numFmtId="165" fontId="38" fillId="0" borderId="0" xfId="8" applyNumberFormat="1" applyFont="1" applyFill="1" applyBorder="1" applyAlignment="1" applyProtection="1"/>
    <xf numFmtId="0" fontId="12" fillId="0" borderId="0" xfId="0" applyFont="1" applyFill="1" applyBorder="1" applyAlignment="1" applyProtection="1">
      <alignment horizontal="right"/>
    </xf>
    <xf numFmtId="3" fontId="53" fillId="0" borderId="35" xfId="20" applyNumberFormat="1" applyFont="1" applyFill="1" applyBorder="1" applyAlignment="1">
      <alignment horizontal="right" vertical="center" wrapText="1" indent="2"/>
    </xf>
    <xf numFmtId="167" fontId="137" fillId="0" borderId="17" xfId="1" applyNumberFormat="1" applyFont="1" applyBorder="1"/>
    <xf numFmtId="0" fontId="133" fillId="0" borderId="72" xfId="16" applyFont="1" applyFill="1" applyBorder="1" applyAlignment="1">
      <alignment horizontal="center" vertical="center"/>
    </xf>
    <xf numFmtId="0" fontId="133" fillId="0" borderId="35" xfId="16" applyFont="1" applyFill="1" applyBorder="1" applyAlignment="1">
      <alignment horizontal="center" vertical="center"/>
    </xf>
    <xf numFmtId="0" fontId="24" fillId="0" borderId="17" xfId="8" applyFont="1" applyFill="1" applyBorder="1" applyAlignment="1" applyProtection="1">
      <alignment horizontal="center" vertical="center" wrapText="1"/>
    </xf>
    <xf numFmtId="0" fontId="14" fillId="0" borderId="57" xfId="8" applyFont="1" applyFill="1" applyBorder="1" applyAlignment="1" applyProtection="1">
      <alignment horizontal="center" vertical="center" wrapText="1"/>
    </xf>
    <xf numFmtId="0" fontId="74" fillId="0" borderId="72" xfId="16" applyFont="1" applyFill="1" applyBorder="1" applyAlignment="1">
      <alignment vertical="center"/>
    </xf>
    <xf numFmtId="0" fontId="74" fillId="0" borderId="35" xfId="16" applyFont="1" applyFill="1" applyBorder="1" applyAlignment="1">
      <alignment vertical="center"/>
    </xf>
    <xf numFmtId="0" fontId="14" fillId="0" borderId="64" xfId="8" applyFont="1" applyFill="1" applyBorder="1" applyAlignment="1" applyProtection="1">
      <alignment horizontal="center" vertical="center" wrapText="1"/>
    </xf>
    <xf numFmtId="0" fontId="17" fillId="0" borderId="28" xfId="8" applyFill="1" applyBorder="1" applyProtection="1"/>
    <xf numFmtId="0" fontId="17" fillId="0" borderId="58" xfId="8" applyFill="1" applyBorder="1" applyProtection="1"/>
    <xf numFmtId="0" fontId="17" fillId="0" borderId="11" xfId="8" applyFill="1" applyBorder="1" applyProtection="1"/>
    <xf numFmtId="0" fontId="36" fillId="0" borderId="65" xfId="8" applyFont="1" applyFill="1" applyBorder="1" applyAlignment="1" applyProtection="1">
      <alignment horizontal="right"/>
    </xf>
    <xf numFmtId="0" fontId="17" fillId="0" borderId="11" xfId="8" applyFont="1" applyFill="1" applyBorder="1" applyAlignment="1" applyProtection="1">
      <alignment horizontal="right" vertical="center" indent="1"/>
    </xf>
    <xf numFmtId="0" fontId="29" fillId="0" borderId="73" xfId="0" applyFont="1" applyBorder="1" applyAlignment="1" applyProtection="1">
      <alignment horizontal="left" vertical="center" wrapText="1" indent="1"/>
    </xf>
    <xf numFmtId="0" fontId="29" fillId="0" borderId="28" xfId="0" applyFont="1" applyBorder="1" applyAlignment="1" applyProtection="1">
      <alignment horizontal="left" vertical="center" wrapText="1" indent="1"/>
    </xf>
    <xf numFmtId="165" fontId="34" fillId="0" borderId="28" xfId="8" applyNumberFormat="1" applyFont="1" applyFill="1" applyBorder="1" applyAlignment="1" applyProtection="1">
      <alignment horizontal="right" vertical="center" wrapText="1" indent="1"/>
    </xf>
    <xf numFmtId="0" fontId="20" fillId="0" borderId="28" xfId="8" applyFont="1" applyFill="1" applyBorder="1" applyProtection="1"/>
    <xf numFmtId="165" fontId="20" fillId="0" borderId="58" xfId="8" applyNumberFormat="1" applyFont="1" applyFill="1" applyBorder="1" applyProtection="1"/>
    <xf numFmtId="0" fontId="17" fillId="0" borderId="0" xfId="8" applyFill="1" applyBorder="1" applyProtection="1"/>
    <xf numFmtId="165" fontId="20" fillId="0" borderId="67" xfId="8" applyNumberFormat="1" applyFont="1" applyFill="1" applyBorder="1" applyProtection="1"/>
    <xf numFmtId="0" fontId="17" fillId="0" borderId="11" xfId="8" applyFill="1" applyBorder="1" applyAlignment="1" applyProtection="1"/>
    <xf numFmtId="0" fontId="12" fillId="0" borderId="65" xfId="0" applyFont="1" applyFill="1" applyBorder="1" applyAlignment="1" applyProtection="1">
      <alignment horizontal="right"/>
    </xf>
    <xf numFmtId="165" fontId="20" fillId="0" borderId="28" xfId="8" applyNumberFormat="1" applyFont="1" applyFill="1" applyBorder="1" applyProtection="1"/>
    <xf numFmtId="165" fontId="20" fillId="0" borderId="11" xfId="8" applyNumberFormat="1" applyFont="1" applyFill="1" applyBorder="1" applyProtection="1"/>
    <xf numFmtId="0" fontId="14" fillId="0" borderId="79" xfId="8" applyFont="1" applyFill="1" applyBorder="1" applyAlignment="1" applyProtection="1">
      <alignment horizontal="center" vertical="center" wrapText="1"/>
    </xf>
    <xf numFmtId="165" fontId="20" fillId="0" borderId="65" xfId="8" applyNumberFormat="1" applyFont="1" applyFill="1" applyBorder="1" applyProtection="1"/>
    <xf numFmtId="0" fontId="24" fillId="0" borderId="17" xfId="8" applyFont="1" applyFill="1" applyBorder="1" applyAlignment="1" applyProtection="1">
      <alignment horizontal="center" vertical="center" wrapText="1"/>
    </xf>
    <xf numFmtId="0" fontId="14" fillId="0" borderId="57" xfId="8" applyFont="1" applyFill="1" applyBorder="1" applyAlignment="1" applyProtection="1">
      <alignment horizontal="center" vertical="center" wrapText="1"/>
    </xf>
    <xf numFmtId="3" fontId="92" fillId="0" borderId="24" xfId="20" applyNumberFormat="1" applyFont="1" applyFill="1" applyBorder="1" applyAlignment="1">
      <alignment horizontal="right" indent="2"/>
    </xf>
    <xf numFmtId="3" fontId="92" fillId="0" borderId="63" xfId="20" applyNumberFormat="1" applyFont="1" applyFill="1" applyBorder="1" applyAlignment="1">
      <alignment horizontal="right" indent="2"/>
    </xf>
    <xf numFmtId="3" fontId="92" fillId="0" borderId="62" xfId="20" applyNumberFormat="1" applyFont="1" applyFill="1" applyBorder="1" applyAlignment="1">
      <alignment horizontal="right" indent="2"/>
    </xf>
    <xf numFmtId="3" fontId="92" fillId="0" borderId="18" xfId="20" applyNumberFormat="1" applyFont="1" applyFill="1" applyBorder="1" applyAlignment="1">
      <alignment horizontal="right" indent="2"/>
    </xf>
    <xf numFmtId="0" fontId="1" fillId="0" borderId="0" xfId="20" applyFont="1"/>
    <xf numFmtId="0" fontId="118" fillId="0" borderId="58" xfId="20" applyFont="1" applyFill="1" applyBorder="1" applyAlignment="1">
      <alignment horizontal="left" vertical="top" wrapText="1"/>
    </xf>
    <xf numFmtId="0" fontId="118" fillId="0" borderId="59" xfId="20" applyFont="1" applyFill="1" applyBorder="1" applyAlignment="1">
      <alignment horizontal="left" vertical="top" wrapText="1"/>
    </xf>
    <xf numFmtId="3" fontId="58" fillId="0" borderId="23" xfId="20" applyNumberFormat="1" applyFont="1" applyBorder="1" applyAlignment="1">
      <alignment horizontal="right" indent="2"/>
    </xf>
    <xf numFmtId="3" fontId="58" fillId="0" borderId="37" xfId="20" applyNumberFormat="1" applyFont="1" applyBorder="1" applyAlignment="1">
      <alignment horizontal="right" indent="2"/>
    </xf>
    <xf numFmtId="3" fontId="58" fillId="0" borderId="67" xfId="20" applyNumberFormat="1" applyFont="1" applyBorder="1" applyAlignment="1">
      <alignment horizontal="right" indent="2"/>
    </xf>
    <xf numFmtId="3" fontId="58" fillId="0" borderId="63" xfId="20" applyNumberFormat="1" applyFont="1" applyFill="1" applyBorder="1" applyAlignment="1">
      <alignment horizontal="right" vertical="center" wrapText="1" indent="2"/>
    </xf>
    <xf numFmtId="3" fontId="58" fillId="0" borderId="19" xfId="20" applyNumberFormat="1" applyFont="1" applyBorder="1" applyAlignment="1">
      <alignment horizontal="right" indent="2"/>
    </xf>
    <xf numFmtId="0" fontId="92" fillId="0" borderId="63" xfId="20" applyFont="1" applyBorder="1" applyAlignment="1">
      <alignment horizontal="center" vertical="center"/>
    </xf>
    <xf numFmtId="3" fontId="58" fillId="0" borderId="21" xfId="20" applyNumberFormat="1" applyFont="1" applyFill="1" applyBorder="1" applyAlignment="1">
      <alignment horizontal="center" vertical="center" wrapText="1"/>
    </xf>
    <xf numFmtId="0" fontId="92" fillId="0" borderId="43" xfId="20" applyFont="1" applyBorder="1" applyAlignment="1">
      <alignment horizontal="center" vertical="center"/>
    </xf>
    <xf numFmtId="0" fontId="92" fillId="0" borderId="46" xfId="20" applyFont="1" applyBorder="1" applyAlignment="1">
      <alignment horizontal="center" vertical="center"/>
    </xf>
    <xf numFmtId="3" fontId="118" fillId="0" borderId="12" xfId="20" applyNumberFormat="1" applyFont="1" applyFill="1" applyBorder="1" applyAlignment="1">
      <alignment horizontal="right" indent="2"/>
    </xf>
    <xf numFmtId="3" fontId="58" fillId="0" borderId="12" xfId="20" applyNumberFormat="1" applyFont="1" applyBorder="1" applyAlignment="1">
      <alignment horizontal="right" indent="2"/>
    </xf>
    <xf numFmtId="3" fontId="92" fillId="0" borderId="12" xfId="20" applyNumberFormat="1" applyFont="1" applyBorder="1" applyAlignment="1">
      <alignment horizontal="right" indent="2"/>
    </xf>
    <xf numFmtId="3" fontId="118" fillId="0" borderId="13" xfId="20" applyNumberFormat="1" applyFont="1" applyFill="1" applyBorder="1" applyAlignment="1">
      <alignment horizontal="center"/>
    </xf>
    <xf numFmtId="3" fontId="92" fillId="0" borderId="22" xfId="20" applyNumberFormat="1" applyFont="1" applyFill="1" applyBorder="1" applyAlignment="1">
      <alignment horizontal="right" vertical="center" wrapText="1" indent="2"/>
    </xf>
    <xf numFmtId="3" fontId="92" fillId="0" borderId="24" xfId="20" applyNumberFormat="1" applyFont="1" applyFill="1" applyBorder="1" applyAlignment="1">
      <alignment horizontal="right" vertical="center" wrapText="1" indent="2"/>
    </xf>
    <xf numFmtId="49" fontId="92" fillId="0" borderId="40" xfId="20" applyNumberFormat="1" applyFont="1" applyBorder="1" applyAlignment="1">
      <alignment horizontal="left" vertical="center" wrapText="1"/>
    </xf>
    <xf numFmtId="0" fontId="118" fillId="0" borderId="76" xfId="20" applyFont="1" applyFill="1" applyBorder="1"/>
    <xf numFmtId="49" fontId="92" fillId="0" borderId="76" xfId="20" applyNumberFormat="1" applyFont="1" applyBorder="1" applyAlignment="1">
      <alignment horizontal="left" vertical="center" wrapText="1"/>
    </xf>
    <xf numFmtId="0" fontId="118" fillId="0" borderId="71" xfId="20" applyFont="1" applyFill="1" applyBorder="1"/>
    <xf numFmtId="3" fontId="92" fillId="0" borderId="40" xfId="20" applyNumberFormat="1" applyFont="1" applyFill="1" applyBorder="1" applyAlignment="1">
      <alignment horizontal="right" vertical="center" wrapText="1" indent="2"/>
    </xf>
    <xf numFmtId="3" fontId="92" fillId="0" borderId="76" xfId="20" applyNumberFormat="1" applyFont="1" applyFill="1" applyBorder="1" applyAlignment="1">
      <alignment horizontal="right" vertical="center" wrapText="1" indent="2"/>
    </xf>
    <xf numFmtId="3" fontId="92" fillId="0" borderId="41" xfId="20" applyNumberFormat="1" applyFont="1" applyFill="1" applyBorder="1" applyAlignment="1">
      <alignment horizontal="center" vertical="center" wrapText="1"/>
    </xf>
    <xf numFmtId="3" fontId="92" fillId="0" borderId="37" xfId="20" applyNumberFormat="1" applyFont="1" applyFill="1" applyBorder="1" applyAlignment="1">
      <alignment horizontal="center" vertical="center" wrapText="1"/>
    </xf>
    <xf numFmtId="3" fontId="118" fillId="0" borderId="37" xfId="20" applyNumberFormat="1" applyFont="1" applyFill="1" applyBorder="1" applyAlignment="1">
      <alignment horizontal="center"/>
    </xf>
    <xf numFmtId="49" fontId="58" fillId="0" borderId="67" xfId="20" applyNumberFormat="1" applyFont="1" applyBorder="1" applyAlignment="1">
      <alignment horizontal="left" vertical="center" wrapText="1"/>
    </xf>
    <xf numFmtId="3" fontId="123" fillId="0" borderId="63" xfId="20" applyNumberFormat="1" applyFont="1" applyFill="1" applyBorder="1" applyAlignment="1">
      <alignment horizontal="right" indent="2"/>
    </xf>
    <xf numFmtId="3" fontId="58" fillId="0" borderId="67" xfId="20" applyNumberFormat="1" applyFont="1" applyFill="1" applyBorder="1" applyAlignment="1">
      <alignment horizontal="right" vertical="center" wrapText="1" indent="2"/>
    </xf>
    <xf numFmtId="0" fontId="92" fillId="0" borderId="19" xfId="20" applyFont="1" applyBorder="1" applyAlignment="1">
      <alignment horizontal="center" vertical="center"/>
    </xf>
    <xf numFmtId="49" fontId="53" fillId="0" borderId="65" xfId="20" applyNumberFormat="1" applyFont="1" applyBorder="1" applyAlignment="1">
      <alignment horizontal="left" vertical="center" wrapText="1"/>
    </xf>
    <xf numFmtId="3" fontId="53" fillId="0" borderId="19" xfId="20" applyNumberFormat="1" applyFont="1" applyFill="1" applyBorder="1" applyAlignment="1">
      <alignment horizontal="right" vertical="center" wrapText="1" indent="2"/>
    </xf>
    <xf numFmtId="3" fontId="53" fillId="0" borderId="19" xfId="20" applyNumberFormat="1" applyFont="1" applyFill="1" applyBorder="1" applyAlignment="1">
      <alignment horizontal="center" vertical="center" wrapText="1"/>
    </xf>
    <xf numFmtId="0" fontId="118" fillId="0" borderId="33" xfId="20" applyFont="1" applyFill="1" applyBorder="1"/>
    <xf numFmtId="3" fontId="118" fillId="0" borderId="33" xfId="20" applyNumberFormat="1" applyFont="1" applyFill="1" applyBorder="1" applyAlignment="1">
      <alignment horizontal="right" indent="2"/>
    </xf>
    <xf numFmtId="3" fontId="92" fillId="0" borderId="33" xfId="20" applyNumberFormat="1" applyFont="1" applyBorder="1" applyAlignment="1">
      <alignment horizontal="right" indent="2"/>
    </xf>
    <xf numFmtId="3" fontId="58" fillId="0" borderId="33" xfId="20" applyNumberFormat="1" applyFont="1" applyBorder="1" applyAlignment="1">
      <alignment horizontal="right" indent="2"/>
    </xf>
    <xf numFmtId="3" fontId="118" fillId="0" borderId="53" xfId="20" applyNumberFormat="1" applyFont="1" applyFill="1" applyBorder="1" applyAlignment="1">
      <alignment horizontal="center"/>
    </xf>
    <xf numFmtId="0" fontId="20" fillId="0" borderId="12" xfId="8" applyFont="1" applyFill="1" applyBorder="1" applyAlignment="1" applyProtection="1">
      <alignment vertical="top" wrapText="1"/>
    </xf>
    <xf numFmtId="165" fontId="20" fillId="0" borderId="12" xfId="8" applyNumberFormat="1" applyFont="1" applyFill="1" applyBorder="1" applyAlignment="1" applyProtection="1">
      <alignment horizontal="right" vertical="center" wrapText="1" indent="1"/>
      <protection locked="0"/>
    </xf>
    <xf numFmtId="3" fontId="118" fillId="0" borderId="20" xfId="20" applyNumberFormat="1" applyFont="1" applyFill="1" applyBorder="1" applyAlignment="1">
      <alignment horizontal="right" indent="2"/>
    </xf>
    <xf numFmtId="3" fontId="118" fillId="0" borderId="78" xfId="20" applyNumberFormat="1" applyFont="1" applyFill="1" applyBorder="1" applyAlignment="1">
      <alignment horizontal="right" indent="2"/>
    </xf>
    <xf numFmtId="3" fontId="58" fillId="0" borderId="27" xfId="20" applyNumberFormat="1" applyFont="1" applyFill="1" applyBorder="1" applyAlignment="1">
      <alignment horizontal="right" vertical="center" wrapText="1" indent="2"/>
    </xf>
    <xf numFmtId="3" fontId="53" fillId="0" borderId="27" xfId="20" applyNumberFormat="1" applyFont="1" applyFill="1" applyBorder="1" applyAlignment="1">
      <alignment horizontal="right" vertical="center" wrapText="1" indent="2"/>
    </xf>
    <xf numFmtId="3" fontId="92" fillId="0" borderId="78" xfId="20" applyNumberFormat="1" applyFont="1" applyFill="1" applyBorder="1" applyAlignment="1">
      <alignment horizontal="right" indent="2"/>
    </xf>
    <xf numFmtId="0" fontId="134" fillId="0" borderId="77" xfId="16" applyFont="1" applyBorder="1" applyAlignment="1">
      <alignment vertical="center"/>
    </xf>
    <xf numFmtId="174" fontId="60" fillId="0" borderId="35" xfId="17" applyNumberFormat="1" applyFont="1" applyBorder="1" applyAlignment="1">
      <alignment vertical="center"/>
    </xf>
    <xf numFmtId="3" fontId="33" fillId="0" borderId="30" xfId="8" applyNumberFormat="1" applyFont="1" applyFill="1" applyBorder="1" applyAlignment="1" applyProtection="1"/>
    <xf numFmtId="0" fontId="14" fillId="0" borderId="43" xfId="8" applyFont="1" applyFill="1" applyBorder="1" applyAlignment="1" applyProtection="1">
      <alignment horizontal="center" vertical="center" wrapText="1"/>
    </xf>
    <xf numFmtId="167" fontId="142" fillId="0" borderId="9" xfId="1" applyNumberFormat="1" applyFont="1" applyFill="1" applyBorder="1" applyAlignment="1" applyProtection="1">
      <alignment vertical="center" wrapText="1"/>
    </xf>
    <xf numFmtId="165" fontId="13" fillId="0" borderId="73" xfId="8" applyNumberFormat="1" applyFont="1" applyFill="1" applyBorder="1" applyAlignment="1" applyProtection="1">
      <alignment horizontal="center" vertical="center"/>
    </xf>
    <xf numFmtId="165" fontId="13" fillId="0" borderId="28" xfId="8" applyNumberFormat="1" applyFont="1" applyFill="1" applyBorder="1" applyAlignment="1" applyProtection="1">
      <alignment horizontal="center" vertical="center"/>
    </xf>
    <xf numFmtId="165" fontId="13" fillId="0" borderId="58" xfId="8" applyNumberFormat="1" applyFont="1" applyFill="1" applyBorder="1" applyAlignment="1" applyProtection="1">
      <alignment horizontal="center" vertical="center"/>
    </xf>
    <xf numFmtId="0" fontId="14" fillId="0" borderId="20" xfId="8" applyFont="1" applyFill="1" applyBorder="1" applyAlignment="1" applyProtection="1">
      <alignment horizontal="center" vertical="center" wrapText="1"/>
    </xf>
    <xf numFmtId="0" fontId="14" fillId="0" borderId="66" xfId="8" applyFont="1" applyFill="1" applyBorder="1" applyAlignment="1" applyProtection="1">
      <alignment horizontal="center" vertical="center" wrapText="1"/>
    </xf>
    <xf numFmtId="0" fontId="14" fillId="0" borderId="22" xfId="8" applyFont="1" applyFill="1" applyBorder="1" applyAlignment="1" applyProtection="1">
      <alignment horizontal="center" vertical="center" wrapText="1"/>
    </xf>
    <xf numFmtId="0" fontId="14" fillId="0" borderId="31" xfId="8" applyFont="1" applyFill="1" applyBorder="1" applyAlignment="1" applyProtection="1">
      <alignment horizontal="center" vertical="center" wrapText="1"/>
    </xf>
    <xf numFmtId="0" fontId="14" fillId="0" borderId="43" xfId="8" applyFont="1" applyFill="1" applyBorder="1" applyAlignment="1" applyProtection="1">
      <alignment horizontal="center" vertical="center" wrapText="1"/>
    </xf>
    <xf numFmtId="0" fontId="14" fillId="0" borderId="46" xfId="8" applyFont="1" applyFill="1" applyBorder="1" applyAlignment="1" applyProtection="1">
      <alignment horizontal="center" vertical="center" wrapText="1"/>
    </xf>
    <xf numFmtId="0" fontId="14" fillId="0" borderId="39" xfId="8" applyFont="1" applyFill="1" applyBorder="1" applyAlignment="1" applyProtection="1">
      <alignment horizontal="center" vertical="center" wrapText="1"/>
    </xf>
    <xf numFmtId="0" fontId="14" fillId="0" borderId="12" xfId="8" applyFont="1" applyFill="1" applyBorder="1" applyAlignment="1" applyProtection="1">
      <alignment horizontal="center" vertical="center" wrapText="1"/>
    </xf>
    <xf numFmtId="165" fontId="34" fillId="0" borderId="27" xfId="8" applyNumberFormat="1" applyFont="1" applyFill="1" applyBorder="1" applyAlignment="1" applyProtection="1">
      <alignment horizontal="center" vertical="center"/>
    </xf>
    <xf numFmtId="165" fontId="34" fillId="0" borderId="72" xfId="8" applyNumberFormat="1" applyFont="1" applyFill="1" applyBorder="1" applyAlignment="1" applyProtection="1">
      <alignment horizontal="center" vertical="center"/>
    </xf>
    <xf numFmtId="165" fontId="34" fillId="0" borderId="35" xfId="8" applyNumberFormat="1" applyFont="1" applyFill="1" applyBorder="1" applyAlignment="1" applyProtection="1">
      <alignment horizontal="center" vertical="center"/>
    </xf>
    <xf numFmtId="0" fontId="133" fillId="0" borderId="27" xfId="16" applyFont="1" applyFill="1" applyBorder="1" applyAlignment="1">
      <alignment horizontal="center" vertical="center"/>
    </xf>
    <xf numFmtId="0" fontId="133" fillId="0" borderId="72" xfId="16" applyFont="1" applyFill="1" applyBorder="1" applyAlignment="1">
      <alignment horizontal="center" vertical="center"/>
    </xf>
    <xf numFmtId="0" fontId="91" fillId="0" borderId="0" xfId="16" applyFont="1" applyAlignment="1">
      <alignment horizontal="center" vertical="center"/>
    </xf>
    <xf numFmtId="0" fontId="133" fillId="0" borderId="35" xfId="16" applyFont="1" applyFill="1" applyBorder="1" applyAlignment="1">
      <alignment horizontal="center" vertical="center"/>
    </xf>
    <xf numFmtId="0" fontId="133" fillId="0" borderId="73" xfId="16" applyFont="1" applyFill="1" applyBorder="1" applyAlignment="1">
      <alignment horizontal="center" vertical="center"/>
    </xf>
    <xf numFmtId="0" fontId="133" fillId="0" borderId="28" xfId="16" applyFont="1" applyFill="1" applyBorder="1" applyAlignment="1">
      <alignment horizontal="center" vertical="center"/>
    </xf>
    <xf numFmtId="165" fontId="13" fillId="0" borderId="0" xfId="8" applyNumberFormat="1" applyFont="1" applyFill="1" applyBorder="1" applyAlignment="1" applyProtection="1">
      <alignment horizontal="center" vertical="center"/>
    </xf>
    <xf numFmtId="165" fontId="13" fillId="0" borderId="62" xfId="8" applyNumberFormat="1" applyFont="1" applyFill="1" applyBorder="1" applyAlignment="1" applyProtection="1">
      <alignment horizontal="center" vertical="center"/>
    </xf>
    <xf numFmtId="0" fontId="14" fillId="0" borderId="29" xfId="8" applyFont="1" applyFill="1" applyBorder="1" applyAlignment="1" applyProtection="1">
      <alignment horizontal="center" vertical="center" wrapText="1"/>
    </xf>
    <xf numFmtId="0" fontId="14" fillId="0" borderId="75" xfId="8" applyFont="1" applyFill="1" applyBorder="1" applyAlignment="1" applyProtection="1">
      <alignment horizontal="center" vertical="center" wrapText="1"/>
    </xf>
    <xf numFmtId="3" fontId="92" fillId="0" borderId="21" xfId="20" applyNumberFormat="1" applyFont="1" applyBorder="1" applyAlignment="1">
      <alignment horizontal="center"/>
    </xf>
    <xf numFmtId="3" fontId="92" fillId="0" borderId="30" xfId="20" applyNumberFormat="1" applyFont="1" applyBorder="1" applyAlignment="1">
      <alignment horizontal="center"/>
    </xf>
    <xf numFmtId="167" fontId="118" fillId="0" borderId="21" xfId="1" applyNumberFormat="1" applyFont="1" applyFill="1" applyBorder="1" applyAlignment="1">
      <alignment horizontal="center"/>
    </xf>
    <xf numFmtId="167" fontId="118" fillId="0" borderId="30" xfId="1" applyNumberFormat="1" applyFont="1" applyFill="1" applyBorder="1" applyAlignment="1">
      <alignment horizontal="center"/>
    </xf>
    <xf numFmtId="3" fontId="118" fillId="0" borderId="21" xfId="20" applyNumberFormat="1" applyFont="1" applyFill="1" applyBorder="1" applyAlignment="1">
      <alignment horizontal="center"/>
    </xf>
    <xf numFmtId="3" fontId="118" fillId="0" borderId="30" xfId="20" applyNumberFormat="1" applyFont="1" applyFill="1" applyBorder="1" applyAlignment="1">
      <alignment horizontal="center"/>
    </xf>
    <xf numFmtId="167" fontId="118" fillId="0" borderId="21" xfId="1" applyNumberFormat="1" applyFont="1" applyFill="1" applyBorder="1" applyAlignment="1">
      <alignment horizontal="right"/>
    </xf>
    <xf numFmtId="167" fontId="118" fillId="0" borderId="30" xfId="1" applyNumberFormat="1" applyFont="1" applyFill="1" applyBorder="1" applyAlignment="1">
      <alignment horizontal="right"/>
    </xf>
    <xf numFmtId="167" fontId="118" fillId="0" borderId="73" xfId="1" applyNumberFormat="1" applyFont="1" applyFill="1" applyBorder="1" applyAlignment="1">
      <alignment horizontal="right"/>
    </xf>
    <xf numFmtId="167" fontId="118" fillId="0" borderId="78" xfId="1" applyNumberFormat="1" applyFont="1" applyFill="1" applyBorder="1" applyAlignment="1">
      <alignment horizontal="right"/>
    </xf>
    <xf numFmtId="3" fontId="58" fillId="0" borderId="73" xfId="20" applyNumberFormat="1" applyFont="1" applyBorder="1" applyAlignment="1">
      <alignment horizontal="center"/>
    </xf>
    <xf numFmtId="3" fontId="58" fillId="0" borderId="78" xfId="20" applyNumberFormat="1" applyFont="1" applyBorder="1" applyAlignment="1">
      <alignment horizontal="center"/>
    </xf>
    <xf numFmtId="3" fontId="58" fillId="0" borderId="58" xfId="20" applyNumberFormat="1" applyFont="1" applyBorder="1" applyAlignment="1">
      <alignment horizontal="center"/>
    </xf>
    <xf numFmtId="3" fontId="58" fillId="0" borderId="59" xfId="20" applyNumberFormat="1" applyFont="1" applyBorder="1" applyAlignment="1">
      <alignment horizontal="center"/>
    </xf>
    <xf numFmtId="3" fontId="58" fillId="0" borderId="21" xfId="20" applyNumberFormat="1" applyFont="1" applyBorder="1" applyAlignment="1">
      <alignment horizontal="center"/>
    </xf>
    <xf numFmtId="3" fontId="58" fillId="0" borderId="30" xfId="20" applyNumberFormat="1" applyFont="1" applyBorder="1" applyAlignment="1">
      <alignment horizontal="center"/>
    </xf>
    <xf numFmtId="0" fontId="53" fillId="0" borderId="21" xfId="20" applyFont="1" applyBorder="1" applyAlignment="1">
      <alignment horizontal="center" vertical="center" wrapText="1"/>
    </xf>
    <xf numFmtId="0" fontId="53" fillId="0" borderId="19" xfId="20" applyFont="1" applyBorder="1" applyAlignment="1">
      <alignment horizontal="center" vertical="center" wrapText="1"/>
    </xf>
    <xf numFmtId="0" fontId="53" fillId="0" borderId="17" xfId="20" applyFont="1" applyBorder="1" applyAlignment="1">
      <alignment horizontal="center" vertical="center" wrapText="1"/>
    </xf>
    <xf numFmtId="0" fontId="53" fillId="0" borderId="35" xfId="20" applyFont="1" applyBorder="1" applyAlignment="1">
      <alignment horizontal="center" vertical="center"/>
    </xf>
    <xf numFmtId="0" fontId="53" fillId="0" borderId="17" xfId="20" applyFont="1" applyBorder="1" applyAlignment="1">
      <alignment horizontal="center" vertical="center"/>
    </xf>
    <xf numFmtId="0" fontId="14" fillId="0" borderId="34" xfId="8" applyFont="1" applyFill="1" applyBorder="1" applyAlignment="1" applyProtection="1">
      <alignment horizontal="center" vertical="center" wrapText="1"/>
    </xf>
    <xf numFmtId="0" fontId="14" fillId="0" borderId="42" xfId="8" applyFont="1" applyFill="1" applyBorder="1" applyAlignment="1" applyProtection="1">
      <alignment horizontal="center" vertical="center" wrapText="1"/>
    </xf>
    <xf numFmtId="0" fontId="51" fillId="0" borderId="24" xfId="20" applyFont="1" applyBorder="1" applyAlignment="1">
      <alignment horizontal="center" vertical="center"/>
    </xf>
    <xf numFmtId="0" fontId="51" fillId="0" borderId="20" xfId="20" applyNumberFormat="1" applyFont="1" applyFill="1" applyBorder="1" applyAlignment="1">
      <alignment horizontal="center" vertical="center"/>
    </xf>
    <xf numFmtId="0" fontId="51" fillId="0" borderId="41" xfId="20" applyNumberFormat="1" applyFont="1" applyFill="1" applyBorder="1" applyAlignment="1">
      <alignment horizontal="center" vertical="center"/>
    </xf>
    <xf numFmtId="0" fontId="53" fillId="0" borderId="27" xfId="20" applyFont="1" applyBorder="1" applyAlignment="1">
      <alignment horizontal="center" vertical="center" wrapText="1"/>
    </xf>
    <xf numFmtId="165" fontId="24" fillId="0" borderId="0" xfId="8" applyNumberFormat="1" applyFont="1" applyFill="1" applyBorder="1" applyAlignment="1" applyProtection="1">
      <alignment horizontal="center" vertical="center"/>
    </xf>
    <xf numFmtId="0" fontId="4" fillId="0" borderId="0" xfId="20" applyAlignment="1"/>
    <xf numFmtId="165" fontId="14" fillId="0" borderId="0" xfId="8" applyNumberFormat="1" applyFont="1" applyFill="1" applyBorder="1" applyAlignment="1" applyProtection="1">
      <alignment horizontal="center" vertical="center"/>
    </xf>
    <xf numFmtId="0" fontId="14" fillId="0" borderId="17" xfId="8" applyFont="1" applyFill="1" applyBorder="1" applyAlignment="1" applyProtection="1">
      <alignment horizontal="center" vertical="center" wrapText="1"/>
    </xf>
    <xf numFmtId="49" fontId="34" fillId="0" borderId="21" xfId="8" applyNumberFormat="1" applyFont="1" applyFill="1" applyBorder="1" applyAlignment="1" applyProtection="1">
      <alignment horizontal="center" vertical="center" wrapText="1"/>
    </xf>
    <xf numFmtId="49" fontId="132" fillId="0" borderId="19" xfId="20" applyNumberFormat="1" applyFont="1" applyBorder="1" applyAlignment="1">
      <alignment horizontal="center" vertical="center" wrapText="1"/>
    </xf>
    <xf numFmtId="49" fontId="34" fillId="0" borderId="19" xfId="8" applyNumberFormat="1" applyFont="1" applyFill="1" applyBorder="1" applyAlignment="1" applyProtection="1">
      <alignment horizontal="center" vertical="center" wrapText="1"/>
    </xf>
    <xf numFmtId="3" fontId="32" fillId="0" borderId="22" xfId="8" applyNumberFormat="1" applyFont="1" applyFill="1" applyBorder="1" applyAlignment="1" applyProtection="1">
      <alignment horizontal="center" vertical="center" wrapText="1"/>
    </xf>
    <xf numFmtId="3" fontId="130" fillId="0" borderId="31" xfId="20" applyNumberFormat="1" applyFont="1" applyBorder="1" applyAlignment="1">
      <alignment horizontal="center" vertical="center" wrapText="1"/>
    </xf>
    <xf numFmtId="3" fontId="4" fillId="0" borderId="31" xfId="20" applyNumberFormat="1" applyBorder="1" applyAlignment="1">
      <alignment wrapText="1"/>
    </xf>
    <xf numFmtId="0" fontId="24" fillId="0" borderId="17" xfId="8" applyFont="1" applyFill="1" applyBorder="1" applyAlignment="1" applyProtection="1">
      <alignment horizontal="center" vertical="center" wrapText="1"/>
    </xf>
    <xf numFmtId="0" fontId="33" fillId="0" borderId="17" xfId="18" applyFont="1" applyBorder="1" applyAlignment="1">
      <alignment horizontal="center" vertical="center"/>
    </xf>
    <xf numFmtId="0" fontId="8" fillId="0" borderId="31" xfId="22" applyBorder="1" applyAlignment="1">
      <alignment horizontal="center" vertical="center"/>
    </xf>
    <xf numFmtId="0" fontId="4" fillId="0" borderId="31" xfId="20" applyBorder="1" applyAlignment="1">
      <alignment wrapText="1"/>
    </xf>
    <xf numFmtId="0" fontId="8" fillId="0" borderId="17" xfId="22" applyBorder="1" applyAlignment="1">
      <alignment horizontal="center" vertical="center"/>
    </xf>
    <xf numFmtId="0" fontId="4" fillId="0" borderId="26" xfId="20" applyBorder="1" applyAlignment="1">
      <alignment wrapText="1"/>
    </xf>
    <xf numFmtId="49" fontId="34" fillId="0" borderId="22" xfId="8" applyNumberFormat="1" applyFont="1" applyFill="1" applyBorder="1" applyAlignment="1" applyProtection="1">
      <alignment horizontal="center" vertical="center" wrapText="1"/>
    </xf>
    <xf numFmtId="0" fontId="131" fillId="0" borderId="31" xfId="19" applyFont="1" applyBorder="1" applyAlignment="1">
      <alignment horizontal="center" vertical="center" wrapText="1"/>
    </xf>
    <xf numFmtId="0" fontId="5" fillId="0" borderId="0" xfId="19" applyAlignment="1"/>
    <xf numFmtId="3" fontId="34" fillId="0" borderId="22" xfId="8" applyNumberFormat="1" applyFont="1" applyFill="1" applyBorder="1" applyAlignment="1" applyProtection="1">
      <alignment horizontal="center" vertical="center" wrapText="1"/>
    </xf>
    <xf numFmtId="3" fontId="131" fillId="0" borderId="31" xfId="19" applyNumberFormat="1" applyFont="1" applyBorder="1" applyAlignment="1">
      <alignment horizontal="center" vertical="center" wrapText="1"/>
    </xf>
    <xf numFmtId="3" fontId="131" fillId="0" borderId="22" xfId="19" applyNumberFormat="1" applyFont="1" applyBorder="1" applyAlignment="1">
      <alignment horizontal="center" vertical="center" wrapText="1"/>
    </xf>
    <xf numFmtId="0" fontId="137" fillId="0" borderId="17" xfId="20" applyFont="1" applyBorder="1" applyAlignment="1">
      <alignment horizontal="center" vertical="center"/>
    </xf>
    <xf numFmtId="3" fontId="137" fillId="0" borderId="17" xfId="20" applyNumberFormat="1" applyFont="1" applyBorder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35" fillId="0" borderId="0" xfId="0" applyFont="1" applyAlignment="1">
      <alignment horizontal="right"/>
    </xf>
    <xf numFmtId="0" fontId="104" fillId="0" borderId="0" xfId="0" applyFont="1" applyAlignment="1">
      <alignment horizontal="center"/>
    </xf>
    <xf numFmtId="0" fontId="52" fillId="0" borderId="0" xfId="0" applyFont="1" applyAlignment="1">
      <alignment horizontal="center"/>
    </xf>
    <xf numFmtId="0" fontId="70" fillId="0" borderId="0" xfId="0" applyFont="1" applyAlignment="1">
      <alignment horizontal="center"/>
    </xf>
    <xf numFmtId="0" fontId="78" fillId="0" borderId="0" xfId="0" applyFont="1" applyAlignment="1">
      <alignment horizontal="center" vertical="center"/>
    </xf>
    <xf numFmtId="0" fontId="29" fillId="0" borderId="0" xfId="0" applyFont="1" applyAlignment="1">
      <alignment horizontal="center"/>
    </xf>
    <xf numFmtId="165" fontId="12" fillId="0" borderId="11" xfId="0" applyNumberFormat="1" applyFont="1" applyFill="1" applyBorder="1" applyAlignment="1" applyProtection="1">
      <alignment horizontal="right" wrapText="1"/>
    </xf>
    <xf numFmtId="165" fontId="27" fillId="0" borderId="0" xfId="0" applyNumberFormat="1" applyFont="1" applyFill="1" applyAlignment="1">
      <alignment horizontal="center" vertical="center" wrapText="1"/>
    </xf>
    <xf numFmtId="0" fontId="22" fillId="0" borderId="0" xfId="0" applyNumberFormat="1" applyFont="1" applyFill="1" applyAlignment="1" applyProtection="1">
      <alignment horizontal="center" textRotation="180" wrapText="1"/>
      <protection locked="0"/>
    </xf>
    <xf numFmtId="0" fontId="78" fillId="0" borderId="0" xfId="0" applyFont="1" applyFill="1" applyAlignment="1">
      <alignment horizontal="center"/>
    </xf>
    <xf numFmtId="165" fontId="22" fillId="0" borderId="0" xfId="0" applyNumberFormat="1" applyFont="1" applyFill="1" applyAlignment="1">
      <alignment horizontal="center" textRotation="180" wrapText="1"/>
    </xf>
    <xf numFmtId="0" fontId="39" fillId="0" borderId="0" xfId="0" applyFont="1" applyFill="1" applyAlignment="1">
      <alignment horizontal="center"/>
    </xf>
    <xf numFmtId="165" fontId="27" fillId="0" borderId="0" xfId="0" applyNumberFormat="1" applyFont="1" applyFill="1" applyAlignment="1">
      <alignment horizontal="left" vertical="center" wrapText="1"/>
    </xf>
    <xf numFmtId="165" fontId="0" fillId="0" borderId="0" xfId="0" applyNumberFormat="1" applyFill="1" applyAlignment="1" applyProtection="1">
      <alignment horizontal="left" vertical="center" wrapText="1"/>
      <protection locked="0"/>
    </xf>
    <xf numFmtId="168" fontId="46" fillId="0" borderId="28" xfId="0" applyNumberFormat="1" applyFont="1" applyFill="1" applyBorder="1" applyAlignment="1">
      <alignment horizontal="left" vertical="center" wrapText="1"/>
    </xf>
    <xf numFmtId="165" fontId="24" fillId="0" borderId="17" xfId="0" applyNumberFormat="1" applyFont="1" applyFill="1" applyBorder="1" applyAlignment="1">
      <alignment horizontal="center" vertical="center" wrapText="1"/>
    </xf>
    <xf numFmtId="165" fontId="34" fillId="0" borderId="17" xfId="0" applyNumberFormat="1" applyFont="1" applyFill="1" applyBorder="1" applyAlignment="1">
      <alignment horizontal="center" vertical="center" wrapText="1"/>
    </xf>
    <xf numFmtId="165" fontId="35" fillId="0" borderId="27" xfId="0" applyNumberFormat="1" applyFont="1" applyFill="1" applyBorder="1" applyAlignment="1">
      <alignment horizontal="left" vertical="center" wrapText="1" indent="2"/>
    </xf>
    <xf numFmtId="165" fontId="35" fillId="0" borderId="72" xfId="0" applyNumberFormat="1" applyFont="1" applyFill="1" applyBorder="1" applyAlignment="1">
      <alignment horizontal="left" vertical="center" wrapText="1" indent="2"/>
    </xf>
    <xf numFmtId="165" fontId="24" fillId="0" borderId="17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textRotation="180"/>
    </xf>
    <xf numFmtId="165" fontId="0" fillId="0" borderId="20" xfId="0" applyNumberFormat="1" applyFill="1" applyBorder="1" applyAlignment="1" applyProtection="1">
      <alignment horizontal="left" vertical="center" wrapText="1"/>
      <protection locked="0"/>
    </xf>
    <xf numFmtId="165" fontId="0" fillId="0" borderId="40" xfId="0" applyNumberFormat="1" applyFill="1" applyBorder="1" applyAlignment="1" applyProtection="1">
      <alignment horizontal="left" vertical="center" wrapText="1"/>
      <protection locked="0"/>
    </xf>
    <xf numFmtId="165" fontId="0" fillId="0" borderId="66" xfId="0" applyNumberFormat="1" applyFill="1" applyBorder="1" applyAlignment="1" applyProtection="1">
      <alignment horizontal="left" vertical="center" wrapText="1"/>
      <protection locked="0"/>
    </xf>
    <xf numFmtId="165" fontId="0" fillId="0" borderId="71" xfId="0" applyNumberFormat="1" applyFill="1" applyBorder="1" applyAlignment="1" applyProtection="1">
      <alignment horizontal="left" vertical="center" wrapText="1"/>
      <protection locked="0"/>
    </xf>
    <xf numFmtId="165" fontId="14" fillId="0" borderId="21" xfId="0" applyNumberFormat="1" applyFont="1" applyFill="1" applyBorder="1" applyAlignment="1">
      <alignment horizontal="center" vertical="center" wrapText="1"/>
    </xf>
    <xf numFmtId="165" fontId="14" fillId="0" borderId="63" xfId="0" applyNumberFormat="1" applyFont="1" applyFill="1" applyBorder="1" applyAlignment="1">
      <alignment horizontal="center" vertical="center" wrapText="1"/>
    </xf>
    <xf numFmtId="165" fontId="35" fillId="0" borderId="27" xfId="0" applyNumberFormat="1" applyFont="1" applyFill="1" applyBorder="1" applyAlignment="1">
      <alignment horizontal="center" vertical="center" wrapText="1"/>
    </xf>
    <xf numFmtId="165" fontId="35" fillId="0" borderId="72" xfId="0" applyNumberFormat="1" applyFont="1" applyFill="1" applyBorder="1" applyAlignment="1">
      <alignment horizontal="center" vertical="center" wrapText="1"/>
    </xf>
    <xf numFmtId="165" fontId="14" fillId="0" borderId="17" xfId="0" applyNumberFormat="1" applyFont="1" applyFill="1" applyBorder="1" applyAlignment="1">
      <alignment horizontal="center" vertical="center" wrapText="1"/>
    </xf>
    <xf numFmtId="165" fontId="14" fillId="0" borderId="73" xfId="0" applyNumberFormat="1" applyFont="1" applyFill="1" applyBorder="1" applyAlignment="1">
      <alignment horizontal="center" vertical="center"/>
    </xf>
    <xf numFmtId="165" fontId="14" fillId="0" borderId="62" xfId="0" applyNumberFormat="1" applyFont="1" applyFill="1" applyBorder="1" applyAlignment="1">
      <alignment horizontal="center" vertical="center"/>
    </xf>
    <xf numFmtId="165" fontId="14" fillId="0" borderId="18" xfId="0" applyNumberFormat="1" applyFont="1" applyFill="1" applyBorder="1" applyAlignment="1">
      <alignment horizontal="center" vertical="center"/>
    </xf>
    <xf numFmtId="168" fontId="13" fillId="0" borderId="0" xfId="0" applyNumberFormat="1" applyFont="1" applyFill="1" applyBorder="1" applyAlignment="1">
      <alignment horizontal="center" vertical="center" wrapText="1"/>
    </xf>
    <xf numFmtId="165" fontId="12" fillId="0" borderId="11" xfId="0" applyNumberFormat="1" applyFont="1" applyFill="1" applyBorder="1" applyAlignment="1">
      <alignment horizontal="right" vertical="center"/>
    </xf>
    <xf numFmtId="0" fontId="14" fillId="0" borderId="27" xfId="0" applyFont="1" applyFill="1" applyBorder="1" applyAlignment="1" applyProtection="1">
      <alignment horizontal="center" vertical="center" wrapText="1"/>
    </xf>
    <xf numFmtId="0" fontId="14" fillId="0" borderId="72" xfId="0" applyFont="1" applyFill="1" applyBorder="1" applyAlignment="1" applyProtection="1">
      <alignment horizontal="center" vertical="center" wrapText="1"/>
    </xf>
    <xf numFmtId="0" fontId="14" fillId="0" borderId="35" xfId="0" applyFont="1" applyFill="1" applyBorder="1" applyAlignment="1" applyProtection="1">
      <alignment horizontal="center" vertical="center" wrapText="1"/>
    </xf>
    <xf numFmtId="0" fontId="14" fillId="0" borderId="39" xfId="0" applyFont="1" applyFill="1" applyBorder="1" applyAlignment="1" applyProtection="1">
      <alignment horizontal="center" vertical="center"/>
      <protection locked="0"/>
    </xf>
    <xf numFmtId="0" fontId="14" fillId="0" borderId="40" xfId="0" applyFont="1" applyFill="1" applyBorder="1" applyAlignment="1" applyProtection="1">
      <alignment horizontal="center" vertical="center"/>
      <protection locked="0"/>
    </xf>
    <xf numFmtId="0" fontId="14" fillId="0" borderId="41" xfId="0" applyFont="1" applyFill="1" applyBorder="1" applyAlignment="1" applyProtection="1">
      <alignment horizontal="center" vertical="center"/>
      <protection locked="0"/>
    </xf>
    <xf numFmtId="0" fontId="14" fillId="0" borderId="42" xfId="0" applyFont="1" applyFill="1" applyBorder="1" applyAlignment="1" applyProtection="1">
      <alignment horizontal="center" vertical="center"/>
    </xf>
    <xf numFmtId="0" fontId="14" fillId="0" borderId="71" xfId="0" applyFont="1" applyFill="1" applyBorder="1" applyAlignment="1" applyProtection="1">
      <alignment horizontal="center" vertical="center"/>
    </xf>
    <xf numFmtId="0" fontId="14" fillId="0" borderId="56" xfId="0" applyFont="1" applyFill="1" applyBorder="1" applyAlignment="1" applyProtection="1">
      <alignment horizontal="center" vertical="center"/>
    </xf>
    <xf numFmtId="0" fontId="14" fillId="0" borderId="71" xfId="0" quotePrefix="1" applyFont="1" applyFill="1" applyBorder="1" applyAlignment="1" applyProtection="1">
      <alignment horizontal="center" vertical="center"/>
    </xf>
    <xf numFmtId="0" fontId="14" fillId="0" borderId="56" xfId="0" quotePrefix="1" applyFont="1" applyFill="1" applyBorder="1" applyAlignment="1" applyProtection="1">
      <alignment horizontal="center" vertical="center"/>
    </xf>
    <xf numFmtId="0" fontId="58" fillId="10" borderId="15" xfId="0" applyFont="1" applyFill="1" applyBorder="1" applyAlignment="1" applyProtection="1">
      <alignment horizontal="center" vertical="center"/>
    </xf>
    <xf numFmtId="0" fontId="0" fillId="0" borderId="49" xfId="0" applyBorder="1" applyAlignment="1" applyProtection="1">
      <alignment horizontal="center" vertical="center"/>
    </xf>
    <xf numFmtId="0" fontId="103" fillId="0" borderId="0" xfId="0" applyFont="1" applyAlignment="1" applyProtection="1">
      <alignment horizontal="center"/>
    </xf>
    <xf numFmtId="0" fontId="58" fillId="0" borderId="0" xfId="0" applyFont="1" applyAlignment="1" applyProtection="1">
      <alignment horizontal="center"/>
    </xf>
    <xf numFmtId="0" fontId="95" fillId="0" borderId="0" xfId="0" applyFont="1" applyAlignment="1" applyProtection="1">
      <alignment horizontal="center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Alignment="1">
      <alignment vertical="center" wrapText="1"/>
    </xf>
    <xf numFmtId="0" fontId="35" fillId="0" borderId="0" xfId="0" applyFont="1" applyFill="1" applyAlignment="1" applyProtection="1">
      <alignment vertical="center" wrapText="1"/>
    </xf>
    <xf numFmtId="0" fontId="35" fillId="0" borderId="0" xfId="0" applyFont="1" applyAlignment="1">
      <alignment vertical="center" wrapText="1"/>
    </xf>
    <xf numFmtId="0" fontId="34" fillId="0" borderId="6" xfId="0" applyFont="1" applyFill="1" applyBorder="1" applyAlignment="1" applyProtection="1">
      <alignment horizontal="center" vertical="center" wrapText="1"/>
    </xf>
    <xf numFmtId="0" fontId="34" fillId="0" borderId="7" xfId="0" applyFont="1" applyFill="1" applyBorder="1" applyAlignment="1" applyProtection="1">
      <alignment horizontal="center" vertical="center" wrapText="1"/>
    </xf>
    <xf numFmtId="0" fontId="14" fillId="0" borderId="27" xfId="0" applyFont="1" applyFill="1" applyBorder="1" applyAlignment="1" applyProtection="1">
      <alignment horizontal="left" vertical="center" wrapText="1" indent="1"/>
    </xf>
    <xf numFmtId="0" fontId="14" fillId="0" borderId="36" xfId="0" applyFont="1" applyFill="1" applyBorder="1" applyAlignment="1" applyProtection="1">
      <alignment horizontal="left" vertical="center" wrapText="1" indent="1"/>
    </xf>
    <xf numFmtId="0" fontId="14" fillId="0" borderId="50" xfId="0" applyFont="1" applyFill="1" applyBorder="1" applyAlignment="1" applyProtection="1">
      <alignment horizontal="center" vertical="center" wrapText="1"/>
    </xf>
    <xf numFmtId="0" fontId="14" fillId="0" borderId="61" xfId="0" applyFont="1" applyFill="1" applyBorder="1" applyAlignment="1" applyProtection="1">
      <alignment horizontal="center" vertical="center" wrapText="1"/>
    </xf>
    <xf numFmtId="0" fontId="14" fillId="0" borderId="51" xfId="0" applyFont="1" applyFill="1" applyBorder="1" applyAlignment="1" applyProtection="1">
      <alignment horizontal="center" vertical="center" wrapText="1"/>
    </xf>
    <xf numFmtId="0" fontId="14" fillId="0" borderId="57" xfId="0" applyFont="1" applyFill="1" applyBorder="1" applyAlignment="1" applyProtection="1">
      <alignment horizontal="center" vertical="center" wrapText="1"/>
    </xf>
    <xf numFmtId="0" fontId="14" fillId="0" borderId="33" xfId="8" applyFont="1" applyFill="1" applyBorder="1" applyAlignment="1" applyProtection="1">
      <alignment horizontal="center" vertical="center" wrapText="1"/>
    </xf>
    <xf numFmtId="165" fontId="34" fillId="0" borderId="33" xfId="8" applyNumberFormat="1" applyFont="1" applyFill="1" applyBorder="1" applyAlignment="1" applyProtection="1">
      <alignment horizontal="center" vertical="center"/>
    </xf>
    <xf numFmtId="165" fontId="34" fillId="0" borderId="53" xfId="8" applyNumberFormat="1" applyFont="1" applyFill="1" applyBorder="1" applyAlignment="1" applyProtection="1">
      <alignment horizontal="center" vertical="center"/>
    </xf>
    <xf numFmtId="0" fontId="14" fillId="0" borderId="51" xfId="8" applyFont="1" applyFill="1" applyBorder="1" applyAlignment="1" applyProtection="1">
      <alignment horizontal="center" vertical="center" wrapText="1"/>
    </xf>
    <xf numFmtId="0" fontId="14" fillId="0" borderId="57" xfId="8" applyFont="1" applyFill="1" applyBorder="1" applyAlignment="1" applyProtection="1">
      <alignment horizontal="center" vertical="center" wrapText="1"/>
    </xf>
    <xf numFmtId="165" fontId="14" fillId="0" borderId="50" xfId="0" applyNumberFormat="1" applyFont="1" applyFill="1" applyBorder="1" applyAlignment="1" applyProtection="1">
      <alignment horizontal="center" vertical="center" wrapText="1"/>
    </xf>
    <xf numFmtId="165" fontId="14" fillId="0" borderId="61" xfId="0" applyNumberFormat="1" applyFont="1" applyFill="1" applyBorder="1" applyAlignment="1" applyProtection="1">
      <alignment horizontal="center" vertical="center" wrapText="1"/>
    </xf>
    <xf numFmtId="165" fontId="14" fillId="0" borderId="51" xfId="0" applyNumberFormat="1" applyFont="1" applyFill="1" applyBorder="1" applyAlignment="1" applyProtection="1">
      <alignment horizontal="center" vertical="center" wrapText="1"/>
    </xf>
    <xf numFmtId="165" fontId="14" fillId="0" borderId="57" xfId="0" applyNumberFormat="1" applyFont="1" applyFill="1" applyBorder="1" applyAlignment="1" applyProtection="1">
      <alignment horizontal="center" vertical="center"/>
    </xf>
    <xf numFmtId="165" fontId="14" fillId="0" borderId="57" xfId="0" applyNumberFormat="1" applyFont="1" applyFill="1" applyBorder="1" applyAlignment="1" applyProtection="1">
      <alignment horizontal="center" vertical="center" wrapText="1"/>
    </xf>
    <xf numFmtId="165" fontId="14" fillId="0" borderId="21" xfId="0" applyNumberFormat="1" applyFont="1" applyFill="1" applyBorder="1" applyAlignment="1" applyProtection="1">
      <alignment horizontal="center" vertical="center" wrapText="1"/>
    </xf>
    <xf numFmtId="165" fontId="14" fillId="0" borderId="19" xfId="0" applyNumberFormat="1" applyFont="1" applyFill="1" applyBorder="1" applyAlignment="1" applyProtection="1">
      <alignment horizontal="center" vertical="center" wrapText="1"/>
    </xf>
    <xf numFmtId="165" fontId="16" fillId="0" borderId="0" xfId="0" applyNumberFormat="1" applyFont="1" applyFill="1" applyAlignment="1">
      <alignment horizontal="center" textRotation="180" wrapText="1"/>
    </xf>
    <xf numFmtId="165" fontId="14" fillId="0" borderId="58" xfId="0" applyNumberFormat="1" applyFont="1" applyFill="1" applyBorder="1" applyAlignment="1">
      <alignment horizontal="center" vertical="center" wrapText="1"/>
    </xf>
    <xf numFmtId="165" fontId="14" fillId="0" borderId="65" xfId="0" applyNumberFormat="1" applyFont="1" applyFill="1" applyBorder="1" applyAlignment="1">
      <alignment horizontal="center" vertical="center" wrapText="1"/>
    </xf>
    <xf numFmtId="165" fontId="14" fillId="0" borderId="19" xfId="0" applyNumberFormat="1" applyFont="1" applyFill="1" applyBorder="1" applyAlignment="1">
      <alignment horizontal="center" vertical="center" wrapText="1"/>
    </xf>
    <xf numFmtId="165" fontId="14" fillId="0" borderId="21" xfId="0" applyNumberFormat="1" applyFont="1" applyFill="1" applyBorder="1" applyAlignment="1">
      <alignment horizontal="center" vertical="center"/>
    </xf>
    <xf numFmtId="165" fontId="14" fillId="0" borderId="19" xfId="0" applyNumberFormat="1" applyFont="1" applyFill="1" applyBorder="1" applyAlignment="1">
      <alignment horizontal="center" vertical="center"/>
    </xf>
    <xf numFmtId="165" fontId="14" fillId="0" borderId="73" xfId="0" applyNumberFormat="1" applyFont="1" applyFill="1" applyBorder="1" applyAlignment="1">
      <alignment horizontal="center" vertical="center" wrapText="1"/>
    </xf>
    <xf numFmtId="165" fontId="14" fillId="0" borderId="18" xfId="0" applyNumberFormat="1" applyFont="1" applyFill="1" applyBorder="1" applyAlignment="1">
      <alignment horizontal="center" vertical="center" wrapText="1"/>
    </xf>
    <xf numFmtId="165" fontId="14" fillId="0" borderId="39" xfId="0" applyNumberFormat="1" applyFont="1" applyFill="1" applyBorder="1" applyAlignment="1">
      <alignment horizontal="center" vertical="center" wrapText="1"/>
    </xf>
    <xf numFmtId="165" fontId="14" fillId="0" borderId="68" xfId="0" applyNumberFormat="1" applyFont="1" applyFill="1" applyBorder="1" applyAlignment="1">
      <alignment horizontal="center" vertical="center" wrapText="1"/>
    </xf>
    <xf numFmtId="0" fontId="35" fillId="0" borderId="27" xfId="0" applyFont="1" applyFill="1" applyBorder="1" applyAlignment="1" applyProtection="1">
      <alignment horizontal="left" vertical="center"/>
    </xf>
    <xf numFmtId="0" fontId="35" fillId="0" borderId="36" xfId="0" applyFont="1" applyFill="1" applyBorder="1" applyAlignment="1" applyProtection="1">
      <alignment horizontal="left" vertical="center"/>
    </xf>
    <xf numFmtId="0" fontId="27" fillId="0" borderId="0" xfId="0" applyFont="1" applyFill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49" fillId="0" borderId="11" xfId="0" applyFont="1" applyFill="1" applyBorder="1" applyAlignment="1">
      <alignment horizontal="right"/>
    </xf>
    <xf numFmtId="0" fontId="14" fillId="0" borderId="73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4" fillId="0" borderId="51" xfId="0" applyFont="1" applyFill="1" applyBorder="1" applyAlignment="1">
      <alignment horizontal="center" vertical="center" wrapText="1"/>
    </xf>
    <xf numFmtId="0" fontId="14" fillId="0" borderId="57" xfId="0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34" fillId="0" borderId="45" xfId="0" applyFont="1" applyFill="1" applyBorder="1" applyAlignment="1">
      <alignment horizontal="center"/>
    </xf>
    <xf numFmtId="0" fontId="34" fillId="0" borderId="72" xfId="0" applyFont="1" applyFill="1" applyBorder="1" applyAlignment="1">
      <alignment horizontal="center"/>
    </xf>
    <xf numFmtId="0" fontId="14" fillId="0" borderId="52" xfId="0" applyFont="1" applyFill="1" applyBorder="1" applyAlignment="1">
      <alignment horizontal="center" vertical="center" wrapText="1"/>
    </xf>
    <xf numFmtId="0" fontId="14" fillId="0" borderId="64" xfId="0" applyFont="1" applyFill="1" applyBorder="1" applyAlignment="1">
      <alignment horizontal="center" vertical="center" wrapText="1"/>
    </xf>
    <xf numFmtId="0" fontId="14" fillId="0" borderId="73" xfId="0" applyFont="1" applyFill="1" applyBorder="1" applyAlignment="1">
      <alignment horizontal="left" vertical="center" wrapText="1"/>
    </xf>
    <xf numFmtId="0" fontId="14" fillId="0" borderId="28" xfId="0" applyFont="1" applyFill="1" applyBorder="1" applyAlignment="1">
      <alignment horizontal="left" vertical="center" wrapText="1"/>
    </xf>
    <xf numFmtId="0" fontId="14" fillId="0" borderId="58" xfId="0" applyFont="1" applyFill="1" applyBorder="1" applyAlignment="1">
      <alignment horizontal="left" vertical="center" wrapText="1"/>
    </xf>
    <xf numFmtId="0" fontId="32" fillId="0" borderId="27" xfId="0" applyFont="1" applyFill="1" applyBorder="1" applyAlignment="1" applyProtection="1">
      <alignment horizontal="left" vertical="center"/>
    </xf>
    <xf numFmtId="0" fontId="32" fillId="0" borderId="36" xfId="0" applyFont="1" applyFill="1" applyBorder="1" applyAlignment="1" applyProtection="1">
      <alignment horizontal="left" vertical="center"/>
    </xf>
    <xf numFmtId="0" fontId="14" fillId="0" borderId="73" xfId="0" applyFont="1" applyFill="1" applyBorder="1" applyAlignment="1" applyProtection="1">
      <alignment horizontal="left" vertical="center" wrapText="1"/>
    </xf>
    <xf numFmtId="0" fontId="14" fillId="0" borderId="28" xfId="0" applyFont="1" applyFill="1" applyBorder="1" applyAlignment="1" applyProtection="1">
      <alignment horizontal="left" vertical="center" wrapText="1"/>
    </xf>
    <xf numFmtId="0" fontId="14" fillId="0" borderId="58" xfId="0" applyFont="1" applyFill="1" applyBorder="1" applyAlignment="1" applyProtection="1">
      <alignment horizontal="left" vertical="center" wrapText="1"/>
    </xf>
    <xf numFmtId="0" fontId="33" fillId="0" borderId="28" xfId="0" applyFont="1" applyFill="1" applyBorder="1" applyAlignment="1">
      <alignment horizontal="justify" vertical="center" wrapText="1"/>
    </xf>
    <xf numFmtId="0" fontId="34" fillId="0" borderId="27" xfId="0" applyFont="1" applyFill="1" applyBorder="1" applyAlignment="1">
      <alignment horizontal="left" vertical="center" indent="2"/>
    </xf>
    <xf numFmtId="0" fontId="34" fillId="0" borderId="36" xfId="0" applyFont="1" applyFill="1" applyBorder="1" applyAlignment="1">
      <alignment horizontal="left" vertical="center" indent="2"/>
    </xf>
    <xf numFmtId="165" fontId="34" fillId="0" borderId="21" xfId="0" applyNumberFormat="1" applyFont="1" applyFill="1" applyBorder="1" applyAlignment="1" applyProtection="1">
      <alignment horizontal="center" vertical="center" wrapText="1"/>
    </xf>
    <xf numFmtId="165" fontId="34" fillId="0" borderId="19" xfId="0" applyNumberFormat="1" applyFont="1" applyFill="1" applyBorder="1" applyAlignment="1" applyProtection="1">
      <alignment horizontal="center" vertical="center" wrapText="1"/>
    </xf>
    <xf numFmtId="165" fontId="22" fillId="0" borderId="0" xfId="0" applyNumberFormat="1" applyFont="1" applyFill="1" applyAlignment="1" applyProtection="1">
      <alignment horizontal="center" textRotation="180" wrapText="1"/>
    </xf>
    <xf numFmtId="165" fontId="27" fillId="0" borderId="0" xfId="0" applyNumberFormat="1" applyFont="1" applyFill="1" applyAlignment="1" applyProtection="1">
      <alignment horizontal="center" vertical="center" wrapText="1"/>
    </xf>
    <xf numFmtId="165" fontId="13" fillId="0" borderId="0" xfId="0" applyNumberFormat="1" applyFont="1" applyFill="1" applyAlignment="1" applyProtection="1">
      <alignment horizontal="center" vertical="center" wrapText="1"/>
    </xf>
    <xf numFmtId="165" fontId="34" fillId="0" borderId="22" xfId="0" applyNumberFormat="1" applyFont="1" applyFill="1" applyBorder="1" applyAlignment="1" applyProtection="1">
      <alignment horizontal="center" vertical="center" wrapText="1"/>
    </xf>
    <xf numFmtId="165" fontId="34" fillId="0" borderId="31" xfId="0" applyNumberFormat="1" applyFont="1" applyFill="1" applyBorder="1" applyAlignment="1" applyProtection="1">
      <alignment horizontal="center" vertical="center" wrapText="1"/>
    </xf>
    <xf numFmtId="165" fontId="22" fillId="0" borderId="0" xfId="0" applyNumberFormat="1" applyFont="1" applyFill="1" applyAlignment="1" applyProtection="1">
      <alignment horizontal="center" textRotation="180" wrapText="1"/>
      <protection locked="0"/>
    </xf>
    <xf numFmtId="0" fontId="47" fillId="0" borderId="0" xfId="10" applyFont="1" applyFill="1" applyAlignment="1" applyProtection="1">
      <alignment horizontal="center"/>
    </xf>
    <xf numFmtId="0" fontId="27" fillId="0" borderId="0" xfId="9" applyFont="1" applyFill="1" applyAlignment="1" applyProtection="1">
      <alignment horizontal="center" vertical="center" wrapText="1"/>
    </xf>
    <xf numFmtId="0" fontId="27" fillId="0" borderId="43" xfId="9" applyFont="1" applyFill="1" applyBorder="1" applyAlignment="1" applyProtection="1">
      <alignment horizontal="center" vertical="center" wrapText="1"/>
    </xf>
    <xf numFmtId="0" fontId="27" fillId="0" borderId="3" xfId="9" applyFont="1" applyFill="1" applyBorder="1" applyAlignment="1" applyProtection="1">
      <alignment horizontal="center" vertical="center" wrapText="1"/>
    </xf>
    <xf numFmtId="0" fontId="54" fillId="0" borderId="33" xfId="9" applyFont="1" applyFill="1" applyBorder="1" applyAlignment="1" applyProtection="1">
      <alignment horizontal="center" vertical="center" textRotation="90"/>
    </xf>
    <xf numFmtId="0" fontId="54" fillId="0" borderId="1" xfId="9" applyFont="1" applyFill="1" applyBorder="1" applyAlignment="1" applyProtection="1">
      <alignment horizontal="center" vertical="center" textRotation="90"/>
    </xf>
    <xf numFmtId="0" fontId="12" fillId="0" borderId="53" xfId="9" applyFont="1" applyFill="1" applyBorder="1" applyAlignment="1" applyProtection="1">
      <alignment horizontal="center" vertical="center" wrapText="1"/>
    </xf>
    <xf numFmtId="0" fontId="12" fillId="0" borderId="9" xfId="9" applyFont="1" applyFill="1" applyBorder="1" applyAlignment="1" applyProtection="1">
      <alignment horizontal="center" vertical="center"/>
    </xf>
    <xf numFmtId="0" fontId="52" fillId="0" borderId="0" xfId="10" applyFont="1" applyFill="1" applyBorder="1" applyAlignment="1" applyProtection="1">
      <alignment horizontal="center"/>
    </xf>
    <xf numFmtId="0" fontId="47" fillId="0" borderId="0" xfId="10" applyFont="1" applyFill="1" applyAlignment="1" applyProtection="1">
      <alignment horizontal="left"/>
    </xf>
    <xf numFmtId="0" fontId="51" fillId="0" borderId="0" xfId="10" applyFont="1" applyFill="1" applyAlignment="1" applyProtection="1">
      <alignment horizontal="center" vertical="center" wrapText="1"/>
    </xf>
    <xf numFmtId="0" fontId="51" fillId="0" borderId="0" xfId="10" applyFont="1" applyFill="1" applyAlignment="1" applyProtection="1">
      <alignment horizontal="center" vertical="center"/>
    </xf>
    <xf numFmtId="0" fontId="52" fillId="0" borderId="0" xfId="10" applyFont="1" applyFill="1" applyBorder="1" applyAlignment="1" applyProtection="1">
      <alignment horizontal="right"/>
    </xf>
    <xf numFmtId="0" fontId="53" fillId="0" borderId="50" xfId="10" applyFont="1" applyFill="1" applyBorder="1" applyAlignment="1" applyProtection="1">
      <alignment horizontal="center" vertical="center" wrapText="1"/>
    </xf>
    <xf numFmtId="0" fontId="53" fillId="0" borderId="4" xfId="10" applyFont="1" applyFill="1" applyBorder="1" applyAlignment="1" applyProtection="1">
      <alignment horizontal="center" vertical="center" wrapText="1"/>
    </xf>
    <xf numFmtId="0" fontId="53" fillId="0" borderId="29" xfId="10" applyFont="1" applyFill="1" applyBorder="1" applyAlignment="1" applyProtection="1">
      <alignment horizontal="center" vertical="center" wrapText="1"/>
    </xf>
    <xf numFmtId="0" fontId="54" fillId="0" borderId="51" xfId="9" applyFont="1" applyFill="1" applyBorder="1" applyAlignment="1" applyProtection="1">
      <alignment horizontal="center" vertical="center" textRotation="90"/>
    </xf>
    <xf numFmtId="0" fontId="54" fillId="0" borderId="10" xfId="9" applyFont="1" applyFill="1" applyBorder="1" applyAlignment="1" applyProtection="1">
      <alignment horizontal="center" vertical="center" textRotation="90"/>
    </xf>
    <xf numFmtId="0" fontId="54" fillId="0" borderId="34" xfId="9" applyFont="1" applyFill="1" applyBorder="1" applyAlignment="1" applyProtection="1">
      <alignment horizontal="center" vertical="center" textRotation="90"/>
    </xf>
    <xf numFmtId="0" fontId="52" fillId="0" borderId="33" xfId="10" applyFont="1" applyFill="1" applyBorder="1" applyAlignment="1" applyProtection="1">
      <alignment horizontal="center" vertical="center" wrapText="1"/>
    </xf>
    <xf numFmtId="0" fontId="52" fillId="0" borderId="1" xfId="10" applyFont="1" applyFill="1" applyBorder="1" applyAlignment="1" applyProtection="1">
      <alignment horizontal="center" vertical="center" wrapText="1"/>
    </xf>
    <xf numFmtId="0" fontId="52" fillId="0" borderId="52" xfId="10" applyFont="1" applyFill="1" applyBorder="1" applyAlignment="1" applyProtection="1">
      <alignment horizontal="center" vertical="center" wrapText="1"/>
    </xf>
    <xf numFmtId="0" fontId="52" fillId="0" borderId="48" xfId="10" applyFont="1" applyFill="1" applyBorder="1" applyAlignment="1" applyProtection="1">
      <alignment horizontal="center" vertical="center" wrapText="1"/>
    </xf>
    <xf numFmtId="0" fontId="52" fillId="0" borderId="1" xfId="10" applyFont="1" applyFill="1" applyBorder="1" applyAlignment="1" applyProtection="1">
      <alignment horizontal="center" wrapText="1"/>
    </xf>
    <xf numFmtId="0" fontId="52" fillId="0" borderId="9" xfId="10" applyFont="1" applyFill="1" applyBorder="1" applyAlignment="1" applyProtection="1">
      <alignment horizontal="center" wrapText="1"/>
    </xf>
    <xf numFmtId="0" fontId="51" fillId="0" borderId="0" xfId="10" applyFont="1" applyFill="1" applyAlignment="1">
      <alignment horizontal="center" vertical="center" wrapText="1"/>
    </xf>
    <xf numFmtId="0" fontId="51" fillId="0" borderId="0" xfId="10" applyFont="1" applyFill="1" applyAlignment="1">
      <alignment horizontal="center" vertical="center"/>
    </xf>
    <xf numFmtId="0" fontId="29" fillId="0" borderId="27" xfId="10" applyFont="1" applyFill="1" applyBorder="1" applyAlignment="1">
      <alignment horizontal="left"/>
    </xf>
    <xf numFmtId="0" fontId="29" fillId="0" borderId="36" xfId="10" applyFont="1" applyFill="1" applyBorder="1" applyAlignment="1">
      <alignment horizontal="left"/>
    </xf>
    <xf numFmtId="3" fontId="47" fillId="0" borderId="0" xfId="10" applyNumberFormat="1" applyFont="1" applyFill="1" applyAlignment="1">
      <alignment horizontal="center"/>
    </xf>
    <xf numFmtId="0" fontId="51" fillId="0" borderId="0" xfId="10" applyFont="1" applyFill="1" applyAlignment="1">
      <alignment horizontal="center" wrapText="1"/>
    </xf>
    <xf numFmtId="0" fontId="51" fillId="0" borderId="0" xfId="10" applyFont="1" applyFill="1" applyAlignment="1">
      <alignment horizontal="center"/>
    </xf>
    <xf numFmtId="0" fontId="29" fillId="0" borderId="27" xfId="10" applyFont="1" applyFill="1" applyBorder="1" applyAlignment="1">
      <alignment horizontal="left" indent="1"/>
    </xf>
    <xf numFmtId="0" fontId="29" fillId="0" borderId="36" xfId="10" applyFont="1" applyFill="1" applyBorder="1" applyAlignment="1">
      <alignment horizontal="left" indent="1"/>
    </xf>
    <xf numFmtId="0" fontId="65" fillId="0" borderId="0" xfId="0" applyFont="1" applyAlignment="1" applyProtection="1">
      <alignment horizontal="center" vertical="center" wrapText="1"/>
      <protection locked="0"/>
    </xf>
    <xf numFmtId="0" fontId="62" fillId="0" borderId="8" xfId="0" applyFont="1" applyBorder="1" applyAlignment="1" applyProtection="1">
      <alignment wrapText="1"/>
    </xf>
    <xf numFmtId="0" fontId="62" fillId="0" borderId="6" xfId="0" applyFont="1" applyBorder="1" applyAlignment="1" applyProtection="1">
      <alignment wrapText="1"/>
    </xf>
    <xf numFmtId="0" fontId="22" fillId="0" borderId="0" xfId="0" applyFont="1" applyAlignment="1" applyProtection="1">
      <alignment horizontal="center" textRotation="180"/>
    </xf>
    <xf numFmtId="0" fontId="48" fillId="0" borderId="0" xfId="0" applyFont="1" applyFill="1" applyAlignment="1" applyProtection="1">
      <alignment horizontal="center" vertical="top" wrapText="1"/>
      <protection locked="0"/>
    </xf>
    <xf numFmtId="0" fontId="69" fillId="0" borderId="1" xfId="0" quotePrefix="1" applyFont="1" applyFill="1" applyBorder="1" applyAlignment="1">
      <alignment horizontal="center" vertical="center"/>
    </xf>
    <xf numFmtId="0" fontId="68" fillId="0" borderId="15" xfId="0" applyFont="1" applyFill="1" applyBorder="1" applyAlignment="1">
      <alignment vertical="center" wrapText="1"/>
    </xf>
    <xf numFmtId="0" fontId="0" fillId="0" borderId="49" xfId="0" applyBorder="1" applyAlignment="1">
      <alignment vertical="center" wrapText="1"/>
    </xf>
    <xf numFmtId="0" fontId="68" fillId="0" borderId="1" xfId="0" quotePrefix="1" applyFont="1" applyFill="1" applyBorder="1" applyAlignment="1">
      <alignment horizontal="center" vertical="center"/>
    </xf>
    <xf numFmtId="0" fontId="68" fillId="0" borderId="1" xfId="0" applyFont="1" applyFill="1" applyBorder="1" applyAlignment="1">
      <alignment horizontal="left" vertical="center" wrapText="1"/>
    </xf>
    <xf numFmtId="0" fontId="69" fillId="0" borderId="1" xfId="0" applyFont="1" applyFill="1" applyBorder="1" applyAlignment="1">
      <alignment horizontal="left" vertical="center" wrapText="1"/>
    </xf>
    <xf numFmtId="3" fontId="70" fillId="5" borderId="1" xfId="7" applyNumberFormat="1" applyFont="1" applyFill="1" applyBorder="1" applyAlignment="1">
      <alignment horizontal="center" vertical="center" wrapText="1"/>
    </xf>
    <xf numFmtId="0" fontId="7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9" fillId="0" borderId="1" xfId="0" applyFont="1" applyFill="1" applyBorder="1" applyAlignment="1">
      <alignment vertical="center"/>
    </xf>
    <xf numFmtId="0" fontId="68" fillId="0" borderId="1" xfId="0" applyFont="1" applyFill="1" applyBorder="1" applyAlignment="1">
      <alignment vertical="center"/>
    </xf>
    <xf numFmtId="0" fontId="69" fillId="0" borderId="1" xfId="0" applyFont="1" applyFill="1" applyBorder="1" applyAlignment="1">
      <alignment vertical="center" wrapText="1"/>
    </xf>
    <xf numFmtId="0" fontId="68" fillId="0" borderId="1" xfId="0" applyFont="1" applyFill="1" applyBorder="1" applyAlignment="1">
      <alignment vertical="center" wrapText="1"/>
    </xf>
    <xf numFmtId="0" fontId="68" fillId="0" borderId="1" xfId="0" applyFont="1" applyFill="1" applyBorder="1" applyAlignment="1">
      <alignment horizontal="left" vertical="center"/>
    </xf>
    <xf numFmtId="0" fontId="69" fillId="0" borderId="1" xfId="0" applyFont="1" applyFill="1" applyBorder="1" applyAlignment="1">
      <alignment horizontal="left" vertical="center"/>
    </xf>
    <xf numFmtId="0" fontId="69" fillId="6" borderId="1" xfId="6" applyFont="1" applyFill="1" applyBorder="1" applyAlignment="1">
      <alignment horizontal="center" vertical="center" wrapText="1"/>
    </xf>
    <xf numFmtId="0" fontId="70" fillId="0" borderId="1" xfId="0" applyFont="1" applyFill="1" applyBorder="1" applyAlignment="1">
      <alignment vertical="center" wrapText="1"/>
    </xf>
    <xf numFmtId="0" fontId="70" fillId="0" borderId="1" xfId="0" applyFont="1" applyFill="1" applyBorder="1" applyAlignment="1">
      <alignment horizontal="left" vertical="center" wrapText="1"/>
    </xf>
    <xf numFmtId="0" fontId="72" fillId="0" borderId="1" xfId="0" applyFont="1" applyFill="1" applyBorder="1" applyAlignment="1">
      <alignment vertical="center" wrapText="1"/>
    </xf>
    <xf numFmtId="0" fontId="70" fillId="0" borderId="1" xfId="0" applyFont="1" applyFill="1" applyBorder="1" applyAlignment="1">
      <alignment horizontal="left" vertical="center"/>
    </xf>
    <xf numFmtId="0" fontId="70" fillId="7" borderId="1" xfId="0" applyFont="1" applyFill="1" applyBorder="1" applyAlignment="1">
      <alignment horizontal="left" vertical="center" wrapText="1"/>
    </xf>
    <xf numFmtId="173" fontId="69" fillId="0" borderId="1" xfId="0" applyNumberFormat="1" applyFont="1" applyFill="1" applyBorder="1" applyAlignment="1">
      <alignment horizontal="left" vertical="center" wrapText="1"/>
    </xf>
    <xf numFmtId="0" fontId="69" fillId="7" borderId="1" xfId="0" applyFont="1" applyFill="1" applyBorder="1" applyAlignment="1">
      <alignment horizontal="left" vertical="center" wrapText="1"/>
    </xf>
    <xf numFmtId="0" fontId="69" fillId="0" borderId="1" xfId="0" applyFont="1" applyFill="1" applyBorder="1" applyAlignment="1">
      <alignment horizontal="center" vertical="center"/>
    </xf>
    <xf numFmtId="0" fontId="68" fillId="0" borderId="1" xfId="0" applyFont="1" applyFill="1" applyBorder="1" applyAlignment="1">
      <alignment horizontal="center" vertical="center" wrapText="1"/>
    </xf>
    <xf numFmtId="0" fontId="68" fillId="0" borderId="1" xfId="0" applyFont="1" applyFill="1" applyBorder="1" applyAlignment="1">
      <alignment horizontal="center" vertical="center"/>
    </xf>
    <xf numFmtId="0" fontId="73" fillId="0" borderId="1" xfId="0" applyFont="1" applyBorder="1" applyAlignment="1">
      <alignment horizontal="center" vertical="center" wrapText="1"/>
    </xf>
    <xf numFmtId="0" fontId="68" fillId="0" borderId="15" xfId="0" quotePrefix="1" applyFont="1" applyFill="1" applyBorder="1" applyAlignment="1">
      <alignment horizontal="center" vertical="center"/>
    </xf>
    <xf numFmtId="0" fontId="68" fillId="0" borderId="49" xfId="0" quotePrefix="1" applyFont="1" applyFill="1" applyBorder="1" applyAlignment="1">
      <alignment horizontal="center" vertical="center"/>
    </xf>
    <xf numFmtId="0" fontId="69" fillId="0" borderId="15" xfId="0" quotePrefix="1" applyFont="1" applyFill="1" applyBorder="1" applyAlignment="1">
      <alignment horizontal="center" vertical="center"/>
    </xf>
    <xf numFmtId="0" fontId="69" fillId="0" borderId="49" xfId="0" quotePrefix="1" applyFont="1" applyFill="1" applyBorder="1" applyAlignment="1">
      <alignment horizontal="center" vertical="center"/>
    </xf>
  </cellXfs>
  <cellStyles count="25">
    <cellStyle name="Ezres" xfId="1" builtinId="3"/>
    <cellStyle name="Ezres 2" xfId="2" xr:uid="{00000000-0005-0000-0000-000001000000}"/>
    <cellStyle name="Ezres 3" xfId="3" xr:uid="{00000000-0005-0000-0000-000002000000}"/>
    <cellStyle name="Ezres 4" xfId="15" xr:uid="{00000000-0005-0000-0000-000003000000}"/>
    <cellStyle name="Ezres 5" xfId="17" xr:uid="{00000000-0005-0000-0000-000004000000}"/>
    <cellStyle name="Ezres 6" xfId="23" xr:uid="{00000000-0005-0000-0000-000005000000}"/>
    <cellStyle name="Hiperhivatkozás" xfId="4" xr:uid="{00000000-0005-0000-0000-000006000000}"/>
    <cellStyle name="Már látott hiperhivatkozás" xfId="5" xr:uid="{00000000-0005-0000-0000-000007000000}"/>
    <cellStyle name="Normál" xfId="0" builtinId="0"/>
    <cellStyle name="Normál 2" xfId="12" xr:uid="{00000000-0005-0000-0000-000009000000}"/>
    <cellStyle name="Normál 2 2" xfId="21" xr:uid="{00000000-0005-0000-0000-00000A000000}"/>
    <cellStyle name="Normál 3" xfId="13" xr:uid="{00000000-0005-0000-0000-00000B000000}"/>
    <cellStyle name="Normál 3 2" xfId="22" xr:uid="{00000000-0005-0000-0000-00000C000000}"/>
    <cellStyle name="Normál 4" xfId="14" xr:uid="{00000000-0005-0000-0000-00000D000000}"/>
    <cellStyle name="Normál 4 2" xfId="18" xr:uid="{00000000-0005-0000-0000-00000E000000}"/>
    <cellStyle name="Normál 5" xfId="16" xr:uid="{00000000-0005-0000-0000-00000F000000}"/>
    <cellStyle name="Normál 6" xfId="19" xr:uid="{00000000-0005-0000-0000-000010000000}"/>
    <cellStyle name="Normál 7" xfId="20" xr:uid="{00000000-0005-0000-0000-000011000000}"/>
    <cellStyle name="Normál_12_urlap_Mérleg_MJEL 01R_ABCDEF_2014re_nov19" xfId="6" xr:uid="{00000000-0005-0000-0000-000012000000}"/>
    <cellStyle name="Normál_12dmelléklet" xfId="7" xr:uid="{00000000-0005-0000-0000-000013000000}"/>
    <cellStyle name="Normál_KVRENMUNKA" xfId="8" xr:uid="{00000000-0005-0000-0000-000014000000}"/>
    <cellStyle name="Normál_VAGYONK" xfId="9" xr:uid="{00000000-0005-0000-0000-000015000000}"/>
    <cellStyle name="Normál_VAGYONKIM" xfId="10" xr:uid="{00000000-0005-0000-0000-000016000000}"/>
    <cellStyle name="Pénznem 2" xfId="24" xr:uid="{00000000-0005-0000-0000-000017000000}"/>
    <cellStyle name="Százalék" xfId="11" builtinId="5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71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iosi.zsuzsanna.DO-NB-08\Desktop\ktgv_2019_1_sz_m&#243;d_mell&#233;klete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05%20Rendeletek\2019.%20&#233;vi%20rendeletek\4_2019.%202019.%20&#233;vi%20k&#246;lts&#233;gvet&#233;s\4_2019%20k&#246;lts&#233;gvet&#233;si%20rendleet%20mell&#233;klete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FÜGGÉSEK"/>
      <sheetName val="1_2_Mindösszesen"/>
      <sheetName val="3_Mérleg szerinti"/>
      <sheetName val="4_Önkormányzat"/>
      <sheetName val="5_Hivatal"/>
      <sheetName val="6_Óvoda"/>
      <sheetName val="7_Bölcsöde"/>
      <sheetName val="8_KGMH"/>
      <sheetName val="9_Felhalmozás"/>
      <sheetName val="10_Létszám"/>
      <sheetName val="28_ kötelező önként"/>
      <sheetName val="11_Környezetvédelmi Alap"/>
      <sheetName val="12_Tartalék"/>
      <sheetName val="13_Önkormányzat COFOG"/>
      <sheetName val="14_PH COFOG"/>
      <sheetName val="15_Óvoda COFOG"/>
      <sheetName val="16_Bölcsöde COFOG"/>
      <sheetName val="17_KGMH COFOG"/>
      <sheetName val="18_ Közvetett támogatások"/>
      <sheetName val="19_Előirányzat felhasználás"/>
      <sheetName val="20_Gördülő"/>
      <sheetName val="ELLENŐRZÉS-1.sz.2.1.sz.2.2.sz."/>
      <sheetName val="5.sz.mell"/>
      <sheetName val="6.sz.mell"/>
      <sheetName val="7a.sz.mell"/>
      <sheetName val="7b.sz.mell"/>
      <sheetName val="8.sz.mell"/>
      <sheetName val="9.sz.mell"/>
      <sheetName val="5. sz. mell. "/>
      <sheetName val="6.1. sz. mell"/>
      <sheetName val="6.2. sz. mell"/>
      <sheetName val="6.3. sz. mell"/>
      <sheetName val="6.4. sz. mell"/>
      <sheetName val="7.1. sz. mell"/>
      <sheetName val="7.2. sz. mell"/>
      <sheetName val="7.3. sz. mell"/>
      <sheetName val="7.4. sz. mell"/>
      <sheetName val="8.1. sz. mell."/>
      <sheetName val="8.1.1. sz. mell."/>
      <sheetName val="8.1.2. sz. mell."/>
      <sheetName val="8.1.3. sz. mell."/>
      <sheetName val="8.2. sz. mell."/>
      <sheetName val="8.2.1. sz. mell."/>
      <sheetName val="8.2.2. sz. mell."/>
      <sheetName val="8.2.3. sz. mell."/>
      <sheetName val="8.3. sz. mell."/>
      <sheetName val="8.3.1. sz. mell."/>
      <sheetName val="8.3.2. sz. mell. "/>
      <sheetName val="8.3.3. sz. mell."/>
      <sheetName val="10.sz.mell"/>
      <sheetName val="pénzmaradvány"/>
      <sheetName val="1.tájékoztató"/>
      <sheetName val="2. tájékoztató tábla"/>
      <sheetName val="3. tájékoztató tábla"/>
      <sheetName val="4. tájékoztató tábla"/>
      <sheetName val="5. tájékoztató tábla"/>
      <sheetName val="6. tájékoztató tábla"/>
      <sheetName val="Működési bev.és kiad.mérlege"/>
      <sheetName val="Felhalm. bev.és kiad.mérlege"/>
      <sheetName val="vagyonkimutatás.források"/>
      <sheetName val="vagyonkimutatás.eszközök"/>
      <sheetName val="7.3. tájékoztató tábla"/>
      <sheetName val="7.4. tájékoztató tábla"/>
      <sheetName val="8. tájékoztató tábla"/>
      <sheetName val="pénzeszközök változása"/>
      <sheetName val="10. Teljesített kiadások_COFOG"/>
      <sheetName val="11. Teljesített bevételek_COFOG"/>
    </sheetNames>
    <sheetDataSet>
      <sheetData sheetId="0" refreshError="1"/>
      <sheetData sheetId="1" refreshError="1"/>
      <sheetData sheetId="2" refreshError="1"/>
      <sheetData sheetId="3">
        <row r="38">
          <cell r="D38">
            <v>22000000</v>
          </cell>
        </row>
        <row r="39">
          <cell r="D39">
            <v>40000000</v>
          </cell>
        </row>
        <row r="40">
          <cell r="D40">
            <v>58000000</v>
          </cell>
        </row>
        <row r="41">
          <cell r="D41">
            <v>32000000</v>
          </cell>
        </row>
        <row r="42">
          <cell r="D42">
            <v>30000000</v>
          </cell>
        </row>
        <row r="74">
          <cell r="D74">
            <v>121702587</v>
          </cell>
        </row>
        <row r="77">
          <cell r="D77">
            <v>11236412</v>
          </cell>
        </row>
        <row r="94">
          <cell r="D94">
            <v>56308028</v>
          </cell>
        </row>
        <row r="95">
          <cell r="D95">
            <v>11032565</v>
          </cell>
        </row>
        <row r="96">
          <cell r="D96">
            <v>356875368</v>
          </cell>
        </row>
        <row r="97">
          <cell r="D97">
            <v>10217705</v>
          </cell>
        </row>
        <row r="98">
          <cell r="D98">
            <v>43007461</v>
          </cell>
        </row>
        <row r="99">
          <cell r="D99">
            <v>5158461</v>
          </cell>
        </row>
        <row r="103">
          <cell r="D103">
            <v>515000</v>
          </cell>
        </row>
        <row r="108">
          <cell r="D108">
            <v>37334000</v>
          </cell>
        </row>
        <row r="109">
          <cell r="D109">
            <v>182812102</v>
          </cell>
        </row>
        <row r="110">
          <cell r="D110">
            <v>72509745</v>
          </cell>
        </row>
        <row r="112">
          <cell r="D112">
            <v>77518890</v>
          </cell>
        </row>
        <row r="114">
          <cell r="D114">
            <v>32783467</v>
          </cell>
        </row>
        <row r="120">
          <cell r="D120">
            <v>30283467</v>
          </cell>
        </row>
        <row r="122">
          <cell r="D122">
            <v>2500000</v>
          </cell>
        </row>
        <row r="123">
          <cell r="D123">
            <v>14277308</v>
          </cell>
        </row>
        <row r="124">
          <cell r="D124">
            <v>14277308</v>
          </cell>
        </row>
        <row r="126">
          <cell r="D126">
            <v>674530537</v>
          </cell>
        </row>
        <row r="127">
          <cell r="D127">
            <v>96193309</v>
          </cell>
        </row>
        <row r="128">
          <cell r="D128">
            <v>96193309</v>
          </cell>
        </row>
        <row r="131">
          <cell r="D131">
            <v>0</v>
          </cell>
        </row>
        <row r="136">
          <cell r="D136">
            <v>953608692</v>
          </cell>
        </row>
        <row r="138">
          <cell r="D138">
            <v>11236412</v>
          </cell>
        </row>
        <row r="139">
          <cell r="D139">
            <v>940223742</v>
          </cell>
        </row>
        <row r="140">
          <cell r="D140">
            <v>2148538</v>
          </cell>
        </row>
        <row r="141">
          <cell r="D141">
            <v>0</v>
          </cell>
        </row>
        <row r="146">
          <cell r="D146">
            <v>1049802001</v>
          </cell>
        </row>
        <row r="147">
          <cell r="D147">
            <v>1724332538</v>
          </cell>
        </row>
      </sheetData>
      <sheetData sheetId="4">
        <row r="39">
          <cell r="D39">
            <v>900000</v>
          </cell>
        </row>
        <row r="42">
          <cell r="D42">
            <v>243000</v>
          </cell>
        </row>
        <row r="74">
          <cell r="D74">
            <v>2110035</v>
          </cell>
        </row>
        <row r="79">
          <cell r="D79">
            <v>391476973</v>
          </cell>
        </row>
        <row r="96">
          <cell r="D96">
            <v>243246727</v>
          </cell>
        </row>
        <row r="97">
          <cell r="D97">
            <v>50628112</v>
          </cell>
        </row>
        <row r="98">
          <cell r="D98">
            <v>94330534</v>
          </cell>
        </row>
        <row r="100">
          <cell r="D100">
            <v>1050935</v>
          </cell>
        </row>
        <row r="101">
          <cell r="D101">
            <v>1050935</v>
          </cell>
        </row>
        <row r="111">
          <cell r="D111">
            <v>5473700</v>
          </cell>
        </row>
        <row r="112">
          <cell r="D112">
            <v>5473700</v>
          </cell>
        </row>
        <row r="125">
          <cell r="D125">
            <v>0</v>
          </cell>
        </row>
        <row r="128">
          <cell r="D128">
            <v>394730008</v>
          </cell>
        </row>
        <row r="129">
          <cell r="D129">
            <v>0</v>
          </cell>
        </row>
        <row r="133">
          <cell r="D133">
            <v>0</v>
          </cell>
        </row>
        <row r="138">
          <cell r="D138">
            <v>0</v>
          </cell>
        </row>
        <row r="143">
          <cell r="D143">
            <v>0</v>
          </cell>
        </row>
        <row r="148">
          <cell r="D148">
            <v>0</v>
          </cell>
        </row>
        <row r="149">
          <cell r="D149">
            <v>394730008</v>
          </cell>
        </row>
      </sheetData>
      <sheetData sheetId="5">
        <row r="38">
          <cell r="D38">
            <v>1000000</v>
          </cell>
        </row>
        <row r="41">
          <cell r="D41">
            <v>16000000</v>
          </cell>
        </row>
        <row r="42">
          <cell r="D42">
            <v>4320000</v>
          </cell>
        </row>
        <row r="79">
          <cell r="D79">
            <v>384354335</v>
          </cell>
        </row>
        <row r="96">
          <cell r="D96">
            <v>268577586</v>
          </cell>
        </row>
        <row r="97">
          <cell r="D97">
            <v>56042649</v>
          </cell>
        </row>
        <row r="98">
          <cell r="D98">
            <v>80000000</v>
          </cell>
        </row>
        <row r="111">
          <cell r="D111">
            <v>1054100</v>
          </cell>
        </row>
        <row r="112">
          <cell r="D112">
            <v>1054100</v>
          </cell>
        </row>
        <row r="125">
          <cell r="D125">
            <v>0</v>
          </cell>
        </row>
        <row r="128">
          <cell r="D128">
            <v>405674335</v>
          </cell>
        </row>
        <row r="129">
          <cell r="D129">
            <v>0</v>
          </cell>
        </row>
        <row r="133">
          <cell r="D133">
            <v>0</v>
          </cell>
        </row>
        <row r="138">
          <cell r="D138">
            <v>0</v>
          </cell>
        </row>
        <row r="143">
          <cell r="D143">
            <v>0</v>
          </cell>
        </row>
        <row r="148">
          <cell r="D148">
            <v>0</v>
          </cell>
        </row>
        <row r="149">
          <cell r="D149">
            <v>405674335</v>
          </cell>
        </row>
      </sheetData>
      <sheetData sheetId="6">
        <row r="38">
          <cell r="D38">
            <v>2290000</v>
          </cell>
        </row>
        <row r="41">
          <cell r="D41">
            <v>9200000</v>
          </cell>
        </row>
        <row r="42">
          <cell r="D42">
            <v>3102300</v>
          </cell>
        </row>
        <row r="74">
          <cell r="D74">
            <v>188306</v>
          </cell>
        </row>
        <row r="79">
          <cell r="D79">
            <v>81505728</v>
          </cell>
        </row>
        <row r="96">
          <cell r="D96">
            <v>64749228</v>
          </cell>
        </row>
        <row r="97">
          <cell r="D97">
            <v>13085100</v>
          </cell>
        </row>
        <row r="98">
          <cell r="D98">
            <v>17068592</v>
          </cell>
        </row>
        <row r="100">
          <cell r="D100">
            <v>176914</v>
          </cell>
        </row>
        <row r="101">
          <cell r="D101">
            <v>176914</v>
          </cell>
        </row>
        <row r="111">
          <cell r="D111">
            <v>1206500</v>
          </cell>
        </row>
        <row r="112">
          <cell r="D112">
            <v>1206500</v>
          </cell>
        </row>
        <row r="114">
          <cell r="D114">
            <v>0</v>
          </cell>
        </row>
        <row r="125">
          <cell r="D125">
            <v>0</v>
          </cell>
        </row>
        <row r="128">
          <cell r="D128">
            <v>96286334</v>
          </cell>
        </row>
        <row r="129">
          <cell r="D129">
            <v>0</v>
          </cell>
        </row>
        <row r="133">
          <cell r="D133">
            <v>0</v>
          </cell>
        </row>
        <row r="138">
          <cell r="D138">
            <v>0</v>
          </cell>
        </row>
        <row r="143">
          <cell r="D143">
            <v>0</v>
          </cell>
        </row>
        <row r="148">
          <cell r="D148">
            <v>0</v>
          </cell>
        </row>
        <row r="149">
          <cell r="D149">
            <v>96286334</v>
          </cell>
        </row>
      </sheetData>
      <sheetData sheetId="7">
        <row r="39">
          <cell r="D39">
            <v>1500000</v>
          </cell>
        </row>
        <row r="42">
          <cell r="D42">
            <v>405000</v>
          </cell>
        </row>
        <row r="74">
          <cell r="D74">
            <v>721266</v>
          </cell>
        </row>
        <row r="79">
          <cell r="D79">
            <v>82886706</v>
          </cell>
        </row>
        <row r="96">
          <cell r="D96">
            <v>32160680</v>
          </cell>
        </row>
        <row r="97">
          <cell r="D97">
            <v>8409876</v>
          </cell>
        </row>
        <row r="98">
          <cell r="D98">
            <v>37804985</v>
          </cell>
        </row>
        <row r="100">
          <cell r="D100">
            <v>696931</v>
          </cell>
        </row>
        <row r="101">
          <cell r="D101">
            <v>696931</v>
          </cell>
        </row>
        <row r="111">
          <cell r="D111">
            <v>6440500</v>
          </cell>
        </row>
        <row r="112">
          <cell r="D112">
            <v>6440500</v>
          </cell>
        </row>
        <row r="125">
          <cell r="D125">
            <v>0</v>
          </cell>
        </row>
        <row r="127">
          <cell r="D127">
            <v>0</v>
          </cell>
        </row>
        <row r="128">
          <cell r="D128">
            <v>85512972</v>
          </cell>
        </row>
        <row r="129">
          <cell r="D129">
            <v>0</v>
          </cell>
        </row>
        <row r="133">
          <cell r="D133">
            <v>0</v>
          </cell>
        </row>
        <row r="138">
          <cell r="D138">
            <v>0</v>
          </cell>
        </row>
        <row r="143">
          <cell r="D143">
            <v>0</v>
          </cell>
        </row>
        <row r="148">
          <cell r="D148">
            <v>0</v>
          </cell>
        </row>
        <row r="149">
          <cell r="D149">
            <v>85512972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FÜGGÉSEK"/>
      <sheetName val="31_Közvetett támog"/>
      <sheetName val="30_Előir_felh"/>
      <sheetName val="28_Ktelező_önkéntv"/>
      <sheetName val="29_Környezetvédelmi alap"/>
      <sheetName val="27_létszám"/>
      <sheetName val="26_tartalék"/>
      <sheetName val="4_Gördülő"/>
      <sheetName val="25_felhalmozás"/>
      <sheetName val="3_Mérlegszerű"/>
      <sheetName val="1_2_Mindösszesen"/>
      <sheetName val="5_6 Önkormányzat"/>
      <sheetName val="7_8 ÖNKORMÁNYZAT-COFOG"/>
      <sheetName val="9_10 Hivatal"/>
      <sheetName val="11_12_PMH-COFOG"/>
      <sheetName val="13_14_Óvoda"/>
      <sheetName val="15_16_Óvoda-COFOG"/>
      <sheetName val="17_18_Bölcsöde"/>
      <sheetName val="19_20_BÖLCSŐDE-COFOG"/>
      <sheetName val="21_22_KGMH"/>
      <sheetName val="23_24_KGMH-COFOG"/>
      <sheetName val="ELLENŐRZÉS-1.sz.2.1.sz.2.2.sz."/>
      <sheetName val="5.sz.mell"/>
      <sheetName val="6.sz.mell"/>
      <sheetName val="7a.sz.mell"/>
      <sheetName val="7b.sz.mell"/>
      <sheetName val="8.sz.mell"/>
      <sheetName val="9.sz.mell"/>
      <sheetName val="5. sz. mell. "/>
      <sheetName val="6.1. sz. mell"/>
      <sheetName val="6.2. sz. mell"/>
      <sheetName val="6.3. sz. mell"/>
      <sheetName val="6.4. sz. mell"/>
      <sheetName val="7.1. sz. mell"/>
      <sheetName val="7.2. sz. mell"/>
      <sheetName val="7.3. sz. mell"/>
      <sheetName val="7.4. sz. mell"/>
      <sheetName val="8.1. sz. mell."/>
      <sheetName val="8.1.1. sz. mell."/>
      <sheetName val="8.1.2. sz. mell."/>
      <sheetName val="8.1.3. sz. mell."/>
      <sheetName val="8.2. sz. mell."/>
      <sheetName val="8.2.1. sz. mell."/>
      <sheetName val="8.2.2. sz. mell."/>
      <sheetName val="8.2.3. sz. mell."/>
      <sheetName val="8.3. sz. mell."/>
      <sheetName val="8.3.1. sz. mell."/>
      <sheetName val="8.3.2. sz. mell. "/>
      <sheetName val="8.3.3. sz. mell."/>
      <sheetName val="10.sz.mell"/>
      <sheetName val="pénzmaradvány"/>
      <sheetName val="1.tájékoztató"/>
      <sheetName val="2. tájékoztató tábla"/>
      <sheetName val="3. tájékoztató tábla"/>
      <sheetName val="4. tájékoztató tábla"/>
      <sheetName val="5. tájékoztató tábla"/>
      <sheetName val="6. tájékoztató tábla"/>
      <sheetName val="Működési bev.és kiad.mérlege"/>
      <sheetName val="Felhalm. bev.és kiad.mérlege"/>
      <sheetName val="vagyonkimutatás.források"/>
      <sheetName val="vagyonkimutatás.eszközök"/>
      <sheetName val="7.3. tájékoztató tábla"/>
      <sheetName val="7.4. tájékoztató tábla"/>
      <sheetName val="8. tájékoztató tábla"/>
      <sheetName val="pénzeszközök változása"/>
      <sheetName val="10. Teljesített kiadások_COFOG"/>
      <sheetName val="11. Teljesített bevételek_COFOG"/>
      <sheetName val="Munk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8">
          <cell r="C48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4">
          <cell r="C54">
            <v>0</v>
          </cell>
        </row>
        <row r="56">
          <cell r="C56">
            <v>0</v>
          </cell>
        </row>
        <row r="57">
          <cell r="C57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5">
          <cell r="C75">
            <v>0</v>
          </cell>
        </row>
        <row r="78">
          <cell r="C78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</sheetData>
      <sheetData sheetId="12"/>
      <sheetData sheetId="13">
        <row r="49">
          <cell r="C49">
            <v>0</v>
          </cell>
        </row>
        <row r="51">
          <cell r="C51">
            <v>0</v>
          </cell>
        </row>
        <row r="52">
          <cell r="C52">
            <v>0</v>
          </cell>
        </row>
        <row r="53">
          <cell r="C53">
            <v>0</v>
          </cell>
        </row>
        <row r="55">
          <cell r="C55">
            <v>0</v>
          </cell>
        </row>
        <row r="57">
          <cell r="C57">
            <v>0</v>
          </cell>
        </row>
        <row r="58">
          <cell r="C58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3">
          <cell r="C73">
            <v>0</v>
          </cell>
        </row>
        <row r="76">
          <cell r="C76">
            <v>0</v>
          </cell>
        </row>
        <row r="79">
          <cell r="C79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86">
          <cell r="C86">
            <v>0</v>
          </cell>
        </row>
      </sheetData>
      <sheetData sheetId="14"/>
      <sheetData sheetId="15">
        <row r="48">
          <cell r="C48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4">
          <cell r="C54">
            <v>0</v>
          </cell>
        </row>
        <row r="56">
          <cell r="C56">
            <v>0</v>
          </cell>
        </row>
        <row r="57">
          <cell r="C57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5">
          <cell r="C75">
            <v>0</v>
          </cell>
        </row>
        <row r="78">
          <cell r="C78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</sheetData>
      <sheetData sheetId="16"/>
      <sheetData sheetId="17">
        <row r="48">
          <cell r="C48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4">
          <cell r="C54">
            <v>0</v>
          </cell>
        </row>
        <row r="56">
          <cell r="C56">
            <v>0</v>
          </cell>
        </row>
        <row r="57">
          <cell r="C57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5">
          <cell r="C75">
            <v>0</v>
          </cell>
        </row>
        <row r="78">
          <cell r="C78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</sheetData>
      <sheetData sheetId="18"/>
      <sheetData sheetId="19">
        <row r="48">
          <cell r="C48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4">
          <cell r="C54">
            <v>0</v>
          </cell>
        </row>
        <row r="56">
          <cell r="C56">
            <v>0</v>
          </cell>
        </row>
        <row r="57">
          <cell r="C57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5">
          <cell r="C75">
            <v>0</v>
          </cell>
        </row>
        <row r="78">
          <cell r="C78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H41"/>
  <sheetViews>
    <sheetView zoomScaleNormal="100" workbookViewId="0">
      <selection activeCell="A10" sqref="A10"/>
    </sheetView>
  </sheetViews>
  <sheetFormatPr defaultColWidth="9.33203125" defaultRowHeight="13.2" x14ac:dyDescent="0.25"/>
  <cols>
    <col min="1" max="1" width="46.33203125" style="305" customWidth="1"/>
    <col min="2" max="2" width="66.109375" style="305" customWidth="1"/>
    <col min="3" max="16384" width="9.33203125" style="305"/>
  </cols>
  <sheetData>
    <row r="1" spans="1:2" ht="17.399999999999999" x14ac:dyDescent="0.3">
      <c r="A1" s="485" t="s">
        <v>0</v>
      </c>
    </row>
    <row r="3" spans="1:2" x14ac:dyDescent="0.25">
      <c r="A3" s="486"/>
      <c r="B3" s="486"/>
    </row>
    <row r="4" spans="1:2" ht="15.6" x14ac:dyDescent="0.3">
      <c r="A4" s="460" t="s">
        <v>1787</v>
      </c>
      <c r="B4" s="487"/>
    </row>
    <row r="5" spans="1:2" s="488" customFormat="1" x14ac:dyDescent="0.25">
      <c r="A5" s="486"/>
      <c r="B5" s="486"/>
    </row>
    <row r="6" spans="1:2" x14ac:dyDescent="0.25">
      <c r="A6" s="486" t="s">
        <v>1</v>
      </c>
      <c r="B6" s="486" t="s">
        <v>2</v>
      </c>
    </row>
    <row r="7" spans="1:2" x14ac:dyDescent="0.25">
      <c r="A7" s="486" t="s">
        <v>3</v>
      </c>
      <c r="B7" s="486" t="s">
        <v>4</v>
      </c>
    </row>
    <row r="8" spans="1:2" x14ac:dyDescent="0.25">
      <c r="A8" s="486" t="s">
        <v>5</v>
      </c>
      <c r="B8" s="486" t="s">
        <v>6</v>
      </c>
    </row>
    <row r="9" spans="1:2" x14ac:dyDescent="0.25">
      <c r="A9" s="486"/>
      <c r="B9" s="486"/>
    </row>
    <row r="10" spans="1:2" ht="15.6" x14ac:dyDescent="0.3">
      <c r="A10" s="460" t="str">
        <f>+CONCATENATE(LEFT(A4,4),". évi módosított előirányzat BEVÉTELEK")</f>
        <v>2016. évi módosított előirányzat BEVÉTELEK</v>
      </c>
      <c r="B10" s="487"/>
    </row>
    <row r="11" spans="1:2" x14ac:dyDescent="0.25">
      <c r="A11" s="486"/>
      <c r="B11" s="486"/>
    </row>
    <row r="12" spans="1:2" s="488" customFormat="1" x14ac:dyDescent="0.25">
      <c r="A12" s="486" t="s">
        <v>7</v>
      </c>
      <c r="B12" s="486" t="s">
        <v>8</v>
      </c>
    </row>
    <row r="13" spans="1:2" x14ac:dyDescent="0.25">
      <c r="A13" s="486" t="s">
        <v>9</v>
      </c>
      <c r="B13" s="486" t="s">
        <v>10</v>
      </c>
    </row>
    <row r="14" spans="1:2" x14ac:dyDescent="0.25">
      <c r="A14" s="486" t="s">
        <v>11</v>
      </c>
      <c r="B14" s="486" t="s">
        <v>12</v>
      </c>
    </row>
    <row r="15" spans="1:2" x14ac:dyDescent="0.25">
      <c r="A15" s="486"/>
      <c r="B15" s="486"/>
    </row>
    <row r="16" spans="1:2" ht="13.8" x14ac:dyDescent="0.25">
      <c r="A16" s="489" t="str">
        <f>+CONCATENATE(LEFT(A4,4),". évi teljesítés BEVÉTELEK")</f>
        <v>2016. évi teljesítés BEVÉTELEK</v>
      </c>
      <c r="B16" s="487"/>
    </row>
    <row r="17" spans="1:2" x14ac:dyDescent="0.25">
      <c r="A17" s="486"/>
      <c r="B17" s="486"/>
    </row>
    <row r="18" spans="1:2" x14ac:dyDescent="0.25">
      <c r="A18" s="486" t="s">
        <v>13</v>
      </c>
      <c r="B18" s="486" t="s">
        <v>14</v>
      </c>
    </row>
    <row r="19" spans="1:2" x14ac:dyDescent="0.25">
      <c r="A19" s="486" t="s">
        <v>15</v>
      </c>
      <c r="B19" s="486" t="s">
        <v>16</v>
      </c>
    </row>
    <row r="20" spans="1:2" x14ac:dyDescent="0.25">
      <c r="A20" s="486" t="s">
        <v>17</v>
      </c>
      <c r="B20" s="486" t="s">
        <v>18</v>
      </c>
    </row>
    <row r="21" spans="1:2" x14ac:dyDescent="0.25">
      <c r="A21" s="486"/>
      <c r="B21" s="486"/>
    </row>
    <row r="22" spans="1:2" ht="15.6" x14ac:dyDescent="0.3">
      <c r="A22" s="460" t="str">
        <f>+CONCATENATE(LEFT(A4,4),". évi eredeti előirányzat KIADÁSOK")</f>
        <v>2016. évi eredeti előirányzat KIADÁSOK</v>
      </c>
      <c r="B22" s="487"/>
    </row>
    <row r="23" spans="1:2" x14ac:dyDescent="0.25">
      <c r="A23" s="486"/>
      <c r="B23" s="486"/>
    </row>
    <row r="24" spans="1:2" x14ac:dyDescent="0.25">
      <c r="A24" s="486" t="s">
        <v>19</v>
      </c>
      <c r="B24" s="486" t="s">
        <v>20</v>
      </c>
    </row>
    <row r="25" spans="1:2" x14ac:dyDescent="0.25">
      <c r="A25" s="486" t="s">
        <v>21</v>
      </c>
      <c r="B25" s="486" t="s">
        <v>22</v>
      </c>
    </row>
    <row r="26" spans="1:2" x14ac:dyDescent="0.25">
      <c r="A26" s="486" t="s">
        <v>23</v>
      </c>
      <c r="B26" s="486" t="s">
        <v>24</v>
      </c>
    </row>
    <row r="27" spans="1:2" x14ac:dyDescent="0.25">
      <c r="A27" s="486"/>
      <c r="B27" s="486"/>
    </row>
    <row r="28" spans="1:2" ht="15.6" x14ac:dyDescent="0.3">
      <c r="A28" s="460" t="str">
        <f>+CONCATENATE(LEFT(A4,4),". évi módosított előirányzat KIADÁSOK")</f>
        <v>2016. évi módosított előirányzat KIADÁSOK</v>
      </c>
      <c r="B28" s="487"/>
    </row>
    <row r="29" spans="1:2" x14ac:dyDescent="0.25">
      <c r="A29" s="486"/>
      <c r="B29" s="486"/>
    </row>
    <row r="30" spans="1:2" x14ac:dyDescent="0.25">
      <c r="A30" s="486" t="s">
        <v>25</v>
      </c>
      <c r="B30" s="486" t="s">
        <v>26</v>
      </c>
    </row>
    <row r="31" spans="1:2" x14ac:dyDescent="0.25">
      <c r="A31" s="486" t="s">
        <v>27</v>
      </c>
      <c r="B31" s="486" t="s">
        <v>28</v>
      </c>
    </row>
    <row r="32" spans="1:2" x14ac:dyDescent="0.25">
      <c r="A32" s="486" t="s">
        <v>29</v>
      </c>
      <c r="B32" s="486" t="s">
        <v>30</v>
      </c>
    </row>
    <row r="33" spans="1:8" x14ac:dyDescent="0.25">
      <c r="A33" s="486"/>
      <c r="B33" s="486"/>
    </row>
    <row r="34" spans="1:8" ht="15.6" x14ac:dyDescent="0.3">
      <c r="A34" s="490" t="str">
        <f>+CONCATENATE(LEFT(A4,4),". évi teljesítés KIADÁSOK")</f>
        <v>2016. évi teljesítés KIADÁSOK</v>
      </c>
      <c r="B34" s="487"/>
    </row>
    <row r="35" spans="1:8" x14ac:dyDescent="0.25">
      <c r="A35" s="486"/>
      <c r="B35" s="486"/>
    </row>
    <row r="36" spans="1:8" x14ac:dyDescent="0.25">
      <c r="A36" s="486" t="s">
        <v>31</v>
      </c>
      <c r="B36" s="486" t="s">
        <v>32</v>
      </c>
    </row>
    <row r="37" spans="1:8" x14ac:dyDescent="0.25">
      <c r="A37" s="486" t="s">
        <v>33</v>
      </c>
      <c r="B37" s="486" t="s">
        <v>34</v>
      </c>
    </row>
    <row r="38" spans="1:8" x14ac:dyDescent="0.25">
      <c r="A38" s="486" t="s">
        <v>35</v>
      </c>
      <c r="B38" s="486" t="s">
        <v>36</v>
      </c>
    </row>
    <row r="40" spans="1:8" x14ac:dyDescent="0.25">
      <c r="A40" s="662" t="s">
        <v>37</v>
      </c>
      <c r="B40" s="663"/>
      <c r="C40" s="663"/>
      <c r="D40" s="663"/>
      <c r="E40" s="663"/>
      <c r="F40" s="663"/>
      <c r="G40" s="664"/>
      <c r="H40" s="664"/>
    </row>
    <row r="41" spans="1:8" x14ac:dyDescent="0.25">
      <c r="A41" s="662" t="s">
        <v>38</v>
      </c>
      <c r="B41" s="663"/>
      <c r="C41" s="663"/>
      <c r="D41" s="663"/>
      <c r="E41" s="663"/>
      <c r="F41" s="663"/>
      <c r="G41" s="664"/>
      <c r="H41" s="664"/>
    </row>
  </sheetData>
  <phoneticPr fontId="33" type="noConversion"/>
  <pageMargins left="1.0629921259842521" right="1.0236220472440944" top="0.78740157480314965" bottom="0.78740157480314965" header="0.70866141732283472" footer="0.70866141732283472"/>
  <pageSetup paperSize="9" scale="77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G24"/>
  <sheetViews>
    <sheetView view="pageLayout" zoomScale="68" zoomScaleNormal="100" zoomScalePageLayoutView="68" workbookViewId="0">
      <selection activeCell="E3" sqref="E3"/>
    </sheetView>
  </sheetViews>
  <sheetFormatPr defaultColWidth="9.33203125" defaultRowHeight="14.4" x14ac:dyDescent="0.3"/>
  <cols>
    <col min="1" max="1" width="11.44140625" style="831" bestFit="1" customWidth="1"/>
    <col min="2" max="2" width="113" style="831" customWidth="1"/>
    <col min="3" max="3" width="24.77734375" style="831" bestFit="1" customWidth="1"/>
    <col min="4" max="4" width="22" style="831" bestFit="1" customWidth="1"/>
    <col min="5" max="5" width="24" style="831" customWidth="1"/>
    <col min="6" max="6" width="23.44140625" style="831" customWidth="1"/>
    <col min="7" max="7" width="16.77734375" style="831" bestFit="1" customWidth="1"/>
    <col min="8" max="16384" width="9.33203125" style="831"/>
  </cols>
  <sheetData>
    <row r="1" spans="1:7" ht="15" thickBot="1" x14ac:dyDescent="0.35">
      <c r="G1" s="845" t="s">
        <v>1810</v>
      </c>
    </row>
    <row r="2" spans="1:7" ht="47.4" thickBot="1" x14ac:dyDescent="0.35">
      <c r="A2" s="846" t="s">
        <v>588</v>
      </c>
      <c r="B2" s="846" t="s">
        <v>1811</v>
      </c>
      <c r="C2" s="846" t="s">
        <v>1812</v>
      </c>
      <c r="D2" s="846" t="s">
        <v>1813</v>
      </c>
      <c r="E2" s="847" t="s">
        <v>1814</v>
      </c>
      <c r="F2" s="847" t="s">
        <v>1815</v>
      </c>
      <c r="G2" s="848" t="s">
        <v>398</v>
      </c>
    </row>
    <row r="3" spans="1:7" ht="15.6" x14ac:dyDescent="0.3">
      <c r="A3" s="849" t="s">
        <v>51</v>
      </c>
      <c r="B3" s="850" t="s">
        <v>1816</v>
      </c>
      <c r="C3" s="851">
        <v>1</v>
      </c>
      <c r="D3" s="852"/>
      <c r="E3" s="853" t="s">
        <v>2179</v>
      </c>
      <c r="F3" s="853"/>
      <c r="G3" s="854">
        <f>SUM(C3:E3)</f>
        <v>1</v>
      </c>
    </row>
    <row r="4" spans="1:7" ht="15.6" x14ac:dyDescent="0.3">
      <c r="A4" s="855" t="s">
        <v>65</v>
      </c>
      <c r="B4" s="856" t="s">
        <v>1817</v>
      </c>
      <c r="C4" s="857">
        <v>1</v>
      </c>
      <c r="D4" s="858"/>
      <c r="E4" s="859"/>
      <c r="F4" s="859"/>
      <c r="G4" s="860">
        <f t="shared" ref="G4:G19" si="0">SUM(C4:E4)</f>
        <v>1</v>
      </c>
    </row>
    <row r="5" spans="1:7" ht="16.2" thickBot="1" x14ac:dyDescent="0.35">
      <c r="A5" s="861" t="s">
        <v>79</v>
      </c>
      <c r="B5" s="862" t="s">
        <v>1818</v>
      </c>
      <c r="C5" s="863">
        <v>5</v>
      </c>
      <c r="D5" s="864"/>
      <c r="E5" s="865"/>
      <c r="F5" s="865"/>
      <c r="G5" s="866">
        <f t="shared" si="0"/>
        <v>5</v>
      </c>
    </row>
    <row r="6" spans="1:7" ht="16.2" thickBot="1" x14ac:dyDescent="0.35">
      <c r="A6" s="867" t="s">
        <v>262</v>
      </c>
      <c r="B6" s="868" t="s">
        <v>1819</v>
      </c>
      <c r="C6" s="869">
        <f>SUM(C3:C5)</f>
        <v>7</v>
      </c>
      <c r="D6" s="870">
        <f t="shared" ref="D6:G6" si="1">SUM(D3:D5)</f>
        <v>0</v>
      </c>
      <c r="E6" s="870">
        <f t="shared" si="1"/>
        <v>0</v>
      </c>
      <c r="F6" s="870">
        <f t="shared" si="1"/>
        <v>0</v>
      </c>
      <c r="G6" s="871">
        <f t="shared" si="1"/>
        <v>7</v>
      </c>
    </row>
    <row r="7" spans="1:7" ht="15.6" x14ac:dyDescent="0.3">
      <c r="A7" s="872" t="s">
        <v>107</v>
      </c>
      <c r="B7" s="873" t="s">
        <v>1820</v>
      </c>
      <c r="C7" s="874">
        <v>32</v>
      </c>
      <c r="D7" s="875">
        <v>2</v>
      </c>
      <c r="E7" s="876">
        <v>1</v>
      </c>
      <c r="F7" s="876">
        <v>0</v>
      </c>
      <c r="G7" s="877">
        <f t="shared" si="0"/>
        <v>35</v>
      </c>
    </row>
    <row r="8" spans="1:7" ht="15.6" x14ac:dyDescent="0.3">
      <c r="A8" s="855" t="s">
        <v>129</v>
      </c>
      <c r="B8" s="856" t="s">
        <v>1821</v>
      </c>
      <c r="C8" s="857">
        <v>2</v>
      </c>
      <c r="D8" s="858"/>
      <c r="E8" s="859"/>
      <c r="F8" s="859"/>
      <c r="G8" s="860">
        <f t="shared" si="0"/>
        <v>2</v>
      </c>
    </row>
    <row r="9" spans="1:7" ht="16.2" thickBot="1" x14ac:dyDescent="0.35">
      <c r="A9" s="855" t="s">
        <v>273</v>
      </c>
      <c r="B9" s="856" t="s">
        <v>1822</v>
      </c>
      <c r="C9" s="857">
        <v>13</v>
      </c>
      <c r="D9" s="858">
        <v>1</v>
      </c>
      <c r="E9" s="859">
        <v>4</v>
      </c>
      <c r="F9" s="859"/>
      <c r="G9" s="860">
        <f t="shared" si="0"/>
        <v>18</v>
      </c>
    </row>
    <row r="10" spans="1:7" ht="16.2" thickBot="1" x14ac:dyDescent="0.35">
      <c r="A10" s="867" t="s">
        <v>161</v>
      </c>
      <c r="B10" s="868" t="s">
        <v>1823</v>
      </c>
      <c r="C10" s="869">
        <f>SUM(C7:C9)</f>
        <v>47</v>
      </c>
      <c r="D10" s="870">
        <f>SUM(D7:D9)</f>
        <v>3</v>
      </c>
      <c r="E10" s="870">
        <f>SUM(E7:E9)</f>
        <v>5</v>
      </c>
      <c r="F10" s="870">
        <f>SUM(F7:F9)</f>
        <v>0</v>
      </c>
      <c r="G10" s="871">
        <f>SUM(G7:G9)</f>
        <v>55</v>
      </c>
    </row>
    <row r="11" spans="1:7" ht="15.6" x14ac:dyDescent="0.3">
      <c r="A11" s="872" t="s">
        <v>285</v>
      </c>
      <c r="B11" s="873" t="s">
        <v>1824</v>
      </c>
      <c r="C11" s="878">
        <v>63</v>
      </c>
      <c r="D11" s="879">
        <v>1</v>
      </c>
      <c r="E11" s="876">
        <v>2</v>
      </c>
      <c r="F11" s="876"/>
      <c r="G11" s="877">
        <f t="shared" si="0"/>
        <v>66</v>
      </c>
    </row>
    <row r="12" spans="1:7" ht="15.6" x14ac:dyDescent="0.3">
      <c r="A12" s="855" t="s">
        <v>307</v>
      </c>
      <c r="B12" s="856" t="s">
        <v>1825</v>
      </c>
      <c r="C12" s="880">
        <v>4</v>
      </c>
      <c r="D12" s="881"/>
      <c r="E12" s="859">
        <v>2</v>
      </c>
      <c r="F12" s="859"/>
      <c r="G12" s="860">
        <f>SUM(C12:F12)</f>
        <v>6</v>
      </c>
    </row>
    <row r="13" spans="1:7" ht="16.2" thickBot="1" x14ac:dyDescent="0.35">
      <c r="A13" s="861" t="s">
        <v>308</v>
      </c>
      <c r="B13" s="862" t="s">
        <v>1826</v>
      </c>
      <c r="C13" s="882">
        <v>1</v>
      </c>
      <c r="D13" s="883"/>
      <c r="E13" s="865"/>
      <c r="F13" s="865"/>
      <c r="G13" s="866">
        <f t="shared" si="0"/>
        <v>1</v>
      </c>
    </row>
    <row r="14" spans="1:7" ht="16.2" thickBot="1" x14ac:dyDescent="0.35">
      <c r="A14" s="867" t="s">
        <v>309</v>
      </c>
      <c r="B14" s="868" t="s">
        <v>1827</v>
      </c>
      <c r="C14" s="884">
        <f>SUM(C11:C13)</f>
        <v>68</v>
      </c>
      <c r="D14" s="885">
        <f t="shared" ref="D14:G14" si="2">SUM(D11:D13)</f>
        <v>1</v>
      </c>
      <c r="E14" s="885">
        <f t="shared" si="2"/>
        <v>4</v>
      </c>
      <c r="F14" s="885">
        <f t="shared" si="2"/>
        <v>0</v>
      </c>
      <c r="G14" s="871">
        <f t="shared" si="2"/>
        <v>73</v>
      </c>
    </row>
    <row r="15" spans="1:7" ht="15.6" x14ac:dyDescent="0.3">
      <c r="A15" s="872" t="s">
        <v>312</v>
      </c>
      <c r="B15" s="873" t="s">
        <v>1828</v>
      </c>
      <c r="C15" s="878">
        <v>14</v>
      </c>
      <c r="D15" s="879"/>
      <c r="E15" s="886">
        <v>1</v>
      </c>
      <c r="F15" s="886"/>
      <c r="G15" s="877">
        <f t="shared" si="0"/>
        <v>15</v>
      </c>
    </row>
    <row r="16" spans="1:7" ht="16.2" thickBot="1" x14ac:dyDescent="0.35">
      <c r="A16" s="861" t="s">
        <v>315</v>
      </c>
      <c r="B16" s="862" t="s">
        <v>1829</v>
      </c>
      <c r="C16" s="882">
        <v>4</v>
      </c>
      <c r="D16" s="883"/>
      <c r="E16" s="887"/>
      <c r="F16" s="887"/>
      <c r="G16" s="866">
        <f t="shared" si="0"/>
        <v>4</v>
      </c>
    </row>
    <row r="17" spans="1:7" ht="16.2" thickBot="1" x14ac:dyDescent="0.35">
      <c r="A17" s="867" t="s">
        <v>318</v>
      </c>
      <c r="B17" s="868" t="s">
        <v>1830</v>
      </c>
      <c r="C17" s="884">
        <f>SUM(C15:C16)</f>
        <v>18</v>
      </c>
      <c r="D17" s="885">
        <f t="shared" ref="D17:G17" si="3">SUM(D15:D16)</f>
        <v>0</v>
      </c>
      <c r="E17" s="885">
        <f t="shared" si="3"/>
        <v>1</v>
      </c>
      <c r="F17" s="885">
        <f t="shared" si="3"/>
        <v>0</v>
      </c>
      <c r="G17" s="871">
        <f t="shared" si="3"/>
        <v>19</v>
      </c>
    </row>
    <row r="18" spans="1:7" ht="15.6" x14ac:dyDescent="0.3">
      <c r="A18" s="872" t="s">
        <v>321</v>
      </c>
      <c r="B18" s="888" t="s">
        <v>1831</v>
      </c>
      <c r="C18" s="874">
        <v>5</v>
      </c>
      <c r="D18" s="875"/>
      <c r="E18" s="889">
        <v>1</v>
      </c>
      <c r="F18" s="889"/>
      <c r="G18" s="877">
        <f t="shared" si="0"/>
        <v>6</v>
      </c>
    </row>
    <row r="19" spans="1:7" ht="16.2" thickBot="1" x14ac:dyDescent="0.35">
      <c r="A19" s="861" t="s">
        <v>324</v>
      </c>
      <c r="B19" s="862" t="s">
        <v>1832</v>
      </c>
      <c r="C19" s="890">
        <v>3</v>
      </c>
      <c r="D19" s="887"/>
      <c r="E19" s="887"/>
      <c r="F19" s="887"/>
      <c r="G19" s="866">
        <f t="shared" si="0"/>
        <v>3</v>
      </c>
    </row>
    <row r="20" spans="1:7" ht="16.2" thickBot="1" x14ac:dyDescent="0.35">
      <c r="A20" s="867" t="s">
        <v>327</v>
      </c>
      <c r="B20" s="868" t="s">
        <v>1833</v>
      </c>
      <c r="C20" s="891">
        <f>SUM(C18:C19)</f>
        <v>8</v>
      </c>
      <c r="D20" s="892">
        <f t="shared" ref="D20:G20" si="4">SUM(D18:D19)</f>
        <v>0</v>
      </c>
      <c r="E20" s="892">
        <f t="shared" si="4"/>
        <v>1</v>
      </c>
      <c r="F20" s="892">
        <f t="shared" si="4"/>
        <v>0</v>
      </c>
      <c r="G20" s="871">
        <f t="shared" si="4"/>
        <v>9</v>
      </c>
    </row>
    <row r="21" spans="1:7" ht="16.2" thickBot="1" x14ac:dyDescent="0.35">
      <c r="A21" s="867" t="s">
        <v>330</v>
      </c>
      <c r="B21" s="893" t="s">
        <v>1834</v>
      </c>
      <c r="C21" s="891">
        <f>C6+C10+C14+C17+C20</f>
        <v>148</v>
      </c>
      <c r="D21" s="885">
        <f>D6+D10+D14+D17+D20</f>
        <v>4</v>
      </c>
      <c r="E21" s="885">
        <f>E6+E10+E14+E17+E20</f>
        <v>11</v>
      </c>
      <c r="F21" s="885">
        <f>F6+F10+F14+F17+F20</f>
        <v>0</v>
      </c>
      <c r="G21" s="894">
        <f>G6+G10+G14+G17+G20</f>
        <v>163</v>
      </c>
    </row>
    <row r="22" spans="1:7" ht="15.6" x14ac:dyDescent="0.3">
      <c r="A22" s="895" t="s">
        <v>333</v>
      </c>
      <c r="B22" s="896" t="s">
        <v>1835</v>
      </c>
      <c r="C22" s="897">
        <v>32</v>
      </c>
      <c r="D22" s="898">
        <f>D7+D8</f>
        <v>2</v>
      </c>
      <c r="E22" s="898">
        <f>E7+E8</f>
        <v>1</v>
      </c>
      <c r="F22" s="898">
        <f>F7+F8</f>
        <v>0</v>
      </c>
      <c r="G22" s="896">
        <f>SUM(C22:F22)</f>
        <v>35</v>
      </c>
    </row>
    <row r="23" spans="1:7" ht="15.6" x14ac:dyDescent="0.3">
      <c r="A23" s="899" t="s">
        <v>336</v>
      </c>
      <c r="B23" s="900" t="s">
        <v>1836</v>
      </c>
      <c r="C23" s="897">
        <f>C14+C17+C20+C5</f>
        <v>99</v>
      </c>
      <c r="D23" s="898">
        <f>D14+D17+D20+D5</f>
        <v>1</v>
      </c>
      <c r="E23" s="898">
        <f>E14+E17+E20+E5</f>
        <v>6</v>
      </c>
      <c r="F23" s="898">
        <f>F14+F17+F20+F5</f>
        <v>0</v>
      </c>
      <c r="G23" s="900">
        <f>SUM(C23:F23)</f>
        <v>106</v>
      </c>
    </row>
    <row r="24" spans="1:7" ht="16.2" thickBot="1" x14ac:dyDescent="0.35">
      <c r="A24" s="901" t="s">
        <v>339</v>
      </c>
      <c r="B24" s="902" t="s">
        <v>1837</v>
      </c>
      <c r="C24" s="903">
        <v>13</v>
      </c>
      <c r="D24" s="904">
        <v>1</v>
      </c>
      <c r="E24" s="904">
        <v>4</v>
      </c>
      <c r="F24" s="904">
        <v>0</v>
      </c>
      <c r="G24" s="902">
        <f>SUM(C24:F24)</f>
        <v>18</v>
      </c>
    </row>
  </sheetData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Header xml:space="preserve">&amp;C
&amp;"Times New Roman CE,Félkövér"&amp;14Létszám alakulása&amp;R&amp;"Times New Roman CE,Dőlt"27. melléklet a 2/2020. (II.28.) önkormányzati rendelethez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2:F159"/>
  <sheetViews>
    <sheetView view="pageLayout" topLeftCell="A89" zoomScaleNormal="100" zoomScaleSheetLayoutView="106" workbookViewId="0">
      <selection activeCell="F129" sqref="F129"/>
    </sheetView>
  </sheetViews>
  <sheetFormatPr defaultColWidth="9.33203125" defaultRowHeight="15.6" x14ac:dyDescent="0.3"/>
  <cols>
    <col min="1" max="1" width="9.44140625" style="395" customWidth="1"/>
    <col min="2" max="2" width="60.77734375" style="395" customWidth="1"/>
    <col min="3" max="3" width="15.77734375" style="396" customWidth="1"/>
    <col min="4" max="4" width="14.33203125" style="396" bestFit="1" customWidth="1"/>
    <col min="5" max="5" width="14.77734375" style="406" customWidth="1"/>
    <col min="6" max="6" width="15" style="406" customWidth="1"/>
    <col min="7" max="16384" width="9.33203125" style="406"/>
  </cols>
  <sheetData>
    <row r="2" spans="1:6" ht="16.2" thickBot="1" x14ac:dyDescent="0.35">
      <c r="B2" s="764"/>
    </row>
    <row r="3" spans="1:6" ht="15.9" customHeight="1" x14ac:dyDescent="0.3">
      <c r="A3" s="1617" t="s">
        <v>39</v>
      </c>
      <c r="B3" s="1618"/>
      <c r="C3" s="1618"/>
      <c r="D3" s="1618"/>
      <c r="E3" s="1618"/>
      <c r="F3" s="1619"/>
    </row>
    <row r="4" spans="1:6" ht="15.9" customHeight="1" thickBot="1" x14ac:dyDescent="0.35">
      <c r="A4" s="1405" t="s">
        <v>501</v>
      </c>
      <c r="B4" s="42"/>
      <c r="C4" s="393"/>
      <c r="D4" s="393"/>
      <c r="E4" s="393"/>
      <c r="F4" s="1406" t="s">
        <v>1690</v>
      </c>
    </row>
    <row r="5" spans="1:6" ht="15.9" customHeight="1" thickBot="1" x14ac:dyDescent="0.35">
      <c r="A5" s="1639" t="s">
        <v>41</v>
      </c>
      <c r="B5" s="1640" t="s">
        <v>42</v>
      </c>
      <c r="C5" s="1628" t="s">
        <v>1795</v>
      </c>
      <c r="D5" s="1629"/>
      <c r="E5" s="1629"/>
      <c r="F5" s="1630"/>
    </row>
    <row r="6" spans="1:6" ht="38.1" customHeight="1" thickBot="1" x14ac:dyDescent="0.35">
      <c r="A6" s="1625"/>
      <c r="B6" s="1627"/>
      <c r="C6" s="1404" t="s">
        <v>2131</v>
      </c>
      <c r="D6" s="1407" t="s">
        <v>474</v>
      </c>
      <c r="E6" s="1402" t="s">
        <v>444</v>
      </c>
      <c r="F6" s="1402" t="s">
        <v>398</v>
      </c>
    </row>
    <row r="7" spans="1:6" s="407" customFormat="1" ht="12" customHeight="1" thickBot="1" x14ac:dyDescent="0.25">
      <c r="A7" s="372" t="s">
        <v>46</v>
      </c>
      <c r="B7" s="373" t="s">
        <v>47</v>
      </c>
      <c r="C7" s="373" t="s">
        <v>48</v>
      </c>
      <c r="D7" s="936" t="s">
        <v>49</v>
      </c>
      <c r="E7" s="1403" t="s">
        <v>50</v>
      </c>
      <c r="F7" s="1403" t="s">
        <v>294</v>
      </c>
    </row>
    <row r="8" spans="1:6" s="408" customFormat="1" ht="12" customHeight="1" thickBot="1" x14ac:dyDescent="0.3">
      <c r="A8" s="367" t="s">
        <v>51</v>
      </c>
      <c r="B8" s="1456" t="s">
        <v>52</v>
      </c>
      <c r="C8" s="817">
        <f>SUM(C9:C14)</f>
        <v>551209563</v>
      </c>
      <c r="D8" s="952">
        <f>SUM(D9:D14)</f>
        <v>0</v>
      </c>
      <c r="E8" s="817">
        <f>SUM(E9:E14)</f>
        <v>0</v>
      </c>
      <c r="F8" s="817">
        <f>SUM(F9:F14)</f>
        <v>551209563</v>
      </c>
    </row>
    <row r="9" spans="1:6" s="408" customFormat="1" ht="12" customHeight="1" x14ac:dyDescent="0.25">
      <c r="A9" s="362" t="s">
        <v>53</v>
      </c>
      <c r="B9" s="1457" t="s">
        <v>54</v>
      </c>
      <c r="C9" s="1473">
        <v>117286861</v>
      </c>
      <c r="D9" s="953"/>
      <c r="E9" s="819"/>
      <c r="F9" s="819">
        <f>SUM(C9:E9)</f>
        <v>117286861</v>
      </c>
    </row>
    <row r="10" spans="1:6" s="408" customFormat="1" ht="12" customHeight="1" x14ac:dyDescent="0.25">
      <c r="A10" s="361" t="s">
        <v>55</v>
      </c>
      <c r="B10" s="1458" t="s">
        <v>56</v>
      </c>
      <c r="C10" s="1474">
        <v>272570440</v>
      </c>
      <c r="D10" s="1465"/>
      <c r="E10" s="815"/>
      <c r="F10" s="819">
        <f t="shared" ref="F10:F14" si="0">SUM(C10:E10)</f>
        <v>272570440</v>
      </c>
    </row>
    <row r="11" spans="1:6" s="408" customFormat="1" ht="12" customHeight="1" x14ac:dyDescent="0.25">
      <c r="A11" s="361" t="s">
        <v>57</v>
      </c>
      <c r="B11" s="1458" t="s">
        <v>58</v>
      </c>
      <c r="C11" s="1474">
        <v>96040235</v>
      </c>
      <c r="D11" s="1465"/>
      <c r="E11" s="815"/>
      <c r="F11" s="819">
        <f t="shared" si="0"/>
        <v>96040235</v>
      </c>
    </row>
    <row r="12" spans="1:6" s="408" customFormat="1" ht="12" customHeight="1" x14ac:dyDescent="0.25">
      <c r="A12" s="361" t="s">
        <v>59</v>
      </c>
      <c r="B12" s="1458" t="s">
        <v>60</v>
      </c>
      <c r="C12" s="1474">
        <v>14871695</v>
      </c>
      <c r="D12" s="1465"/>
      <c r="E12" s="815"/>
      <c r="F12" s="819">
        <f t="shared" si="0"/>
        <v>14871695</v>
      </c>
    </row>
    <row r="13" spans="1:6" s="408" customFormat="1" ht="12" customHeight="1" x14ac:dyDescent="0.25">
      <c r="A13" s="361" t="s">
        <v>61</v>
      </c>
      <c r="B13" s="1458" t="s">
        <v>62</v>
      </c>
      <c r="C13" s="1474">
        <v>46352912</v>
      </c>
      <c r="D13" s="1465"/>
      <c r="E13" s="815"/>
      <c r="F13" s="819">
        <f t="shared" si="0"/>
        <v>46352912</v>
      </c>
    </row>
    <row r="14" spans="1:6" s="408" customFormat="1" ht="12" customHeight="1" thickBot="1" x14ac:dyDescent="0.3">
      <c r="A14" s="363" t="s">
        <v>63</v>
      </c>
      <c r="B14" s="1459" t="s">
        <v>64</v>
      </c>
      <c r="C14" s="1475">
        <v>4087420</v>
      </c>
      <c r="D14" s="1466"/>
      <c r="E14" s="818"/>
      <c r="F14" s="819">
        <f t="shared" si="0"/>
        <v>4087420</v>
      </c>
    </row>
    <row r="15" spans="1:6" s="408" customFormat="1" ht="12" customHeight="1" thickBot="1" x14ac:dyDescent="0.3">
      <c r="A15" s="367" t="s">
        <v>65</v>
      </c>
      <c r="B15" s="1460" t="s">
        <v>66</v>
      </c>
      <c r="C15" s="817">
        <f t="shared" ref="C15:C72" si="1">F15-E15-D15</f>
        <v>30105591</v>
      </c>
      <c r="D15" s="952">
        <f>SUM(D16:D20)</f>
        <v>5155300</v>
      </c>
      <c r="E15" s="817">
        <f>SUM(E16:E20)</f>
        <v>0</v>
      </c>
      <c r="F15" s="817">
        <f>SUM(F16:F20)</f>
        <v>35260891</v>
      </c>
    </row>
    <row r="16" spans="1:6" s="408" customFormat="1" ht="12" customHeight="1" x14ac:dyDescent="0.25">
      <c r="A16" s="362" t="s">
        <v>67</v>
      </c>
      <c r="B16" s="1457" t="s">
        <v>68</v>
      </c>
      <c r="C16" s="1473">
        <f t="shared" si="1"/>
        <v>1924780</v>
      </c>
      <c r="D16" s="953"/>
      <c r="E16" s="819"/>
      <c r="F16" s="819">
        <v>1924780</v>
      </c>
    </row>
    <row r="17" spans="1:6" s="408" customFormat="1" ht="12" customHeight="1" x14ac:dyDescent="0.25">
      <c r="A17" s="361" t="s">
        <v>69</v>
      </c>
      <c r="B17" s="1458" t="s">
        <v>70</v>
      </c>
      <c r="C17" s="1470">
        <f t="shared" si="1"/>
        <v>0</v>
      </c>
      <c r="D17" s="1465"/>
      <c r="E17" s="815"/>
      <c r="F17" s="815"/>
    </row>
    <row r="18" spans="1:6" s="408" customFormat="1" ht="12" customHeight="1" x14ac:dyDescent="0.25">
      <c r="A18" s="361" t="s">
        <v>71</v>
      </c>
      <c r="B18" s="1458" t="s">
        <v>72</v>
      </c>
      <c r="C18" s="1470">
        <f t="shared" si="1"/>
        <v>0</v>
      </c>
      <c r="D18" s="1465"/>
      <c r="E18" s="815"/>
      <c r="F18" s="815"/>
    </row>
    <row r="19" spans="1:6" s="408" customFormat="1" ht="12" customHeight="1" x14ac:dyDescent="0.25">
      <c r="A19" s="361" t="s">
        <v>73</v>
      </c>
      <c r="B19" s="1458" t="s">
        <v>74</v>
      </c>
      <c r="C19" s="1470">
        <f t="shared" si="1"/>
        <v>0</v>
      </c>
      <c r="D19" s="1465"/>
      <c r="E19" s="815"/>
      <c r="F19" s="815"/>
    </row>
    <row r="20" spans="1:6" s="408" customFormat="1" ht="12" customHeight="1" x14ac:dyDescent="0.25">
      <c r="A20" s="361" t="s">
        <v>75</v>
      </c>
      <c r="B20" s="1458" t="s">
        <v>1791</v>
      </c>
      <c r="C20" s="1474">
        <f t="shared" si="1"/>
        <v>28180811</v>
      </c>
      <c r="D20" s="1465">
        <v>5155300</v>
      </c>
      <c r="E20" s="815"/>
      <c r="F20" s="815">
        <v>33336111</v>
      </c>
    </row>
    <row r="21" spans="1:6" s="408" customFormat="1" ht="12" customHeight="1" thickBot="1" x14ac:dyDescent="0.3">
      <c r="A21" s="363" t="s">
        <v>77</v>
      </c>
      <c r="B21" s="1459" t="s">
        <v>78</v>
      </c>
      <c r="C21" s="1475">
        <f t="shared" si="1"/>
        <v>0</v>
      </c>
      <c r="D21" s="1466">
        <v>5155300</v>
      </c>
      <c r="E21" s="818"/>
      <c r="F21" s="818">
        <v>5155300</v>
      </c>
    </row>
    <row r="22" spans="1:6" s="408" customFormat="1" ht="12" customHeight="1" thickBot="1" x14ac:dyDescent="0.3">
      <c r="A22" s="367" t="s">
        <v>79</v>
      </c>
      <c r="B22" s="1456" t="s">
        <v>80</v>
      </c>
      <c r="C22" s="817">
        <f t="shared" si="1"/>
        <v>278000</v>
      </c>
      <c r="D22" s="952">
        <f>SUM(D23:D27)</f>
        <v>0</v>
      </c>
      <c r="E22" s="817">
        <f>SUM(E23:E27)</f>
        <v>0</v>
      </c>
      <c r="F22" s="817">
        <f>SUM(F23:F27)</f>
        <v>278000</v>
      </c>
    </row>
    <row r="23" spans="1:6" s="408" customFormat="1" ht="12" customHeight="1" x14ac:dyDescent="0.25">
      <c r="A23" s="362" t="s">
        <v>81</v>
      </c>
      <c r="B23" s="1457" t="s">
        <v>82</v>
      </c>
      <c r="C23" s="1472">
        <f t="shared" si="1"/>
        <v>278000</v>
      </c>
      <c r="D23" s="953"/>
      <c r="E23" s="819"/>
      <c r="F23" s="819">
        <v>278000</v>
      </c>
    </row>
    <row r="24" spans="1:6" s="408" customFormat="1" ht="12" customHeight="1" x14ac:dyDescent="0.25">
      <c r="A24" s="361" t="s">
        <v>83</v>
      </c>
      <c r="B24" s="1458" t="s">
        <v>84</v>
      </c>
      <c r="C24" s="1470">
        <f t="shared" si="1"/>
        <v>0</v>
      </c>
      <c r="D24" s="1465"/>
      <c r="E24" s="815"/>
      <c r="F24" s="819"/>
    </row>
    <row r="25" spans="1:6" s="408" customFormat="1" ht="12" customHeight="1" x14ac:dyDescent="0.25">
      <c r="A25" s="361" t="s">
        <v>85</v>
      </c>
      <c r="B25" s="1458" t="s">
        <v>86</v>
      </c>
      <c r="C25" s="1470">
        <f t="shared" si="1"/>
        <v>0</v>
      </c>
      <c r="D25" s="1465"/>
      <c r="E25" s="815"/>
      <c r="F25" s="819"/>
    </row>
    <row r="26" spans="1:6" s="408" customFormat="1" ht="12" customHeight="1" x14ac:dyDescent="0.25">
      <c r="A26" s="361" t="s">
        <v>87</v>
      </c>
      <c r="B26" s="1458" t="s">
        <v>88</v>
      </c>
      <c r="C26" s="1470">
        <f t="shared" si="1"/>
        <v>0</v>
      </c>
      <c r="D26" s="1465"/>
      <c r="E26" s="815"/>
      <c r="F26" s="819"/>
    </row>
    <row r="27" spans="1:6" s="408" customFormat="1" ht="12" customHeight="1" x14ac:dyDescent="0.25">
      <c r="A27" s="361" t="s">
        <v>89</v>
      </c>
      <c r="B27" s="1458" t="s">
        <v>1792</v>
      </c>
      <c r="C27" s="1470">
        <f t="shared" si="1"/>
        <v>0</v>
      </c>
      <c r="D27" s="1465"/>
      <c r="E27" s="815"/>
      <c r="F27" s="819"/>
    </row>
    <row r="28" spans="1:6" s="408" customFormat="1" ht="12" customHeight="1" thickBot="1" x14ac:dyDescent="0.3">
      <c r="A28" s="363" t="s">
        <v>91</v>
      </c>
      <c r="B28" s="1461" t="s">
        <v>92</v>
      </c>
      <c r="C28" s="1471">
        <f t="shared" si="1"/>
        <v>0</v>
      </c>
      <c r="D28" s="1466"/>
      <c r="E28" s="818"/>
      <c r="F28" s="819"/>
    </row>
    <row r="29" spans="1:6" s="408" customFormat="1" ht="12" customHeight="1" thickBot="1" x14ac:dyDescent="0.3">
      <c r="A29" s="367" t="s">
        <v>93</v>
      </c>
      <c r="B29" s="1456" t="s">
        <v>94</v>
      </c>
      <c r="C29" s="817">
        <f t="shared" si="1"/>
        <v>725000000</v>
      </c>
      <c r="D29" s="954">
        <f>+D30+D33+D34+D35</f>
        <v>0</v>
      </c>
      <c r="E29" s="816">
        <f>+E30+E33+E34+E35</f>
        <v>0</v>
      </c>
      <c r="F29" s="816">
        <v>725000000</v>
      </c>
    </row>
    <row r="30" spans="1:6" s="408" customFormat="1" ht="12" customHeight="1" x14ac:dyDescent="0.25">
      <c r="A30" s="362" t="s">
        <v>95</v>
      </c>
      <c r="B30" s="1457" t="s">
        <v>96</v>
      </c>
      <c r="C30" s="1473">
        <f t="shared" si="1"/>
        <v>682000000</v>
      </c>
      <c r="D30" s="1467"/>
      <c r="E30" s="1408"/>
      <c r="F30" s="823">
        <v>682000000</v>
      </c>
    </row>
    <row r="31" spans="1:6" s="408" customFormat="1" ht="12" customHeight="1" x14ac:dyDescent="0.25">
      <c r="A31" s="361" t="s">
        <v>97</v>
      </c>
      <c r="B31" s="1458" t="s">
        <v>98</v>
      </c>
      <c r="C31" s="1474">
        <f t="shared" si="1"/>
        <v>235000000</v>
      </c>
      <c r="D31" s="1465"/>
      <c r="E31" s="815"/>
      <c r="F31" s="815">
        <v>235000000</v>
      </c>
    </row>
    <row r="32" spans="1:6" s="408" customFormat="1" ht="12" customHeight="1" x14ac:dyDescent="0.25">
      <c r="A32" s="361" t="s">
        <v>99</v>
      </c>
      <c r="B32" s="1458" t="s">
        <v>100</v>
      </c>
      <c r="C32" s="1474">
        <f t="shared" si="1"/>
        <v>447000000</v>
      </c>
      <c r="D32" s="1465"/>
      <c r="E32" s="815"/>
      <c r="F32" s="815">
        <v>447000000</v>
      </c>
    </row>
    <row r="33" spans="1:6" s="408" customFormat="1" ht="12" customHeight="1" x14ac:dyDescent="0.25">
      <c r="A33" s="361" t="s">
        <v>101</v>
      </c>
      <c r="B33" s="1458" t="s">
        <v>102</v>
      </c>
      <c r="C33" s="1474">
        <f t="shared" si="1"/>
        <v>40000000</v>
      </c>
      <c r="D33" s="1465"/>
      <c r="E33" s="815"/>
      <c r="F33" s="815">
        <v>40000000</v>
      </c>
    </row>
    <row r="34" spans="1:6" s="408" customFormat="1" ht="12" customHeight="1" x14ac:dyDescent="0.25">
      <c r="A34" s="361" t="s">
        <v>103</v>
      </c>
      <c r="B34" s="1458" t="s">
        <v>104</v>
      </c>
      <c r="C34" s="1474">
        <f t="shared" si="1"/>
        <v>0</v>
      </c>
      <c r="D34" s="1465"/>
      <c r="E34" s="815"/>
      <c r="F34" s="815"/>
    </row>
    <row r="35" spans="1:6" s="408" customFormat="1" ht="12" customHeight="1" thickBot="1" x14ac:dyDescent="0.3">
      <c r="A35" s="363" t="s">
        <v>105</v>
      </c>
      <c r="B35" s="1461" t="s">
        <v>106</v>
      </c>
      <c r="C35" s="1475">
        <f t="shared" si="1"/>
        <v>3000000</v>
      </c>
      <c r="D35" s="1466"/>
      <c r="E35" s="1103"/>
      <c r="F35" s="818">
        <v>3000000</v>
      </c>
    </row>
    <row r="36" spans="1:6" s="408" customFormat="1" ht="12" customHeight="1" thickBot="1" x14ac:dyDescent="0.3">
      <c r="A36" s="367" t="s">
        <v>107</v>
      </c>
      <c r="B36" s="1456" t="s">
        <v>108</v>
      </c>
      <c r="C36" s="817">
        <f t="shared" si="1"/>
        <v>156819763</v>
      </c>
      <c r="D36" s="952">
        <f>SUM(D37:D46)</f>
        <v>73660000</v>
      </c>
      <c r="E36" s="817">
        <f>SUM(E37:E46)</f>
        <v>1143000</v>
      </c>
      <c r="F36" s="817">
        <f>SUM(F37:F46)</f>
        <v>231622763</v>
      </c>
    </row>
    <row r="37" spans="1:6" s="408" customFormat="1" ht="12" customHeight="1" x14ac:dyDescent="0.25">
      <c r="A37" s="362" t="s">
        <v>109</v>
      </c>
      <c r="B37" s="1457" t="s">
        <v>110</v>
      </c>
      <c r="C37" s="1472">
        <f t="shared" si="1"/>
        <v>0</v>
      </c>
      <c r="D37" s="953"/>
      <c r="E37" s="819"/>
      <c r="F37" s="819"/>
    </row>
    <row r="38" spans="1:6" s="408" customFormat="1" ht="12" customHeight="1" x14ac:dyDescent="0.25">
      <c r="A38" s="361" t="s">
        <v>111</v>
      </c>
      <c r="B38" s="1458" t="s">
        <v>112</v>
      </c>
      <c r="C38" s="1474">
        <f t="shared" si="1"/>
        <v>26881457</v>
      </c>
      <c r="D38" s="1465"/>
      <c r="E38" s="815">
        <v>900000</v>
      </c>
      <c r="F38" s="819">
        <v>27781457</v>
      </c>
    </row>
    <row r="39" spans="1:6" s="408" customFormat="1" ht="12" customHeight="1" x14ac:dyDescent="0.25">
      <c r="A39" s="361" t="s">
        <v>113</v>
      </c>
      <c r="B39" s="1458" t="s">
        <v>114</v>
      </c>
      <c r="C39" s="1474">
        <f t="shared" si="1"/>
        <v>40314389</v>
      </c>
      <c r="D39" s="1465"/>
      <c r="E39" s="815"/>
      <c r="F39" s="819">
        <v>40314389</v>
      </c>
    </row>
    <row r="40" spans="1:6" s="408" customFormat="1" ht="12" customHeight="1" x14ac:dyDescent="0.25">
      <c r="A40" s="361" t="s">
        <v>115</v>
      </c>
      <c r="B40" s="1458" t="s">
        <v>116</v>
      </c>
      <c r="C40" s="1474">
        <f t="shared" si="1"/>
        <v>0</v>
      </c>
      <c r="D40" s="1465">
        <v>58000000</v>
      </c>
      <c r="E40" s="815"/>
      <c r="F40" s="819">
        <v>58000000</v>
      </c>
    </row>
    <row r="41" spans="1:6" s="408" customFormat="1" ht="12" customHeight="1" x14ac:dyDescent="0.25">
      <c r="A41" s="361" t="s">
        <v>117</v>
      </c>
      <c r="B41" s="1458" t="s">
        <v>118</v>
      </c>
      <c r="C41" s="1474">
        <f t="shared" si="1"/>
        <v>67004942</v>
      </c>
      <c r="D41" s="1465"/>
      <c r="E41" s="815"/>
      <c r="F41" s="819">
        <v>67004942</v>
      </c>
    </row>
    <row r="42" spans="1:6" s="408" customFormat="1" ht="12" customHeight="1" x14ac:dyDescent="0.25">
      <c r="A42" s="361" t="s">
        <v>119</v>
      </c>
      <c r="B42" s="1458" t="s">
        <v>120</v>
      </c>
      <c r="C42" s="1474">
        <f t="shared" si="1"/>
        <v>22585975</v>
      </c>
      <c r="D42" s="1465">
        <v>15660000</v>
      </c>
      <c r="E42" s="815">
        <v>243000</v>
      </c>
      <c r="F42" s="819">
        <v>38488975</v>
      </c>
    </row>
    <row r="43" spans="1:6" s="408" customFormat="1" ht="12" customHeight="1" x14ac:dyDescent="0.25">
      <c r="A43" s="361" t="s">
        <v>121</v>
      </c>
      <c r="B43" s="1458" t="s">
        <v>122</v>
      </c>
      <c r="C43" s="1474">
        <f t="shared" si="1"/>
        <v>0</v>
      </c>
      <c r="D43" s="1465"/>
      <c r="E43" s="815"/>
      <c r="F43" s="819"/>
    </row>
    <row r="44" spans="1:6" s="408" customFormat="1" ht="12" customHeight="1" x14ac:dyDescent="0.25">
      <c r="A44" s="361" t="s">
        <v>123</v>
      </c>
      <c r="B44" s="1458" t="s">
        <v>124</v>
      </c>
      <c r="C44" s="1474">
        <f t="shared" si="1"/>
        <v>2000</v>
      </c>
      <c r="D44" s="1465"/>
      <c r="E44" s="815"/>
      <c r="F44" s="819">
        <v>2000</v>
      </c>
    </row>
    <row r="45" spans="1:6" s="408" customFormat="1" ht="12" customHeight="1" x14ac:dyDescent="0.25">
      <c r="A45" s="361" t="s">
        <v>125</v>
      </c>
      <c r="B45" s="1458" t="s">
        <v>126</v>
      </c>
      <c r="C45" s="1474">
        <f t="shared" si="1"/>
        <v>0</v>
      </c>
      <c r="D45" s="955"/>
      <c r="E45" s="822"/>
      <c r="F45" s="819"/>
    </row>
    <row r="46" spans="1:6" s="408" customFormat="1" ht="12" customHeight="1" thickBot="1" x14ac:dyDescent="0.3">
      <c r="A46" s="363" t="s">
        <v>127</v>
      </c>
      <c r="B46" s="1459" t="s">
        <v>128</v>
      </c>
      <c r="C46" s="1475">
        <f t="shared" si="1"/>
        <v>31000</v>
      </c>
      <c r="D46" s="1468"/>
      <c r="E46" s="1081"/>
      <c r="F46" s="819">
        <v>31000</v>
      </c>
    </row>
    <row r="47" spans="1:6" s="408" customFormat="1" ht="12" customHeight="1" thickBot="1" x14ac:dyDescent="0.3">
      <c r="A47" s="367" t="s">
        <v>129</v>
      </c>
      <c r="B47" s="1456" t="s">
        <v>130</v>
      </c>
      <c r="C47" s="817">
        <f t="shared" si="1"/>
        <v>0</v>
      </c>
      <c r="D47" s="952">
        <f>SUM(D48:D52)</f>
        <v>106800000</v>
      </c>
      <c r="E47" s="817">
        <f>SUM(E48:E52)</f>
        <v>0</v>
      </c>
      <c r="F47" s="817">
        <f>SUM(F48:F52)</f>
        <v>106800000</v>
      </c>
    </row>
    <row r="48" spans="1:6" s="408" customFormat="1" ht="12" customHeight="1" x14ac:dyDescent="0.25">
      <c r="A48" s="362" t="s">
        <v>131</v>
      </c>
      <c r="B48" s="1457" t="s">
        <v>132</v>
      </c>
      <c r="C48" s="1472">
        <f t="shared" si="1"/>
        <v>0</v>
      </c>
      <c r="D48" s="1469"/>
      <c r="E48" s="1080"/>
      <c r="F48" s="819"/>
    </row>
    <row r="49" spans="1:6" s="408" customFormat="1" ht="12" customHeight="1" x14ac:dyDescent="0.25">
      <c r="A49" s="361" t="s">
        <v>133</v>
      </c>
      <c r="B49" s="1458" t="s">
        <v>134</v>
      </c>
      <c r="C49" s="1470">
        <f t="shared" si="1"/>
        <v>0</v>
      </c>
      <c r="D49" s="955">
        <v>106800000</v>
      </c>
      <c r="E49" s="822"/>
      <c r="F49" s="822">
        <v>106800000</v>
      </c>
    </row>
    <row r="50" spans="1:6" s="408" customFormat="1" ht="12" customHeight="1" x14ac:dyDescent="0.25">
      <c r="A50" s="361" t="s">
        <v>135</v>
      </c>
      <c r="B50" s="1458" t="s">
        <v>136</v>
      </c>
      <c r="C50" s="1470">
        <f t="shared" si="1"/>
        <v>0</v>
      </c>
      <c r="D50" s="955"/>
      <c r="E50" s="822"/>
      <c r="F50" s="819"/>
    </row>
    <row r="51" spans="1:6" s="408" customFormat="1" ht="12" customHeight="1" x14ac:dyDescent="0.25">
      <c r="A51" s="361" t="s">
        <v>137</v>
      </c>
      <c r="B51" s="1458" t="s">
        <v>138</v>
      </c>
      <c r="C51" s="1470">
        <f t="shared" si="1"/>
        <v>0</v>
      </c>
      <c r="D51" s="955"/>
      <c r="E51" s="822"/>
      <c r="F51" s="819"/>
    </row>
    <row r="52" spans="1:6" s="408" customFormat="1" ht="12" customHeight="1" thickBot="1" x14ac:dyDescent="0.3">
      <c r="A52" s="363" t="s">
        <v>139</v>
      </c>
      <c r="B52" s="1459" t="s">
        <v>140</v>
      </c>
      <c r="C52" s="1471">
        <f t="shared" si="1"/>
        <v>0</v>
      </c>
      <c r="D52" s="1468"/>
      <c r="E52" s="1081"/>
      <c r="F52" s="819"/>
    </row>
    <row r="53" spans="1:6" s="408" customFormat="1" ht="17.25" customHeight="1" thickBot="1" x14ac:dyDescent="0.3">
      <c r="A53" s="367" t="s">
        <v>141</v>
      </c>
      <c r="B53" s="1456" t="s">
        <v>142</v>
      </c>
      <c r="C53" s="816">
        <f t="shared" si="1"/>
        <v>32750000</v>
      </c>
      <c r="D53" s="952">
        <f>SUM(D54:D56)</f>
        <v>30350000</v>
      </c>
      <c r="E53" s="817">
        <f>SUM(E54:E56)</f>
        <v>0</v>
      </c>
      <c r="F53" s="817">
        <v>63100000</v>
      </c>
    </row>
    <row r="54" spans="1:6" s="408" customFormat="1" ht="12" customHeight="1" x14ac:dyDescent="0.25">
      <c r="A54" s="362" t="s">
        <v>143</v>
      </c>
      <c r="B54" s="1457" t="s">
        <v>144</v>
      </c>
      <c r="C54" s="1472">
        <f t="shared" si="1"/>
        <v>0</v>
      </c>
      <c r="D54" s="953"/>
      <c r="E54" s="819"/>
      <c r="F54" s="819"/>
    </row>
    <row r="55" spans="1:6" s="408" customFormat="1" ht="12" customHeight="1" x14ac:dyDescent="0.25">
      <c r="A55" s="361" t="s">
        <v>145</v>
      </c>
      <c r="B55" s="1458" t="s">
        <v>146</v>
      </c>
      <c r="C55" s="1474">
        <f t="shared" si="1"/>
        <v>32750000</v>
      </c>
      <c r="D55" s="1465">
        <v>30350000</v>
      </c>
      <c r="E55" s="815"/>
      <c r="F55" s="819">
        <v>63100000</v>
      </c>
    </row>
    <row r="56" spans="1:6" s="408" customFormat="1" ht="12" customHeight="1" x14ac:dyDescent="0.25">
      <c r="A56" s="361" t="s">
        <v>147</v>
      </c>
      <c r="B56" s="1458" t="s">
        <v>148</v>
      </c>
      <c r="C56" s="1470">
        <f t="shared" si="1"/>
        <v>0</v>
      </c>
      <c r="D56" s="1465"/>
      <c r="E56" s="815"/>
      <c r="F56" s="819"/>
    </row>
    <row r="57" spans="1:6" s="408" customFormat="1" ht="12" customHeight="1" thickBot="1" x14ac:dyDescent="0.3">
      <c r="A57" s="363" t="s">
        <v>149</v>
      </c>
      <c r="B57" s="1459" t="s">
        <v>150</v>
      </c>
      <c r="C57" s="1471">
        <f t="shared" si="1"/>
        <v>0</v>
      </c>
      <c r="D57" s="1466"/>
      <c r="E57" s="818"/>
      <c r="F57" s="819"/>
    </row>
    <row r="58" spans="1:6" s="408" customFormat="1" ht="12" customHeight="1" thickBot="1" x14ac:dyDescent="0.3">
      <c r="A58" s="367" t="s">
        <v>151</v>
      </c>
      <c r="B58" s="1460" t="s">
        <v>152</v>
      </c>
      <c r="C58" s="817">
        <f t="shared" si="1"/>
        <v>0</v>
      </c>
      <c r="D58" s="952">
        <f>SUM(D59:D61)</f>
        <v>11000000</v>
      </c>
      <c r="E58" s="817">
        <f>SUM(E59:E61)</f>
        <v>0</v>
      </c>
      <c r="F58" s="817">
        <f>SUM(F59:F61)</f>
        <v>11000000</v>
      </c>
    </row>
    <row r="59" spans="1:6" s="408" customFormat="1" ht="12" customHeight="1" x14ac:dyDescent="0.25">
      <c r="A59" s="362" t="s">
        <v>153</v>
      </c>
      <c r="B59" s="1457" t="s">
        <v>154</v>
      </c>
      <c r="C59" s="1472">
        <f t="shared" si="1"/>
        <v>0</v>
      </c>
      <c r="D59" s="955"/>
      <c r="E59" s="822"/>
      <c r="F59" s="819"/>
    </row>
    <row r="60" spans="1:6" s="408" customFormat="1" ht="12" customHeight="1" x14ac:dyDescent="0.25">
      <c r="A60" s="361" t="s">
        <v>155</v>
      </c>
      <c r="B60" s="1458" t="s">
        <v>156</v>
      </c>
      <c r="C60" s="1470">
        <f t="shared" si="1"/>
        <v>0</v>
      </c>
      <c r="D60" s="955"/>
      <c r="E60" s="822"/>
      <c r="F60" s="819"/>
    </row>
    <row r="61" spans="1:6" s="408" customFormat="1" ht="12" customHeight="1" x14ac:dyDescent="0.25">
      <c r="A61" s="361" t="s">
        <v>157</v>
      </c>
      <c r="B61" s="1458" t="s">
        <v>158</v>
      </c>
      <c r="C61" s="1470">
        <f t="shared" si="1"/>
        <v>0</v>
      </c>
      <c r="D61" s="955">
        <v>11000000</v>
      </c>
      <c r="E61" s="822"/>
      <c r="F61" s="822">
        <v>11000000</v>
      </c>
    </row>
    <row r="62" spans="1:6" s="408" customFormat="1" ht="12" customHeight="1" thickBot="1" x14ac:dyDescent="0.3">
      <c r="A62" s="363" t="s">
        <v>159</v>
      </c>
      <c r="B62" s="1459" t="s">
        <v>160</v>
      </c>
      <c r="C62" s="1471">
        <f t="shared" si="1"/>
        <v>0</v>
      </c>
      <c r="D62" s="955"/>
      <c r="E62" s="822"/>
      <c r="F62" s="819"/>
    </row>
    <row r="63" spans="1:6" s="408" customFormat="1" ht="12" customHeight="1" thickBot="1" x14ac:dyDescent="0.3">
      <c r="A63" s="367" t="s">
        <v>161</v>
      </c>
      <c r="B63" s="1456" t="s">
        <v>162</v>
      </c>
      <c r="C63" s="817">
        <f t="shared" si="1"/>
        <v>1496162917</v>
      </c>
      <c r="D63" s="954">
        <f>+D8+D15+D22+D29+D36+D47+D53+D58</f>
        <v>226965300</v>
      </c>
      <c r="E63" s="816">
        <f>+E8+E15+E22+E29+E36+E47+E53+E58</f>
        <v>1143000</v>
      </c>
      <c r="F63" s="816">
        <f>+F8+F15+F22+F29+F36+F47+F53+F58</f>
        <v>1724271217</v>
      </c>
    </row>
    <row r="64" spans="1:6" s="408" customFormat="1" ht="12" customHeight="1" thickBot="1" x14ac:dyDescent="0.3">
      <c r="A64" s="422" t="s">
        <v>163</v>
      </c>
      <c r="B64" s="1460" t="s">
        <v>164</v>
      </c>
      <c r="C64" s="817">
        <f t="shared" si="1"/>
        <v>0</v>
      </c>
      <c r="D64" s="952">
        <f>+D65+D66+D67</f>
        <v>0</v>
      </c>
      <c r="E64" s="817">
        <f>+E65+E66+E67</f>
        <v>0</v>
      </c>
      <c r="F64" s="817">
        <f>+F65+F66+F67</f>
        <v>0</v>
      </c>
    </row>
    <row r="65" spans="1:6" s="408" customFormat="1" ht="12" customHeight="1" x14ac:dyDescent="0.25">
      <c r="A65" s="362" t="s">
        <v>165</v>
      </c>
      <c r="B65" s="1457" t="s">
        <v>166</v>
      </c>
      <c r="C65" s="1472">
        <f t="shared" si="1"/>
        <v>0</v>
      </c>
      <c r="D65" s="955"/>
      <c r="E65" s="822"/>
      <c r="F65" s="822"/>
    </row>
    <row r="66" spans="1:6" s="408" customFormat="1" ht="12" customHeight="1" x14ac:dyDescent="0.25">
      <c r="A66" s="361" t="s">
        <v>167</v>
      </c>
      <c r="B66" s="1458" t="s">
        <v>168</v>
      </c>
      <c r="C66" s="1470">
        <f t="shared" si="1"/>
        <v>0</v>
      </c>
      <c r="D66" s="955"/>
      <c r="E66" s="822"/>
      <c r="F66" s="822"/>
    </row>
    <row r="67" spans="1:6" s="408" customFormat="1" ht="12" customHeight="1" thickBot="1" x14ac:dyDescent="0.3">
      <c r="A67" s="363" t="s">
        <v>169</v>
      </c>
      <c r="B67" s="1462" t="s">
        <v>170</v>
      </c>
      <c r="C67" s="1471">
        <f t="shared" si="1"/>
        <v>0</v>
      </c>
      <c r="D67" s="955"/>
      <c r="E67" s="822"/>
      <c r="F67" s="822"/>
    </row>
    <row r="68" spans="1:6" s="408" customFormat="1" ht="12" customHeight="1" thickBot="1" x14ac:dyDescent="0.3">
      <c r="A68" s="422" t="s">
        <v>171</v>
      </c>
      <c r="B68" s="1460" t="s">
        <v>172</v>
      </c>
      <c r="C68" s="817">
        <f t="shared" si="1"/>
        <v>0</v>
      </c>
      <c r="D68" s="952">
        <f>+D69+D70+D71+D72</f>
        <v>0</v>
      </c>
      <c r="E68" s="817">
        <f>+E69+E70+E71+E72</f>
        <v>0</v>
      </c>
      <c r="F68" s="817"/>
    </row>
    <row r="69" spans="1:6" s="408" customFormat="1" ht="13.5" customHeight="1" x14ac:dyDescent="0.25">
      <c r="A69" s="362" t="s">
        <v>173</v>
      </c>
      <c r="B69" s="1457" t="s">
        <v>174</v>
      </c>
      <c r="C69" s="1472">
        <f t="shared" si="1"/>
        <v>0</v>
      </c>
      <c r="D69" s="955"/>
      <c r="E69" s="822"/>
      <c r="F69" s="822"/>
    </row>
    <row r="70" spans="1:6" s="408" customFormat="1" ht="12" customHeight="1" x14ac:dyDescent="0.25">
      <c r="A70" s="361" t="s">
        <v>175</v>
      </c>
      <c r="B70" s="1458" t="s">
        <v>176</v>
      </c>
      <c r="C70" s="1470">
        <f t="shared" si="1"/>
        <v>0</v>
      </c>
      <c r="D70" s="955"/>
      <c r="E70" s="822"/>
      <c r="F70" s="822"/>
    </row>
    <row r="71" spans="1:6" s="408" customFormat="1" ht="12" customHeight="1" x14ac:dyDescent="0.25">
      <c r="A71" s="361" t="s">
        <v>177</v>
      </c>
      <c r="B71" s="1458" t="s">
        <v>178</v>
      </c>
      <c r="C71" s="1470">
        <f t="shared" si="1"/>
        <v>0</v>
      </c>
      <c r="D71" s="955"/>
      <c r="E71" s="822"/>
      <c r="F71" s="822"/>
    </row>
    <row r="72" spans="1:6" s="408" customFormat="1" ht="12" customHeight="1" thickBot="1" x14ac:dyDescent="0.3">
      <c r="A72" s="363" t="s">
        <v>179</v>
      </c>
      <c r="B72" s="1459" t="s">
        <v>180</v>
      </c>
      <c r="C72" s="1471">
        <f t="shared" si="1"/>
        <v>0</v>
      </c>
      <c r="D72" s="955"/>
      <c r="E72" s="822"/>
      <c r="F72" s="822"/>
    </row>
    <row r="73" spans="1:6" s="408" customFormat="1" ht="12" customHeight="1" thickBot="1" x14ac:dyDescent="0.3">
      <c r="A73" s="422" t="s">
        <v>181</v>
      </c>
      <c r="B73" s="1460" t="s">
        <v>182</v>
      </c>
      <c r="C73" s="817">
        <f t="shared" ref="C73:C87" si="2">F73-E73-D73</f>
        <v>109884249</v>
      </c>
      <c r="D73" s="952">
        <f>+D74+D75</f>
        <v>14837945</v>
      </c>
      <c r="E73" s="817">
        <f>+E74+E75</f>
        <v>0</v>
      </c>
      <c r="F73" s="817">
        <f>+F74+F75</f>
        <v>124722194</v>
      </c>
    </row>
    <row r="74" spans="1:6" s="408" customFormat="1" ht="12" customHeight="1" x14ac:dyDescent="0.25">
      <c r="A74" s="362" t="s">
        <v>183</v>
      </c>
      <c r="B74" s="1457" t="s">
        <v>184</v>
      </c>
      <c r="C74" s="1473">
        <f t="shared" si="2"/>
        <v>109884249</v>
      </c>
      <c r="D74" s="955">
        <v>14837945</v>
      </c>
      <c r="E74" s="822"/>
      <c r="F74" s="819">
        <v>124722194</v>
      </c>
    </row>
    <row r="75" spans="1:6" s="408" customFormat="1" ht="12" customHeight="1" thickBot="1" x14ac:dyDescent="0.3">
      <c r="A75" s="363" t="s">
        <v>185</v>
      </c>
      <c r="B75" s="1459" t="s">
        <v>186</v>
      </c>
      <c r="C75" s="1471">
        <f t="shared" si="2"/>
        <v>0</v>
      </c>
      <c r="D75" s="955"/>
      <c r="E75" s="822"/>
      <c r="F75" s="819"/>
    </row>
    <row r="76" spans="1:6" s="408" customFormat="1" ht="12" customHeight="1" thickBot="1" x14ac:dyDescent="0.3">
      <c r="A76" s="422" t="s">
        <v>187</v>
      </c>
      <c r="B76" s="1460" t="s">
        <v>188</v>
      </c>
      <c r="C76" s="817">
        <f t="shared" si="2"/>
        <v>991033098</v>
      </c>
      <c r="D76" s="952">
        <f>+D77+D78+D79</f>
        <v>0</v>
      </c>
      <c r="E76" s="817">
        <f>+E77+E78+E79</f>
        <v>0</v>
      </c>
      <c r="F76" s="817">
        <f>SUM(F77:F79)</f>
        <v>991033098</v>
      </c>
    </row>
    <row r="77" spans="1:6" s="408" customFormat="1" ht="12" customHeight="1" x14ac:dyDescent="0.25">
      <c r="A77" s="362" t="s">
        <v>189</v>
      </c>
      <c r="B77" s="1457" t="s">
        <v>190</v>
      </c>
      <c r="C77" s="1473">
        <f t="shared" si="2"/>
        <v>18826271</v>
      </c>
      <c r="D77" s="955"/>
      <c r="E77" s="822"/>
      <c r="F77" s="819">
        <v>18826271</v>
      </c>
    </row>
    <row r="78" spans="1:6" s="408" customFormat="1" ht="12" customHeight="1" x14ac:dyDescent="0.25">
      <c r="A78" s="361" t="s">
        <v>191</v>
      </c>
      <c r="B78" s="1458" t="s">
        <v>192</v>
      </c>
      <c r="C78" s="1470">
        <f t="shared" si="2"/>
        <v>0</v>
      </c>
      <c r="D78" s="955"/>
      <c r="E78" s="822"/>
      <c r="F78" s="819"/>
    </row>
    <row r="79" spans="1:6" s="408" customFormat="1" ht="12" customHeight="1" thickBot="1" x14ac:dyDescent="0.3">
      <c r="A79" s="363" t="s">
        <v>193</v>
      </c>
      <c r="B79" s="1461" t="s">
        <v>1793</v>
      </c>
      <c r="C79" s="1475">
        <f t="shared" si="2"/>
        <v>972206827</v>
      </c>
      <c r="D79" s="955"/>
      <c r="E79" s="822"/>
      <c r="F79" s="819">
        <v>972206827</v>
      </c>
    </row>
    <row r="80" spans="1:6" s="408" customFormat="1" ht="12" customHeight="1" thickBot="1" x14ac:dyDescent="0.3">
      <c r="A80" s="422" t="s">
        <v>195</v>
      </c>
      <c r="B80" s="1460" t="s">
        <v>196</v>
      </c>
      <c r="C80" s="817">
        <f t="shared" si="2"/>
        <v>0</v>
      </c>
      <c r="D80" s="952">
        <f>+D81+D82+D83+D84</f>
        <v>0</v>
      </c>
      <c r="E80" s="817">
        <f>+E81+E82+E83+E84</f>
        <v>0</v>
      </c>
      <c r="F80" s="817"/>
    </row>
    <row r="81" spans="1:6" s="408" customFormat="1" ht="12" customHeight="1" x14ac:dyDescent="0.25">
      <c r="A81" s="412" t="s">
        <v>197</v>
      </c>
      <c r="B81" s="1457" t="s">
        <v>198</v>
      </c>
      <c r="C81" s="1472">
        <f t="shared" si="2"/>
        <v>0</v>
      </c>
      <c r="D81" s="955"/>
      <c r="E81" s="822"/>
      <c r="F81" s="822"/>
    </row>
    <row r="82" spans="1:6" s="408" customFormat="1" ht="12" customHeight="1" x14ac:dyDescent="0.25">
      <c r="A82" s="413" t="s">
        <v>199</v>
      </c>
      <c r="B82" s="1458" t="s">
        <v>200</v>
      </c>
      <c r="C82" s="1470">
        <f t="shared" si="2"/>
        <v>0</v>
      </c>
      <c r="D82" s="955"/>
      <c r="E82" s="822"/>
      <c r="F82" s="822"/>
    </row>
    <row r="83" spans="1:6" s="408" customFormat="1" ht="12" customHeight="1" x14ac:dyDescent="0.25">
      <c r="A83" s="413" t="s">
        <v>201</v>
      </c>
      <c r="B83" s="1458" t="s">
        <v>202</v>
      </c>
      <c r="C83" s="1470">
        <f t="shared" si="2"/>
        <v>0</v>
      </c>
      <c r="D83" s="955"/>
      <c r="E83" s="822"/>
      <c r="F83" s="822"/>
    </row>
    <row r="84" spans="1:6" s="408" customFormat="1" ht="12" customHeight="1" thickBot="1" x14ac:dyDescent="0.3">
      <c r="A84" s="423" t="s">
        <v>203</v>
      </c>
      <c r="B84" s="1461" t="s">
        <v>204</v>
      </c>
      <c r="C84" s="1471">
        <f t="shared" si="2"/>
        <v>0</v>
      </c>
      <c r="D84" s="955"/>
      <c r="E84" s="822"/>
      <c r="F84" s="822"/>
    </row>
    <row r="85" spans="1:6" s="408" customFormat="1" ht="12" customHeight="1" thickBot="1" x14ac:dyDescent="0.3">
      <c r="A85" s="422" t="s">
        <v>205</v>
      </c>
      <c r="B85" s="1460" t="s">
        <v>206</v>
      </c>
      <c r="C85" s="817">
        <f t="shared" si="2"/>
        <v>0</v>
      </c>
      <c r="D85" s="956"/>
      <c r="E85" s="821"/>
      <c r="F85" s="821"/>
    </row>
    <row r="86" spans="1:6" s="408" customFormat="1" ht="12" customHeight="1" thickBot="1" x14ac:dyDescent="0.3">
      <c r="A86" s="422" t="s">
        <v>207</v>
      </c>
      <c r="B86" s="1463" t="s">
        <v>208</v>
      </c>
      <c r="C86" s="817">
        <f t="shared" si="2"/>
        <v>1100917347</v>
      </c>
      <c r="D86" s="954">
        <f>+D64+D68+D73+D76+D80+D85</f>
        <v>14837945</v>
      </c>
      <c r="E86" s="816">
        <f>+E64+E68+E73+E76+E80+E85</f>
        <v>0</v>
      </c>
      <c r="F86" s="816">
        <f>F80+F76+F73+F68+F64</f>
        <v>1115755292</v>
      </c>
    </row>
    <row r="87" spans="1:6" s="408" customFormat="1" ht="19.5" customHeight="1" thickBot="1" x14ac:dyDescent="0.3">
      <c r="A87" s="424" t="s">
        <v>209</v>
      </c>
      <c r="B87" s="1464" t="s">
        <v>210</v>
      </c>
      <c r="C87" s="817">
        <f t="shared" si="2"/>
        <v>2597080264</v>
      </c>
      <c r="D87" s="954">
        <f>+D63+D86</f>
        <v>241803245</v>
      </c>
      <c r="E87" s="816">
        <f>+E63+E86</f>
        <v>1143000</v>
      </c>
      <c r="F87" s="816">
        <f>+F63+F86</f>
        <v>2840026509</v>
      </c>
    </row>
    <row r="88" spans="1:6" s="408" customFormat="1" ht="12" customHeight="1" thickBot="1" x14ac:dyDescent="0.3">
      <c r="A88" s="343"/>
      <c r="B88" s="343"/>
      <c r="C88" s="344"/>
      <c r="D88" s="344"/>
      <c r="E88" s="912"/>
    </row>
    <row r="89" spans="1:6" ht="16.5" customHeight="1" x14ac:dyDescent="0.3">
      <c r="A89" s="1617" t="s">
        <v>211</v>
      </c>
      <c r="B89" s="1618"/>
      <c r="C89" s="1618"/>
      <c r="D89" s="1618"/>
      <c r="E89" s="1618"/>
      <c r="F89" s="1619"/>
    </row>
    <row r="90" spans="1:6" s="414" customFormat="1" ht="16.5" customHeight="1" thickBot="1" x14ac:dyDescent="0.35">
      <c r="A90" s="1409" t="s">
        <v>212</v>
      </c>
      <c r="B90" s="43"/>
      <c r="C90" s="43"/>
      <c r="D90" s="43"/>
      <c r="E90" s="43"/>
      <c r="F90" s="1410" t="s">
        <v>1690</v>
      </c>
    </row>
    <row r="91" spans="1:6" s="414" customFormat="1" ht="16.5" customHeight="1" thickBot="1" x14ac:dyDescent="0.35">
      <c r="A91" s="1639" t="s">
        <v>41</v>
      </c>
      <c r="B91" s="1662" t="s">
        <v>213</v>
      </c>
      <c r="C91" s="1628" t="s">
        <v>1795</v>
      </c>
      <c r="D91" s="1629"/>
      <c r="E91" s="1629"/>
      <c r="F91" s="1630"/>
    </row>
    <row r="92" spans="1:6" ht="38.1" customHeight="1" thickBot="1" x14ac:dyDescent="0.35">
      <c r="A92" s="1625"/>
      <c r="B92" s="1663"/>
      <c r="C92" s="1425" t="s">
        <v>2131</v>
      </c>
      <c r="D92" s="1492" t="s">
        <v>474</v>
      </c>
      <c r="E92" s="1402" t="s">
        <v>444</v>
      </c>
      <c r="F92" s="1402" t="s">
        <v>398</v>
      </c>
    </row>
    <row r="93" spans="1:6" s="407" customFormat="1" ht="12" customHeight="1" thickBot="1" x14ac:dyDescent="0.25">
      <c r="A93" s="372" t="s">
        <v>46</v>
      </c>
      <c r="B93" s="936" t="s">
        <v>47</v>
      </c>
      <c r="C93" s="1426" t="s">
        <v>48</v>
      </c>
      <c r="D93" s="1493" t="s">
        <v>49</v>
      </c>
      <c r="E93" s="1403" t="s">
        <v>50</v>
      </c>
      <c r="F93" s="1403" t="s">
        <v>294</v>
      </c>
    </row>
    <row r="94" spans="1:6" ht="12" customHeight="1" thickBot="1" x14ac:dyDescent="0.35">
      <c r="A94" s="369" t="s">
        <v>51</v>
      </c>
      <c r="B94" s="1479" t="s">
        <v>288</v>
      </c>
      <c r="C94" s="1093">
        <f>SUM(C95:C99)</f>
        <v>1522337777</v>
      </c>
      <c r="D94" s="1494">
        <f>SUM(D95:D99)</f>
        <v>24256000</v>
      </c>
      <c r="E94" s="1093">
        <f>SUM(E95:E99)</f>
        <v>8066360</v>
      </c>
      <c r="F94" s="824">
        <f>SUM(F95:F99)</f>
        <v>1554660137</v>
      </c>
    </row>
    <row r="95" spans="1:6" ht="12" customHeight="1" x14ac:dyDescent="0.3">
      <c r="A95" s="364" t="s">
        <v>53</v>
      </c>
      <c r="B95" s="1480" t="s">
        <v>215</v>
      </c>
      <c r="C95" s="1497">
        <f>F95-E95</f>
        <v>688127200</v>
      </c>
      <c r="D95" s="1495"/>
      <c r="E95" s="1096">
        <f>6278400+231900</f>
        <v>6510300</v>
      </c>
      <c r="F95" s="825">
        <v>694637500</v>
      </c>
    </row>
    <row r="96" spans="1:6" ht="12" customHeight="1" x14ac:dyDescent="0.3">
      <c r="A96" s="361" t="s">
        <v>55</v>
      </c>
      <c r="B96" s="1481" t="s">
        <v>216</v>
      </c>
      <c r="C96" s="815">
        <f t="shared" ref="C96:C97" si="3">F96-E96</f>
        <v>139507892</v>
      </c>
      <c r="D96" s="1465"/>
      <c r="E96" s="815">
        <v>1302060</v>
      </c>
      <c r="F96" s="825">
        <v>140809952</v>
      </c>
    </row>
    <row r="97" spans="1:6" ht="12" customHeight="1" x14ac:dyDescent="0.3">
      <c r="A97" s="361" t="s">
        <v>57</v>
      </c>
      <c r="B97" s="1481" t="s">
        <v>217</v>
      </c>
      <c r="C97" s="819">
        <f t="shared" si="3"/>
        <v>621518437</v>
      </c>
      <c r="D97" s="1466"/>
      <c r="E97" s="818">
        <v>254000</v>
      </c>
      <c r="F97" s="825">
        <v>621772437</v>
      </c>
    </row>
    <row r="98" spans="1:6" ht="12" customHeight="1" x14ac:dyDescent="0.3">
      <c r="A98" s="361" t="s">
        <v>59</v>
      </c>
      <c r="B98" s="1046" t="s">
        <v>218</v>
      </c>
      <c r="C98" s="818">
        <f>F98-D98</f>
        <v>6702495</v>
      </c>
      <c r="D98" s="1466">
        <v>2860000</v>
      </c>
      <c r="E98" s="818"/>
      <c r="F98" s="825">
        <v>9562495</v>
      </c>
    </row>
    <row r="99" spans="1:6" ht="12" customHeight="1" x14ac:dyDescent="0.3">
      <c r="A99" s="361" t="s">
        <v>219</v>
      </c>
      <c r="B99" s="366" t="s">
        <v>220</v>
      </c>
      <c r="C99" s="818">
        <f t="shared" ref="C99:C147" si="4">F99-D99</f>
        <v>66481753</v>
      </c>
      <c r="D99" s="1466">
        <v>21396000</v>
      </c>
      <c r="E99" s="818"/>
      <c r="F99" s="825">
        <v>87877753</v>
      </c>
    </row>
    <row r="100" spans="1:6" ht="12" customHeight="1" x14ac:dyDescent="0.3">
      <c r="A100" s="361" t="s">
        <v>63</v>
      </c>
      <c r="B100" s="1481" t="s">
        <v>221</v>
      </c>
      <c r="C100" s="818">
        <f t="shared" si="4"/>
        <v>7083241</v>
      </c>
      <c r="D100" s="1466">
        <v>0</v>
      </c>
      <c r="E100" s="818"/>
      <c r="F100" s="825">
        <v>7083241</v>
      </c>
    </row>
    <row r="101" spans="1:6" ht="12" customHeight="1" x14ac:dyDescent="0.3">
      <c r="A101" s="361" t="s">
        <v>222</v>
      </c>
      <c r="B101" s="1482" t="s">
        <v>223</v>
      </c>
      <c r="C101" s="818">
        <f t="shared" si="4"/>
        <v>0</v>
      </c>
      <c r="D101" s="1466"/>
      <c r="E101" s="818"/>
      <c r="F101" s="825"/>
    </row>
    <row r="102" spans="1:6" ht="12" customHeight="1" x14ac:dyDescent="0.3">
      <c r="A102" s="361" t="s">
        <v>224</v>
      </c>
      <c r="B102" s="1483" t="s">
        <v>225</v>
      </c>
      <c r="C102" s="818">
        <f t="shared" si="4"/>
        <v>0</v>
      </c>
      <c r="D102" s="1466"/>
      <c r="E102" s="818"/>
      <c r="F102" s="825"/>
    </row>
    <row r="103" spans="1:6" ht="12" customHeight="1" x14ac:dyDescent="0.3">
      <c r="A103" s="361" t="s">
        <v>226</v>
      </c>
      <c r="B103" s="1483" t="s">
        <v>227</v>
      </c>
      <c r="C103" s="818">
        <f t="shared" si="4"/>
        <v>0</v>
      </c>
      <c r="D103" s="1466"/>
      <c r="E103" s="818"/>
      <c r="F103" s="825"/>
    </row>
    <row r="104" spans="1:6" ht="12" customHeight="1" x14ac:dyDescent="0.3">
      <c r="A104" s="361" t="s">
        <v>228</v>
      </c>
      <c r="B104" s="1482" t="s">
        <v>229</v>
      </c>
      <c r="C104" s="818">
        <f t="shared" si="4"/>
        <v>2911463</v>
      </c>
      <c r="D104" s="1466"/>
      <c r="E104" s="818"/>
      <c r="F104" s="825">
        <v>2911463</v>
      </c>
    </row>
    <row r="105" spans="1:6" ht="12" customHeight="1" x14ac:dyDescent="0.3">
      <c r="A105" s="361" t="s">
        <v>230</v>
      </c>
      <c r="B105" s="1482" t="s">
        <v>231</v>
      </c>
      <c r="C105" s="818">
        <f t="shared" si="4"/>
        <v>0</v>
      </c>
      <c r="D105" s="1466"/>
      <c r="E105" s="818"/>
      <c r="F105" s="825"/>
    </row>
    <row r="106" spans="1:6" ht="12" customHeight="1" x14ac:dyDescent="0.3">
      <c r="A106" s="361" t="s">
        <v>232</v>
      </c>
      <c r="B106" s="1483" t="s">
        <v>233</v>
      </c>
      <c r="C106" s="818">
        <f t="shared" si="4"/>
        <v>0</v>
      </c>
      <c r="D106" s="1466"/>
      <c r="E106" s="818"/>
      <c r="F106" s="825"/>
    </row>
    <row r="107" spans="1:6" ht="12" customHeight="1" x14ac:dyDescent="0.3">
      <c r="A107" s="360" t="s">
        <v>234</v>
      </c>
      <c r="B107" s="1484" t="s">
        <v>235</v>
      </c>
      <c r="C107" s="818">
        <f t="shared" si="4"/>
        <v>0</v>
      </c>
      <c r="D107" s="1466"/>
      <c r="E107" s="818"/>
      <c r="F107" s="825"/>
    </row>
    <row r="108" spans="1:6" ht="12" customHeight="1" x14ac:dyDescent="0.3">
      <c r="A108" s="361" t="s">
        <v>236</v>
      </c>
      <c r="B108" s="1484" t="s">
        <v>237</v>
      </c>
      <c r="C108" s="818">
        <f t="shared" si="4"/>
        <v>0</v>
      </c>
      <c r="D108" s="1466"/>
      <c r="E108" s="818"/>
      <c r="F108" s="825"/>
    </row>
    <row r="109" spans="1:6" ht="12" customHeight="1" thickBot="1" x14ac:dyDescent="0.35">
      <c r="A109" s="365" t="s">
        <v>238</v>
      </c>
      <c r="B109" s="1485" t="s">
        <v>239</v>
      </c>
      <c r="C109" s="818">
        <f t="shared" si="4"/>
        <v>77883049</v>
      </c>
      <c r="D109" s="1496"/>
      <c r="E109" s="1103"/>
      <c r="F109" s="957">
        <v>77883049</v>
      </c>
    </row>
    <row r="110" spans="1:6" ht="12" customHeight="1" thickBot="1" x14ac:dyDescent="0.35">
      <c r="A110" s="367" t="s">
        <v>65</v>
      </c>
      <c r="B110" s="1478" t="s">
        <v>289</v>
      </c>
      <c r="C110" s="1012">
        <f t="shared" si="4"/>
        <v>0</v>
      </c>
      <c r="D110" s="952">
        <f>+D111+D113+D115</f>
        <v>201608887</v>
      </c>
      <c r="E110" s="817">
        <f>+E111+E113+E115</f>
        <v>0</v>
      </c>
      <c r="F110" s="827">
        <f>SUM(F111:F117)</f>
        <v>201608887</v>
      </c>
    </row>
    <row r="111" spans="1:6" ht="12" customHeight="1" x14ac:dyDescent="0.3">
      <c r="A111" s="362" t="s">
        <v>67</v>
      </c>
      <c r="B111" s="1481" t="s">
        <v>241</v>
      </c>
      <c r="C111" s="1021">
        <f t="shared" si="4"/>
        <v>0</v>
      </c>
      <c r="D111" s="953">
        <v>67441294</v>
      </c>
      <c r="E111" s="819"/>
      <c r="F111" s="825">
        <v>67441294</v>
      </c>
    </row>
    <row r="112" spans="1:6" ht="12" customHeight="1" x14ac:dyDescent="0.3">
      <c r="A112" s="362" t="s">
        <v>69</v>
      </c>
      <c r="B112" s="1486" t="s">
        <v>242</v>
      </c>
      <c r="C112" s="818">
        <f t="shared" si="4"/>
        <v>0</v>
      </c>
      <c r="D112" s="953"/>
      <c r="E112" s="819"/>
      <c r="F112" s="825"/>
    </row>
    <row r="113" spans="1:6" x14ac:dyDescent="0.3">
      <c r="A113" s="362" t="s">
        <v>71</v>
      </c>
      <c r="B113" s="1486" t="s">
        <v>243</v>
      </c>
      <c r="C113" s="818">
        <f t="shared" si="4"/>
        <v>0</v>
      </c>
      <c r="D113" s="1465">
        <v>122364144</v>
      </c>
      <c r="E113" s="815"/>
      <c r="F113" s="825">
        <v>122364144</v>
      </c>
    </row>
    <row r="114" spans="1:6" ht="12" customHeight="1" x14ac:dyDescent="0.3">
      <c r="A114" s="362" t="s">
        <v>73</v>
      </c>
      <c r="B114" s="1486" t="s">
        <v>244</v>
      </c>
      <c r="C114" s="818">
        <f t="shared" si="4"/>
        <v>0</v>
      </c>
      <c r="D114" s="1465"/>
      <c r="E114" s="815"/>
      <c r="F114" s="825"/>
    </row>
    <row r="115" spans="1:6" ht="12" customHeight="1" x14ac:dyDescent="0.3">
      <c r="A115" s="362" t="s">
        <v>75</v>
      </c>
      <c r="B115" s="1461" t="s">
        <v>245</v>
      </c>
      <c r="C115" s="818">
        <f t="shared" si="4"/>
        <v>0</v>
      </c>
      <c r="D115" s="1465">
        <v>11803449</v>
      </c>
      <c r="E115" s="815"/>
      <c r="F115" s="825">
        <v>11803449</v>
      </c>
    </row>
    <row r="116" spans="1:6" ht="21.75" customHeight="1" x14ac:dyDescent="0.3">
      <c r="A116" s="362" t="s">
        <v>77</v>
      </c>
      <c r="B116" s="1487" t="s">
        <v>246</v>
      </c>
      <c r="C116" s="818">
        <f t="shared" si="4"/>
        <v>0</v>
      </c>
      <c r="D116" s="1465"/>
      <c r="E116" s="815"/>
      <c r="F116" s="825"/>
    </row>
    <row r="117" spans="1:6" ht="24" customHeight="1" x14ac:dyDescent="0.3">
      <c r="A117" s="362" t="s">
        <v>247</v>
      </c>
      <c r="B117" s="1488" t="s">
        <v>248</v>
      </c>
      <c r="C117" s="818">
        <f t="shared" si="4"/>
        <v>0</v>
      </c>
      <c r="D117" s="1465"/>
      <c r="E117" s="815"/>
      <c r="F117" s="825"/>
    </row>
    <row r="118" spans="1:6" ht="12" customHeight="1" x14ac:dyDescent="0.3">
      <c r="A118" s="362" t="s">
        <v>249</v>
      </c>
      <c r="B118" s="1483" t="s">
        <v>227</v>
      </c>
      <c r="C118" s="818">
        <f t="shared" si="4"/>
        <v>0</v>
      </c>
      <c r="D118" s="1465"/>
      <c r="E118" s="815"/>
      <c r="F118" s="825"/>
    </row>
    <row r="119" spans="1:6" ht="12" customHeight="1" x14ac:dyDescent="0.3">
      <c r="A119" s="362" t="s">
        <v>250</v>
      </c>
      <c r="B119" s="1483" t="s">
        <v>251</v>
      </c>
      <c r="C119" s="818">
        <f t="shared" si="4"/>
        <v>0</v>
      </c>
      <c r="D119" s="1465"/>
      <c r="E119" s="815"/>
      <c r="F119" s="825"/>
    </row>
    <row r="120" spans="1:6" ht="12" customHeight="1" x14ac:dyDescent="0.3">
      <c r="A120" s="362" t="s">
        <v>252</v>
      </c>
      <c r="B120" s="1483" t="s">
        <v>253</v>
      </c>
      <c r="C120" s="818">
        <f t="shared" si="4"/>
        <v>0</v>
      </c>
      <c r="D120" s="1465"/>
      <c r="E120" s="815"/>
      <c r="F120" s="825"/>
    </row>
    <row r="121" spans="1:6" s="427" customFormat="1" ht="12" customHeight="1" x14ac:dyDescent="0.25">
      <c r="A121" s="362" t="s">
        <v>254</v>
      </c>
      <c r="B121" s="1483" t="s">
        <v>233</v>
      </c>
      <c r="C121" s="818">
        <f t="shared" si="4"/>
        <v>8703949</v>
      </c>
      <c r="D121" s="1465"/>
      <c r="E121" s="815"/>
      <c r="F121" s="825">
        <v>8703949</v>
      </c>
    </row>
    <row r="122" spans="1:6" ht="12" customHeight="1" x14ac:dyDescent="0.3">
      <c r="A122" s="362" t="s">
        <v>255</v>
      </c>
      <c r="B122" s="1483" t="s">
        <v>256</v>
      </c>
      <c r="C122" s="818">
        <f t="shared" si="4"/>
        <v>0</v>
      </c>
      <c r="D122" s="1465"/>
      <c r="E122" s="815"/>
      <c r="F122" s="825"/>
    </row>
    <row r="123" spans="1:6" ht="12" customHeight="1" thickBot="1" x14ac:dyDescent="0.35">
      <c r="A123" s="360" t="s">
        <v>257</v>
      </c>
      <c r="B123" s="1483" t="s">
        <v>258</v>
      </c>
      <c r="C123" s="818">
        <f t="shared" si="4"/>
        <v>3099500</v>
      </c>
      <c r="D123" s="1466"/>
      <c r="E123" s="818"/>
      <c r="F123" s="957">
        <v>3099500</v>
      </c>
    </row>
    <row r="124" spans="1:6" ht="12" customHeight="1" thickBot="1" x14ac:dyDescent="0.35">
      <c r="A124" s="367" t="s">
        <v>79</v>
      </c>
      <c r="B124" s="948" t="s">
        <v>259</v>
      </c>
      <c r="C124" s="1012">
        <f t="shared" si="4"/>
        <v>-5168931</v>
      </c>
      <c r="D124" s="952">
        <f>+D125+D126</f>
        <v>5168931</v>
      </c>
      <c r="E124" s="817">
        <f>+E125+E126</f>
        <v>0</v>
      </c>
      <c r="F124" s="827">
        <f>SUM(F125:F126)</f>
        <v>0</v>
      </c>
    </row>
    <row r="125" spans="1:6" ht="12" customHeight="1" x14ac:dyDescent="0.3">
      <c r="A125" s="362" t="s">
        <v>81</v>
      </c>
      <c r="B125" s="1489" t="s">
        <v>260</v>
      </c>
      <c r="C125" s="1021">
        <f t="shared" si="4"/>
        <v>-5168931</v>
      </c>
      <c r="D125" s="953">
        <v>5168931</v>
      </c>
      <c r="E125" s="819"/>
      <c r="F125" s="825"/>
    </row>
    <row r="126" spans="1:6" ht="12" customHeight="1" thickBot="1" x14ac:dyDescent="0.35">
      <c r="A126" s="363" t="s">
        <v>83</v>
      </c>
      <c r="B126" s="1486" t="s">
        <v>261</v>
      </c>
      <c r="C126" s="818">
        <f t="shared" si="4"/>
        <v>0</v>
      </c>
      <c r="D126" s="1466"/>
      <c r="E126" s="818"/>
      <c r="F126" s="957"/>
    </row>
    <row r="127" spans="1:6" ht="12" customHeight="1" thickBot="1" x14ac:dyDescent="0.35">
      <c r="A127" s="367" t="s">
        <v>262</v>
      </c>
      <c r="B127" s="948" t="s">
        <v>263</v>
      </c>
      <c r="C127" s="1012">
        <f>F127-E127-D127</f>
        <v>1517168846</v>
      </c>
      <c r="D127" s="952">
        <f>+D94+D110+D124</f>
        <v>231033818</v>
      </c>
      <c r="E127" s="817">
        <f>+E94+E110+E124</f>
        <v>8066360</v>
      </c>
      <c r="F127" s="827">
        <f>F124+F110+F94</f>
        <v>1756269024</v>
      </c>
    </row>
    <row r="128" spans="1:6" ht="12" customHeight="1" thickBot="1" x14ac:dyDescent="0.35">
      <c r="A128" s="367" t="s">
        <v>107</v>
      </c>
      <c r="B128" s="948" t="s">
        <v>264</v>
      </c>
      <c r="C128" s="1026">
        <f t="shared" si="4"/>
        <v>0</v>
      </c>
      <c r="D128" s="952">
        <f>+D129+D130+D131</f>
        <v>96193309</v>
      </c>
      <c r="E128" s="817">
        <f>+E129+E130+E131</f>
        <v>0</v>
      </c>
      <c r="F128" s="827">
        <f>SUM(F129:F131)</f>
        <v>96193309</v>
      </c>
    </row>
    <row r="129" spans="1:6" ht="12" customHeight="1" x14ac:dyDescent="0.3">
      <c r="A129" s="362" t="s">
        <v>109</v>
      </c>
      <c r="B129" s="1489" t="s">
        <v>265</v>
      </c>
      <c r="C129" s="1021">
        <f t="shared" si="4"/>
        <v>0</v>
      </c>
      <c r="D129" s="1465">
        <v>96193309</v>
      </c>
      <c r="E129" s="815"/>
      <c r="F129" s="825">
        <v>96193309</v>
      </c>
    </row>
    <row r="130" spans="1:6" ht="12" customHeight="1" x14ac:dyDescent="0.3">
      <c r="A130" s="362" t="s">
        <v>111</v>
      </c>
      <c r="B130" s="1489" t="s">
        <v>266</v>
      </c>
      <c r="C130" s="818">
        <f t="shared" si="4"/>
        <v>0</v>
      </c>
      <c r="D130" s="1465"/>
      <c r="E130" s="815"/>
      <c r="F130" s="825"/>
    </row>
    <row r="131" spans="1:6" ht="12" customHeight="1" thickBot="1" x14ac:dyDescent="0.35">
      <c r="A131" s="360" t="s">
        <v>113</v>
      </c>
      <c r="B131" s="1490" t="s">
        <v>267</v>
      </c>
      <c r="C131" s="818">
        <f t="shared" si="4"/>
        <v>0</v>
      </c>
      <c r="D131" s="1465"/>
      <c r="E131" s="815"/>
      <c r="F131" s="957"/>
    </row>
    <row r="132" spans="1:6" ht="12" customHeight="1" thickBot="1" x14ac:dyDescent="0.35">
      <c r="A132" s="367" t="s">
        <v>129</v>
      </c>
      <c r="B132" s="948" t="s">
        <v>268</v>
      </c>
      <c r="C132" s="1026">
        <f t="shared" si="4"/>
        <v>0</v>
      </c>
      <c r="D132" s="952">
        <f>+D133+D134+D136+D135</f>
        <v>0</v>
      </c>
      <c r="E132" s="817">
        <f>+E133+E134+E136+E135</f>
        <v>0</v>
      </c>
      <c r="F132" s="958"/>
    </row>
    <row r="133" spans="1:6" ht="12" customHeight="1" x14ac:dyDescent="0.3">
      <c r="A133" s="362" t="s">
        <v>131</v>
      </c>
      <c r="B133" s="1489" t="s">
        <v>269</v>
      </c>
      <c r="C133" s="1021">
        <f t="shared" si="4"/>
        <v>0</v>
      </c>
      <c r="D133" s="1465"/>
      <c r="E133" s="815"/>
      <c r="F133" s="825"/>
    </row>
    <row r="134" spans="1:6" ht="12" customHeight="1" x14ac:dyDescent="0.3">
      <c r="A134" s="362" t="s">
        <v>133</v>
      </c>
      <c r="B134" s="1489" t="s">
        <v>270</v>
      </c>
      <c r="C134" s="818">
        <f t="shared" si="4"/>
        <v>0</v>
      </c>
      <c r="D134" s="1465"/>
      <c r="E134" s="815"/>
      <c r="F134" s="825"/>
    </row>
    <row r="135" spans="1:6" ht="12" customHeight="1" x14ac:dyDescent="0.3">
      <c r="A135" s="362" t="s">
        <v>135</v>
      </c>
      <c r="B135" s="1489" t="s">
        <v>271</v>
      </c>
      <c r="C135" s="818">
        <f t="shared" si="4"/>
        <v>0</v>
      </c>
      <c r="D135" s="1465"/>
      <c r="E135" s="815"/>
      <c r="F135" s="825"/>
    </row>
    <row r="136" spans="1:6" ht="12" customHeight="1" thickBot="1" x14ac:dyDescent="0.35">
      <c r="A136" s="360" t="s">
        <v>137</v>
      </c>
      <c r="B136" s="1490" t="s">
        <v>272</v>
      </c>
      <c r="C136" s="818">
        <f t="shared" si="4"/>
        <v>0</v>
      </c>
      <c r="D136" s="1465"/>
      <c r="E136" s="815"/>
      <c r="F136" s="957"/>
    </row>
    <row r="137" spans="1:6" ht="12" customHeight="1" thickBot="1" x14ac:dyDescent="0.35">
      <c r="A137" s="367" t="s">
        <v>273</v>
      </c>
      <c r="B137" s="948" t="s">
        <v>274</v>
      </c>
      <c r="C137" s="1012">
        <f t="shared" si="4"/>
        <v>985415638</v>
      </c>
      <c r="D137" s="954">
        <f>+D138+D139+D140+D141</f>
        <v>2148538</v>
      </c>
      <c r="E137" s="816">
        <f>+E138+E139+E140+E141</f>
        <v>0</v>
      </c>
      <c r="F137" s="827">
        <f>SUM(F138:F141)</f>
        <v>987564176</v>
      </c>
    </row>
    <row r="138" spans="1:6" ht="12" customHeight="1" x14ac:dyDescent="0.3">
      <c r="A138" s="362" t="s">
        <v>143</v>
      </c>
      <c r="B138" s="1489" t="s">
        <v>275</v>
      </c>
      <c r="C138" s="1021">
        <f t="shared" si="4"/>
        <v>0</v>
      </c>
      <c r="D138" s="1465"/>
      <c r="E138" s="815"/>
      <c r="F138" s="825"/>
    </row>
    <row r="139" spans="1:6" ht="12" customHeight="1" x14ac:dyDescent="0.3">
      <c r="A139" s="362" t="s">
        <v>145</v>
      </c>
      <c r="B139" s="1489" t="s">
        <v>276</v>
      </c>
      <c r="C139" s="818">
        <f t="shared" si="4"/>
        <v>11236412</v>
      </c>
      <c r="D139" s="1465"/>
      <c r="E139" s="815"/>
      <c r="F139" s="825">
        <v>11236412</v>
      </c>
    </row>
    <row r="140" spans="1:6" ht="12" customHeight="1" x14ac:dyDescent="0.3">
      <c r="A140" s="362" t="s">
        <v>147</v>
      </c>
      <c r="B140" s="1489" t="s">
        <v>1793</v>
      </c>
      <c r="C140" s="818">
        <f t="shared" si="4"/>
        <v>972206827</v>
      </c>
      <c r="D140" s="1465"/>
      <c r="E140" s="815"/>
      <c r="F140" s="825">
        <v>972206827</v>
      </c>
    </row>
    <row r="141" spans="1:6" ht="12" customHeight="1" thickBot="1" x14ac:dyDescent="0.35">
      <c r="A141" s="360" t="s">
        <v>149</v>
      </c>
      <c r="B141" s="1490" t="s">
        <v>1840</v>
      </c>
      <c r="C141" s="818">
        <f t="shared" si="4"/>
        <v>1972399</v>
      </c>
      <c r="D141" s="1465">
        <v>2148538</v>
      </c>
      <c r="E141" s="815"/>
      <c r="F141" s="957">
        <v>4120937</v>
      </c>
    </row>
    <row r="142" spans="1:6" ht="15" customHeight="1" thickBot="1" x14ac:dyDescent="0.35">
      <c r="A142" s="367" t="s">
        <v>151</v>
      </c>
      <c r="B142" s="948" t="s">
        <v>279</v>
      </c>
      <c r="C142" s="1026">
        <f t="shared" si="4"/>
        <v>0</v>
      </c>
      <c r="D142" s="1477">
        <f>+D143+D144+D145+D146</f>
        <v>0</v>
      </c>
      <c r="E142" s="1411">
        <f>+E143+E144+E145+E146</f>
        <v>0</v>
      </c>
      <c r="F142" s="958"/>
    </row>
    <row r="143" spans="1:6" s="408" customFormat="1" ht="12.9" customHeight="1" x14ac:dyDescent="0.25">
      <c r="A143" s="362" t="s">
        <v>153</v>
      </c>
      <c r="B143" s="1489" t="s">
        <v>280</v>
      </c>
      <c r="C143" s="1021">
        <f t="shared" si="4"/>
        <v>0</v>
      </c>
      <c r="D143" s="1465"/>
      <c r="E143" s="815"/>
      <c r="F143" s="825"/>
    </row>
    <row r="144" spans="1:6" ht="12.75" customHeight="1" x14ac:dyDescent="0.3">
      <c r="A144" s="362" t="s">
        <v>155</v>
      </c>
      <c r="B144" s="1489" t="s">
        <v>281</v>
      </c>
      <c r="C144" s="818">
        <f t="shared" si="4"/>
        <v>0</v>
      </c>
      <c r="D144" s="1465"/>
      <c r="E144" s="815"/>
      <c r="F144" s="825"/>
    </row>
    <row r="145" spans="1:6" ht="12.75" customHeight="1" x14ac:dyDescent="0.3">
      <c r="A145" s="362" t="s">
        <v>157</v>
      </c>
      <c r="B145" s="1489" t="s">
        <v>282</v>
      </c>
      <c r="C145" s="818">
        <f t="shared" si="4"/>
        <v>0</v>
      </c>
      <c r="D145" s="1465"/>
      <c r="E145" s="815"/>
      <c r="F145" s="825"/>
    </row>
    <row r="146" spans="1:6" ht="12.75" customHeight="1" thickBot="1" x14ac:dyDescent="0.35">
      <c r="A146" s="362" t="s">
        <v>159</v>
      </c>
      <c r="B146" s="1489" t="s">
        <v>283</v>
      </c>
      <c r="C146" s="818">
        <f t="shared" si="4"/>
        <v>0</v>
      </c>
      <c r="D146" s="1465"/>
      <c r="E146" s="815"/>
      <c r="F146" s="957"/>
    </row>
    <row r="147" spans="1:6" ht="16.2" thickBot="1" x14ac:dyDescent="0.35">
      <c r="A147" s="367" t="s">
        <v>161</v>
      </c>
      <c r="B147" s="948" t="s">
        <v>284</v>
      </c>
      <c r="C147" s="1012">
        <f t="shared" si="4"/>
        <v>985415638</v>
      </c>
      <c r="D147" s="1476">
        <f>+D128+D132+D137+D142</f>
        <v>98341847</v>
      </c>
      <c r="E147" s="1412">
        <f>+E128+E132+E137+E142</f>
        <v>0</v>
      </c>
      <c r="F147" s="959">
        <f>F137+F128</f>
        <v>1083757485</v>
      </c>
    </row>
    <row r="148" spans="1:6" ht="16.2" thickBot="1" x14ac:dyDescent="0.35">
      <c r="A148" s="391" t="s">
        <v>285</v>
      </c>
      <c r="B148" s="1491" t="s">
        <v>286</v>
      </c>
      <c r="C148" s="1412">
        <f>+C127+C147</f>
        <v>2502584484</v>
      </c>
      <c r="D148" s="1476">
        <f>+D127+D147</f>
        <v>329375665</v>
      </c>
      <c r="E148" s="1412">
        <f>+E127+E147</f>
        <v>8066360</v>
      </c>
      <c r="F148" s="827">
        <f>F147+F127</f>
        <v>2840026509</v>
      </c>
    </row>
    <row r="149" spans="1:6" x14ac:dyDescent="0.3">
      <c r="C149" s="811"/>
      <c r="D149" s="811"/>
      <c r="E149" s="1378"/>
    </row>
    <row r="150" spans="1:6" ht="7.5" customHeight="1" x14ac:dyDescent="0.3"/>
    <row r="151" spans="1:6" x14ac:dyDescent="0.3">
      <c r="C151" s="811"/>
    </row>
    <row r="152" spans="1:6" ht="12.75" customHeight="1" x14ac:dyDescent="0.3"/>
    <row r="153" spans="1:6" ht="12.75" customHeight="1" x14ac:dyDescent="0.3"/>
    <row r="154" spans="1:6" ht="12.75" customHeight="1" x14ac:dyDescent="0.3"/>
    <row r="155" spans="1:6" ht="12.75" customHeight="1" x14ac:dyDescent="0.3"/>
    <row r="156" spans="1:6" ht="12.75" customHeight="1" x14ac:dyDescent="0.3"/>
    <row r="157" spans="1:6" ht="12.75" customHeight="1" x14ac:dyDescent="0.3"/>
    <row r="158" spans="1:6" ht="12.75" customHeight="1" x14ac:dyDescent="0.3"/>
    <row r="159" spans="1:6" ht="12.75" customHeight="1" x14ac:dyDescent="0.3"/>
  </sheetData>
  <mergeCells count="8">
    <mergeCell ref="A91:A92"/>
    <mergeCell ref="B91:B92"/>
    <mergeCell ref="C91:F91"/>
    <mergeCell ref="A3:F3"/>
    <mergeCell ref="A5:A6"/>
    <mergeCell ref="B5:B6"/>
    <mergeCell ref="C5:F5"/>
    <mergeCell ref="A89:F89"/>
  </mergeCells>
  <pageMargins left="0.7" right="0.7" top="0.75" bottom="0.75" header="0.3" footer="0.3"/>
  <pageSetup paperSize="9" scale="66" orientation="portrait" r:id="rId1"/>
  <headerFooter>
    <oddHeader xml:space="preserve">&amp;R28. melléklet a 2/2020. (II.28.) önkormányzati rendelethez
</oddHeader>
  </headerFooter>
  <rowBreaks count="1" manualBreakCount="1">
    <brk id="88" max="16383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3:B14"/>
  <sheetViews>
    <sheetView view="pageLayout" zoomScaleNormal="100" workbookViewId="0">
      <selection activeCell="A6" sqref="A6"/>
    </sheetView>
  </sheetViews>
  <sheetFormatPr defaultColWidth="9.33203125" defaultRowHeight="15.6" x14ac:dyDescent="0.3"/>
  <cols>
    <col min="1" max="1" width="73.109375" style="906" customWidth="1"/>
    <col min="2" max="2" width="23.44140625" style="906" customWidth="1"/>
    <col min="3" max="16384" width="9.33203125" style="906"/>
  </cols>
  <sheetData>
    <row r="3" spans="1:2" ht="16.2" thickBot="1" x14ac:dyDescent="0.35">
      <c r="A3" s="905"/>
      <c r="B3" s="905"/>
    </row>
    <row r="4" spans="1:2" ht="81" customHeight="1" thickBot="1" x14ac:dyDescent="0.35">
      <c r="A4" s="907" t="s">
        <v>293</v>
      </c>
      <c r="B4" s="908" t="s">
        <v>1838</v>
      </c>
    </row>
    <row r="5" spans="1:2" x14ac:dyDescent="0.3">
      <c r="A5" s="1664" t="s">
        <v>2142</v>
      </c>
      <c r="B5" s="1664"/>
    </row>
    <row r="6" spans="1:2" ht="15" customHeight="1" x14ac:dyDescent="0.3">
      <c r="A6" s="1358" t="s">
        <v>2139</v>
      </c>
      <c r="B6" s="1418">
        <v>289588</v>
      </c>
    </row>
    <row r="7" spans="1:2" s="909" customFormat="1" ht="16.2" thickBot="1" x14ac:dyDescent="0.35">
      <c r="A7" s="1419" t="s">
        <v>1841</v>
      </c>
      <c r="B7" s="1420">
        <v>22340</v>
      </c>
    </row>
    <row r="8" spans="1:2" s="909" customFormat="1" ht="16.2" thickBot="1" x14ac:dyDescent="0.35">
      <c r="A8" s="1416" t="s">
        <v>2140</v>
      </c>
      <c r="B8" s="1417">
        <v>0</v>
      </c>
    </row>
    <row r="9" spans="1:2" s="909" customFormat="1" x14ac:dyDescent="0.3">
      <c r="A9" s="1665" t="s">
        <v>2143</v>
      </c>
      <c r="B9" s="1666"/>
    </row>
    <row r="10" spans="1:2" s="909" customFormat="1" x14ac:dyDescent="0.3">
      <c r="A10" s="1421" t="s">
        <v>2141</v>
      </c>
      <c r="B10" s="1418">
        <f>B6+B7</f>
        <v>311928</v>
      </c>
    </row>
    <row r="11" spans="1:2" s="909" customFormat="1" ht="16.2" thickBot="1" x14ac:dyDescent="0.35">
      <c r="A11" s="1422" t="s">
        <v>2192</v>
      </c>
      <c r="B11" s="1423">
        <v>0</v>
      </c>
    </row>
    <row r="12" spans="1:2" s="909" customFormat="1" x14ac:dyDescent="0.3"/>
    <row r="13" spans="1:2" s="910" customFormat="1" x14ac:dyDescent="0.3">
      <c r="A13" s="906"/>
      <c r="B13" s="911"/>
    </row>
    <row r="14" spans="1:2" x14ac:dyDescent="0.3">
      <c r="A14" s="910"/>
      <c r="B14" s="911"/>
    </row>
  </sheetData>
  <mergeCells count="2">
    <mergeCell ref="A5:B5"/>
    <mergeCell ref="A9:B9"/>
  </mergeCells>
  <pageMargins left="0.7" right="0.7734375" top="0.75" bottom="0.75" header="0.3" footer="0.3"/>
  <pageSetup paperSize="9" scale="99" orientation="portrait" r:id="rId1"/>
  <headerFooter>
    <oddHeader xml:space="preserve">&amp;C
&amp;"Times New Roman CE,Félkövér"Környezetvédelmi Alap&amp;R&amp;"Times New Roman CE,Dőlt"29. melléklet a 2/2020. (.II.28.) önkormányzati rendelethez
&amp;"Times New Roman CE,Normál"
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N43"/>
  <sheetViews>
    <sheetView view="pageLayout" topLeftCell="C1" zoomScaleNormal="100" zoomScaleSheetLayoutView="92" workbookViewId="0">
      <selection activeCell="C6" sqref="C6"/>
    </sheetView>
  </sheetViews>
  <sheetFormatPr defaultColWidth="9.33203125" defaultRowHeight="14.4" x14ac:dyDescent="0.3"/>
  <cols>
    <col min="1" max="1" width="9.33203125" style="831"/>
    <col min="2" max="2" width="57.109375" style="831" bestFit="1" customWidth="1"/>
    <col min="3" max="3" width="22" style="831" bestFit="1" customWidth="1"/>
    <col min="4" max="4" width="17.77734375" style="831" customWidth="1"/>
    <col min="5" max="7" width="17.109375" style="831" customWidth="1"/>
    <col min="8" max="8" width="14.77734375" style="831" bestFit="1" customWidth="1"/>
    <col min="9" max="9" width="12.33203125" style="831" customWidth="1"/>
    <col min="10" max="10" width="13.33203125" style="831" customWidth="1"/>
    <col min="11" max="11" width="12.44140625" style="831" customWidth="1"/>
    <col min="12" max="12" width="14" style="831" bestFit="1" customWidth="1"/>
    <col min="13" max="13" width="19.109375" style="831" customWidth="1"/>
    <col min="14" max="14" width="11.44140625" style="831" bestFit="1" customWidth="1"/>
    <col min="15" max="16384" width="9.33203125" style="831"/>
  </cols>
  <sheetData>
    <row r="1" spans="1:14" ht="15" thickBot="1" x14ac:dyDescent="0.35">
      <c r="M1" s="845" t="s">
        <v>1796</v>
      </c>
    </row>
    <row r="2" spans="1:14" ht="15.75" customHeight="1" thickBot="1" x14ac:dyDescent="0.35">
      <c r="A2" s="1659" t="s">
        <v>588</v>
      </c>
      <c r="B2" s="1660" t="s">
        <v>293</v>
      </c>
      <c r="C2" s="1659" t="s">
        <v>43</v>
      </c>
      <c r="D2" s="1659" t="s">
        <v>2176</v>
      </c>
      <c r="E2" s="1667" t="s">
        <v>2177</v>
      </c>
      <c r="F2" s="1659" t="s">
        <v>2178</v>
      </c>
      <c r="G2" s="1659" t="s">
        <v>2191</v>
      </c>
      <c r="H2" s="1661" t="s">
        <v>1797</v>
      </c>
      <c r="I2" s="1661"/>
      <c r="J2" s="1661"/>
      <c r="K2" s="1661"/>
      <c r="L2" s="1661"/>
      <c r="M2" s="1657" t="s">
        <v>1798</v>
      </c>
    </row>
    <row r="3" spans="1:14" ht="28.2" thickBot="1" x14ac:dyDescent="0.35">
      <c r="A3" s="1659"/>
      <c r="B3" s="1660"/>
      <c r="C3" s="1659"/>
      <c r="D3" s="1659"/>
      <c r="E3" s="1667"/>
      <c r="F3" s="1659"/>
      <c r="G3" s="1659"/>
      <c r="H3" s="963" t="s">
        <v>1799</v>
      </c>
      <c r="I3" s="963" t="s">
        <v>1800</v>
      </c>
      <c r="J3" s="962" t="s">
        <v>1801</v>
      </c>
      <c r="K3" s="832" t="s">
        <v>1802</v>
      </c>
      <c r="L3" s="963" t="s">
        <v>403</v>
      </c>
      <c r="M3" s="1658"/>
    </row>
    <row r="4" spans="1:14" ht="15" thickBot="1" x14ac:dyDescent="0.35">
      <c r="A4" s="965">
        <v>1</v>
      </c>
      <c r="B4" s="929" t="s">
        <v>260</v>
      </c>
      <c r="C4" s="834">
        <f>SUM(C5:C30)</f>
        <v>1804406</v>
      </c>
      <c r="D4" s="834">
        <f>D5+D30</f>
        <v>14277308</v>
      </c>
      <c r="E4" s="985">
        <f>E5+E30</f>
        <v>6925647</v>
      </c>
      <c r="F4" s="834">
        <f>F5+F30</f>
        <v>5168931</v>
      </c>
      <c r="G4" s="834">
        <f>G5+G30</f>
        <v>0</v>
      </c>
      <c r="H4" s="834"/>
      <c r="I4" s="966"/>
      <c r="J4" s="967"/>
      <c r="K4" s="967"/>
      <c r="L4" s="967">
        <f>SUM(L5:L29)</f>
        <v>0</v>
      </c>
      <c r="M4" s="834"/>
      <c r="N4" s="968"/>
    </row>
    <row r="5" spans="1:14" x14ac:dyDescent="0.3">
      <c r="A5" s="1432">
        <v>2</v>
      </c>
      <c r="B5" s="1437" t="s">
        <v>1862</v>
      </c>
      <c r="C5" s="1435">
        <v>1804406</v>
      </c>
      <c r="D5" s="835">
        <f>SUM(D6:D13)</f>
        <v>14277308</v>
      </c>
      <c r="E5" s="1607">
        <f>SUM(E6:E29)</f>
        <v>6925647</v>
      </c>
      <c r="F5" s="835">
        <v>5168931</v>
      </c>
      <c r="G5" s="835"/>
      <c r="H5" s="969"/>
      <c r="I5" s="970"/>
      <c r="J5" s="971"/>
      <c r="K5" s="972"/>
      <c r="L5" s="1445"/>
      <c r="M5" s="973" t="s">
        <v>421</v>
      </c>
    </row>
    <row r="6" spans="1:14" x14ac:dyDescent="0.3">
      <c r="A6" s="1432">
        <v>3</v>
      </c>
      <c r="B6" s="1438" t="s">
        <v>2144</v>
      </c>
      <c r="C6" s="1433"/>
      <c r="D6" s="835">
        <v>1804406</v>
      </c>
      <c r="E6" s="1608">
        <v>14277308</v>
      </c>
      <c r="F6" s="835"/>
      <c r="G6" s="835"/>
      <c r="H6" s="974"/>
      <c r="I6" s="975"/>
      <c r="J6" s="976"/>
      <c r="K6" s="977"/>
      <c r="L6" s="835"/>
      <c r="M6" s="978"/>
    </row>
    <row r="7" spans="1:14" x14ac:dyDescent="0.3">
      <c r="A7" s="1432">
        <v>4</v>
      </c>
      <c r="B7" s="1439" t="s">
        <v>1863</v>
      </c>
      <c r="C7" s="1433"/>
      <c r="D7" s="835">
        <v>1448322</v>
      </c>
      <c r="E7" s="1611"/>
      <c r="F7" s="835"/>
      <c r="G7" s="835"/>
      <c r="H7" s="974"/>
      <c r="I7" s="975"/>
      <c r="J7" s="976"/>
      <c r="K7" s="977"/>
      <c r="L7" s="835"/>
      <c r="M7" s="978"/>
    </row>
    <row r="8" spans="1:14" x14ac:dyDescent="0.3">
      <c r="A8" s="1432">
        <v>5</v>
      </c>
      <c r="B8" s="1439" t="s">
        <v>1864</v>
      </c>
      <c r="C8" s="1433"/>
      <c r="D8" s="1428">
        <v>1924780</v>
      </c>
      <c r="E8" s="1611"/>
      <c r="F8" s="1427"/>
      <c r="G8" s="1427"/>
      <c r="H8" s="974"/>
      <c r="I8" s="975"/>
      <c r="J8" s="976"/>
      <c r="K8" s="977"/>
      <c r="L8" s="1427"/>
      <c r="M8" s="978"/>
    </row>
    <row r="9" spans="1:14" x14ac:dyDescent="0.3">
      <c r="A9" s="1432">
        <v>6</v>
      </c>
      <c r="B9" s="1439" t="s">
        <v>1865</v>
      </c>
      <c r="C9" s="1433"/>
      <c r="D9" s="1428">
        <v>25000000</v>
      </c>
      <c r="E9" s="1611">
        <v>25000000</v>
      </c>
      <c r="F9" s="1427"/>
      <c r="G9" s="1427"/>
      <c r="H9" s="974"/>
      <c r="I9" s="975"/>
      <c r="J9" s="976"/>
      <c r="K9" s="977"/>
      <c r="L9" s="1427"/>
      <c r="M9" s="978"/>
    </row>
    <row r="10" spans="1:14" x14ac:dyDescent="0.3">
      <c r="A10" s="1432">
        <v>7</v>
      </c>
      <c r="B10" s="1440" t="s">
        <v>1866</v>
      </c>
      <c r="C10" s="1433"/>
      <c r="D10" s="1428">
        <v>4630654</v>
      </c>
      <c r="E10" s="1611">
        <v>899754</v>
      </c>
      <c r="F10" s="1427"/>
      <c r="G10" s="1427"/>
      <c r="H10" s="838"/>
      <c r="I10" s="975"/>
      <c r="J10" s="976"/>
      <c r="K10" s="977"/>
      <c r="L10" s="1427"/>
      <c r="M10" s="978"/>
    </row>
    <row r="11" spans="1:14" x14ac:dyDescent="0.3">
      <c r="A11" s="1432">
        <v>8</v>
      </c>
      <c r="B11" s="1440" t="s">
        <v>1867</v>
      </c>
      <c r="C11" s="1433"/>
      <c r="D11" s="835">
        <v>21000000</v>
      </c>
      <c r="E11" s="1611"/>
      <c r="F11" s="1427"/>
      <c r="G11" s="1427"/>
      <c r="H11" s="974"/>
      <c r="I11" s="975"/>
      <c r="J11" s="976"/>
      <c r="K11" s="977"/>
      <c r="L11" s="1427"/>
      <c r="M11" s="978"/>
    </row>
    <row r="12" spans="1:14" x14ac:dyDescent="0.3">
      <c r="A12" s="1432">
        <v>9</v>
      </c>
      <c r="B12" s="1440" t="s">
        <v>1868</v>
      </c>
      <c r="C12" s="1433"/>
      <c r="D12" s="835">
        <v>11000000</v>
      </c>
      <c r="E12" s="1611"/>
      <c r="F12" s="835"/>
      <c r="G12" s="835"/>
      <c r="H12" s="974"/>
      <c r="I12" s="975"/>
      <c r="J12" s="976"/>
      <c r="K12" s="977"/>
      <c r="L12" s="835"/>
      <c r="M12" s="978"/>
    </row>
    <row r="13" spans="1:14" x14ac:dyDescent="0.3">
      <c r="A13" s="1432">
        <v>10</v>
      </c>
      <c r="B13" s="1440" t="s">
        <v>1869</v>
      </c>
      <c r="C13" s="1433"/>
      <c r="D13" s="835">
        <v>-52530854</v>
      </c>
      <c r="E13" s="1611">
        <v>26265427</v>
      </c>
      <c r="F13" s="1427"/>
      <c r="G13" s="1427"/>
      <c r="H13" s="974"/>
      <c r="I13" s="975"/>
      <c r="J13" s="976"/>
      <c r="K13" s="977"/>
      <c r="L13" s="1427"/>
      <c r="M13" s="978"/>
    </row>
    <row r="14" spans="1:14" x14ac:dyDescent="0.3">
      <c r="A14" s="1432">
        <v>11</v>
      </c>
      <c r="B14" s="1441" t="s">
        <v>2158</v>
      </c>
      <c r="C14" s="1433"/>
      <c r="D14" s="835"/>
      <c r="E14" s="1611">
        <v>-1000000</v>
      </c>
      <c r="F14" s="835"/>
      <c r="G14" s="835"/>
      <c r="H14" s="974"/>
      <c r="I14" s="975"/>
      <c r="J14" s="976"/>
      <c r="K14" s="977"/>
      <c r="L14" s="835"/>
      <c r="M14" s="978"/>
    </row>
    <row r="15" spans="1:14" x14ac:dyDescent="0.3">
      <c r="A15" s="1432">
        <v>12</v>
      </c>
      <c r="B15" s="1441" t="s">
        <v>2159</v>
      </c>
      <c r="C15" s="1433"/>
      <c r="D15" s="835"/>
      <c r="E15" s="1608">
        <v>-2500000</v>
      </c>
      <c r="F15" s="835"/>
      <c r="G15" s="835"/>
      <c r="H15" s="974"/>
      <c r="I15" s="975"/>
      <c r="J15" s="976"/>
      <c r="K15" s="977"/>
      <c r="L15" s="835"/>
      <c r="M15" s="978"/>
    </row>
    <row r="16" spans="1:14" x14ac:dyDescent="0.3">
      <c r="A16" s="1432">
        <v>13</v>
      </c>
      <c r="B16" s="1441" t="s">
        <v>2160</v>
      </c>
      <c r="C16" s="1433"/>
      <c r="D16" s="835"/>
      <c r="E16" s="1608">
        <v>-1100000</v>
      </c>
      <c r="F16" s="835"/>
      <c r="G16" s="835"/>
      <c r="H16" s="974"/>
      <c r="I16" s="975"/>
      <c r="J16" s="976"/>
      <c r="K16" s="977"/>
      <c r="L16" s="835"/>
      <c r="M16" s="978"/>
    </row>
    <row r="17" spans="1:13" x14ac:dyDescent="0.3">
      <c r="A17" s="1432">
        <v>14</v>
      </c>
      <c r="B17" s="1441" t="s">
        <v>2161</v>
      </c>
      <c r="C17" s="1433"/>
      <c r="D17" s="835"/>
      <c r="E17" s="1608">
        <v>-1000000</v>
      </c>
      <c r="F17" s="835"/>
      <c r="G17" s="835"/>
      <c r="H17" s="974"/>
      <c r="I17" s="975"/>
      <c r="J17" s="976"/>
      <c r="K17" s="977"/>
      <c r="L17" s="835"/>
      <c r="M17" s="978"/>
    </row>
    <row r="18" spans="1:13" x14ac:dyDescent="0.3">
      <c r="A18" s="1432">
        <v>15</v>
      </c>
      <c r="B18" s="1442" t="s">
        <v>2150</v>
      </c>
      <c r="C18" s="1433"/>
      <c r="D18" s="835"/>
      <c r="E18" s="1608">
        <v>-1402692</v>
      </c>
      <c r="F18" s="835"/>
      <c r="G18" s="835"/>
      <c r="H18" s="974"/>
      <c r="I18" s="975"/>
      <c r="J18" s="976"/>
      <c r="K18" s="977"/>
      <c r="L18" s="835"/>
      <c r="M18" s="978"/>
    </row>
    <row r="19" spans="1:13" x14ac:dyDescent="0.3">
      <c r="A19" s="1432">
        <v>16</v>
      </c>
      <c r="B19" s="1441" t="s">
        <v>2151</v>
      </c>
      <c r="C19" s="1433"/>
      <c r="D19" s="835"/>
      <c r="E19" s="1608">
        <v>-3524250</v>
      </c>
      <c r="F19" s="835"/>
      <c r="G19" s="835"/>
      <c r="H19" s="974"/>
      <c r="I19" s="975"/>
      <c r="J19" s="976"/>
      <c r="K19" s="977"/>
      <c r="L19" s="835"/>
      <c r="M19" s="978"/>
    </row>
    <row r="20" spans="1:13" x14ac:dyDescent="0.3">
      <c r="A20" s="1432">
        <v>17</v>
      </c>
      <c r="B20" s="1441" t="s">
        <v>2152</v>
      </c>
      <c r="C20" s="1433"/>
      <c r="D20" s="835"/>
      <c r="E20" s="1608">
        <v>-1080000</v>
      </c>
      <c r="F20" s="835"/>
      <c r="G20" s="835"/>
      <c r="H20" s="974"/>
      <c r="I20" s="975"/>
      <c r="J20" s="976"/>
      <c r="K20" s="977"/>
      <c r="L20" s="835"/>
      <c r="M20" s="978"/>
    </row>
    <row r="21" spans="1:13" x14ac:dyDescent="0.3">
      <c r="A21" s="1432">
        <v>18</v>
      </c>
      <c r="B21" s="1441" t="s">
        <v>2162</v>
      </c>
      <c r="C21" s="1433"/>
      <c r="D21" s="835"/>
      <c r="E21" s="1608">
        <v>-11877000</v>
      </c>
      <c r="F21" s="835"/>
      <c r="G21" s="835"/>
      <c r="H21" s="974"/>
      <c r="I21" s="975"/>
      <c r="J21" s="976"/>
      <c r="K21" s="977"/>
      <c r="L21" s="835"/>
      <c r="M21" s="978"/>
    </row>
    <row r="22" spans="1:13" x14ac:dyDescent="0.3">
      <c r="A22" s="1432">
        <v>19</v>
      </c>
      <c r="B22" s="1441" t="s">
        <v>2163</v>
      </c>
      <c r="C22" s="1433"/>
      <c r="D22" s="835"/>
      <c r="E22" s="1608">
        <v>-12050400</v>
      </c>
      <c r="F22" s="835"/>
      <c r="G22" s="835"/>
      <c r="H22" s="974"/>
      <c r="I22" s="975"/>
      <c r="J22" s="976"/>
      <c r="K22" s="977"/>
      <c r="L22" s="835"/>
      <c r="M22" s="978"/>
    </row>
    <row r="23" spans="1:13" x14ac:dyDescent="0.3">
      <c r="A23" s="1432">
        <v>20</v>
      </c>
      <c r="B23" s="1441" t="s">
        <v>2164</v>
      </c>
      <c r="C23" s="1433"/>
      <c r="D23" s="835"/>
      <c r="E23" s="1608">
        <v>-9000000</v>
      </c>
      <c r="F23" s="835"/>
      <c r="G23" s="835"/>
      <c r="H23" s="974"/>
      <c r="I23" s="975"/>
      <c r="J23" s="976"/>
      <c r="K23" s="977"/>
      <c r="L23" s="835"/>
      <c r="M23" s="978"/>
    </row>
    <row r="24" spans="1:13" x14ac:dyDescent="0.3">
      <c r="A24" s="1432">
        <v>21</v>
      </c>
      <c r="B24" s="1441" t="s">
        <v>2165</v>
      </c>
      <c r="C24" s="1433"/>
      <c r="D24" s="835"/>
      <c r="E24" s="1608">
        <v>-2500000</v>
      </c>
      <c r="F24" s="835"/>
      <c r="G24" s="835"/>
      <c r="H24" s="974"/>
      <c r="I24" s="975"/>
      <c r="J24" s="976"/>
      <c r="K24" s="977"/>
      <c r="L24" s="835"/>
      <c r="M24" s="978"/>
    </row>
    <row r="25" spans="1:13" x14ac:dyDescent="0.3">
      <c r="A25" s="1432">
        <v>22</v>
      </c>
      <c r="B25" s="1441" t="s">
        <v>2153</v>
      </c>
      <c r="C25" s="1433"/>
      <c r="D25" s="835"/>
      <c r="E25" s="1608">
        <v>-800000</v>
      </c>
      <c r="F25" s="835"/>
      <c r="G25" s="835"/>
      <c r="H25" s="974"/>
      <c r="I25" s="975"/>
      <c r="J25" s="976"/>
      <c r="K25" s="977"/>
      <c r="L25" s="835"/>
      <c r="M25" s="978"/>
    </row>
    <row r="26" spans="1:13" x14ac:dyDescent="0.3">
      <c r="A26" s="1432">
        <v>23</v>
      </c>
      <c r="B26" s="1441" t="s">
        <v>2154</v>
      </c>
      <c r="C26" s="1433"/>
      <c r="D26" s="835"/>
      <c r="E26" s="1608">
        <v>-200000</v>
      </c>
      <c r="F26" s="835"/>
      <c r="G26" s="835"/>
      <c r="H26" s="974"/>
      <c r="I26" s="975"/>
      <c r="J26" s="976"/>
      <c r="K26" s="977"/>
      <c r="L26" s="835"/>
      <c r="M26" s="978"/>
    </row>
    <row r="27" spans="1:13" x14ac:dyDescent="0.3">
      <c r="A27" s="1432">
        <v>24</v>
      </c>
      <c r="B27" s="1441" t="s">
        <v>2155</v>
      </c>
      <c r="C27" s="1433"/>
      <c r="D27" s="835"/>
      <c r="E27" s="1608">
        <v>-5062500</v>
      </c>
      <c r="F27" s="835"/>
      <c r="G27" s="835"/>
      <c r="H27" s="974"/>
      <c r="I27" s="975"/>
      <c r="J27" s="976"/>
      <c r="K27" s="977"/>
      <c r="L27" s="835"/>
      <c r="M27" s="978"/>
    </row>
    <row r="28" spans="1:13" x14ac:dyDescent="0.3">
      <c r="A28" s="1432">
        <v>25</v>
      </c>
      <c r="B28" s="1441" t="s">
        <v>2156</v>
      </c>
      <c r="C28" s="1433"/>
      <c r="D28" s="835"/>
      <c r="E28" s="1608">
        <v>-2000000</v>
      </c>
      <c r="F28" s="835"/>
      <c r="G28" s="835"/>
      <c r="H28" s="974"/>
      <c r="I28" s="975"/>
      <c r="J28" s="976"/>
      <c r="K28" s="977"/>
      <c r="L28" s="835"/>
      <c r="M28" s="978"/>
    </row>
    <row r="29" spans="1:13" x14ac:dyDescent="0.3">
      <c r="A29" s="1432">
        <v>26</v>
      </c>
      <c r="B29" s="1441" t="s">
        <v>2157</v>
      </c>
      <c r="C29" s="1433"/>
      <c r="D29" s="835"/>
      <c r="E29" s="1608">
        <v>-4420000</v>
      </c>
      <c r="F29" s="835"/>
      <c r="G29" s="835"/>
      <c r="H29" s="974"/>
      <c r="I29" s="975"/>
      <c r="J29" s="976"/>
      <c r="K29" s="977"/>
      <c r="L29" s="835"/>
      <c r="M29" s="978"/>
    </row>
    <row r="30" spans="1:13" ht="15" thickBot="1" x14ac:dyDescent="0.35">
      <c r="A30" s="1434">
        <v>27</v>
      </c>
      <c r="B30" s="1443" t="s">
        <v>1870</v>
      </c>
      <c r="C30" s="1436"/>
      <c r="D30" s="835">
        <v>0</v>
      </c>
      <c r="E30" s="1608">
        <v>0</v>
      </c>
      <c r="F30" s="913"/>
      <c r="G30" s="913"/>
      <c r="H30" s="980"/>
      <c r="I30" s="981"/>
      <c r="J30" s="982"/>
      <c r="K30" s="983"/>
      <c r="L30" s="1444"/>
      <c r="M30" s="984"/>
    </row>
    <row r="31" spans="1:13" ht="15" thickBot="1" x14ac:dyDescent="0.35">
      <c r="A31" s="833">
        <v>28</v>
      </c>
      <c r="B31" s="929" t="s">
        <v>261</v>
      </c>
      <c r="C31" s="834">
        <f>SUM(C32:C33)</f>
        <v>0</v>
      </c>
      <c r="D31" s="834">
        <f>SUM(D32:D33)</f>
        <v>0</v>
      </c>
      <c r="E31" s="1609">
        <f>SUM(E32:E33)</f>
        <v>0</v>
      </c>
      <c r="F31" s="834"/>
      <c r="G31" s="834"/>
      <c r="H31" s="834">
        <f>SUM(C31:E31)</f>
        <v>0</v>
      </c>
      <c r="I31" s="985"/>
      <c r="J31" s="967">
        <f>SUM(J32:J33)</f>
        <v>0</v>
      </c>
      <c r="K31" s="986"/>
      <c r="L31" s="967">
        <f>SUM(L32:L33)</f>
        <v>0</v>
      </c>
      <c r="M31" s="966"/>
    </row>
    <row r="32" spans="1:13" x14ac:dyDescent="0.3">
      <c r="A32" s="930">
        <v>29</v>
      </c>
      <c r="B32" s="931" t="s">
        <v>1862</v>
      </c>
      <c r="C32" s="835">
        <v>0</v>
      </c>
      <c r="D32" s="835">
        <f>SUM(E32:K32)</f>
        <v>0</v>
      </c>
      <c r="E32" s="1608">
        <f>SUM(H32:L32)</f>
        <v>0</v>
      </c>
      <c r="F32" s="920"/>
      <c r="G32" s="920"/>
      <c r="H32" s="836">
        <v>0</v>
      </c>
      <c r="I32" s="837"/>
      <c r="J32" s="987">
        <v>0</v>
      </c>
      <c r="K32" s="988"/>
      <c r="L32" s="989"/>
      <c r="M32" s="964"/>
    </row>
    <row r="33" spans="1:13" ht="15" thickBot="1" x14ac:dyDescent="0.35">
      <c r="A33" s="918">
        <v>30</v>
      </c>
      <c r="B33" s="928" t="s">
        <v>1870</v>
      </c>
      <c r="C33" s="838">
        <v>0</v>
      </c>
      <c r="D33" s="835">
        <v>0</v>
      </c>
      <c r="E33" s="1608">
        <v>0</v>
      </c>
      <c r="F33" s="835"/>
      <c r="G33" s="835"/>
      <c r="H33" s="839">
        <v>0</v>
      </c>
      <c r="I33" s="840"/>
      <c r="J33" s="979">
        <v>0</v>
      </c>
      <c r="K33" s="990"/>
      <c r="L33" s="979"/>
      <c r="M33" s="843"/>
    </row>
    <row r="34" spans="1:13" ht="15" thickBot="1" x14ac:dyDescent="0.35">
      <c r="A34" s="962">
        <v>31</v>
      </c>
      <c r="B34" s="935" t="s">
        <v>1871</v>
      </c>
      <c r="C34" s="844">
        <f>C4+C31</f>
        <v>1804406</v>
      </c>
      <c r="D34" s="844">
        <f>D4+D31</f>
        <v>14277308</v>
      </c>
      <c r="E34" s="1610">
        <f>E4</f>
        <v>6925647</v>
      </c>
      <c r="F34" s="844">
        <f>F4</f>
        <v>5168931</v>
      </c>
      <c r="G34" s="844">
        <f>G4</f>
        <v>0</v>
      </c>
      <c r="H34" s="1533"/>
      <c r="I34" s="844"/>
      <c r="J34" s="991">
        <f>J4+J31</f>
        <v>0</v>
      </c>
      <c r="K34" s="991"/>
      <c r="L34" s="991">
        <f>L4+L31</f>
        <v>0</v>
      </c>
      <c r="M34" s="844"/>
    </row>
    <row r="38" spans="1:13" x14ac:dyDescent="0.3">
      <c r="B38" s="992"/>
      <c r="E38" s="968"/>
      <c r="F38" s="968"/>
      <c r="G38" s="968"/>
    </row>
    <row r="39" spans="1:13" x14ac:dyDescent="0.3">
      <c r="B39" s="992"/>
    </row>
    <row r="40" spans="1:13" x14ac:dyDescent="0.3">
      <c r="B40" s="992"/>
    </row>
    <row r="41" spans="1:13" x14ac:dyDescent="0.3">
      <c r="B41" s="992"/>
    </row>
    <row r="42" spans="1:13" x14ac:dyDescent="0.3">
      <c r="B42" s="992"/>
    </row>
    <row r="43" spans="1:13" x14ac:dyDescent="0.3">
      <c r="B43" s="992"/>
    </row>
  </sheetData>
  <mergeCells count="9">
    <mergeCell ref="M2:M3"/>
    <mergeCell ref="A2:A3"/>
    <mergeCell ref="B2:B3"/>
    <mergeCell ref="C2:C3"/>
    <mergeCell ref="E2:E3"/>
    <mergeCell ref="H2:L2"/>
    <mergeCell ref="D2:D3"/>
    <mergeCell ref="F2:F3"/>
    <mergeCell ref="G2:G3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Header xml:space="preserve">&amp;C
&amp;"Times New Roman CE,Félkövér"&amp;14Tartalék kimutatása&amp;R&amp;"Times New Roman CE,Dőlt"26. melléklet a 2/2020. (II.28.) önkormányzati rendelethez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2:AI157"/>
  <sheetViews>
    <sheetView tabSelected="1" view="pageLayout" topLeftCell="C87" zoomScale="87" zoomScaleNormal="85" zoomScaleSheetLayoutView="124" zoomScalePageLayoutView="87" workbookViewId="0">
      <selection activeCell="F123" sqref="F123"/>
    </sheetView>
  </sheetViews>
  <sheetFormatPr defaultColWidth="9.33203125" defaultRowHeight="10.199999999999999" x14ac:dyDescent="0.2"/>
  <cols>
    <col min="1" max="1" width="13.6640625" style="1001" bestFit="1" customWidth="1"/>
    <col min="2" max="2" width="60.77734375" style="1001" customWidth="1"/>
    <col min="3" max="3" width="14.33203125" style="1001" customWidth="1"/>
    <col min="4" max="4" width="11.44140625" style="1001" bestFit="1" customWidth="1"/>
    <col min="5" max="5" width="14.6640625" style="1001" customWidth="1"/>
    <col min="6" max="6" width="15.33203125" style="1001" bestFit="1" customWidth="1"/>
    <col min="7" max="8" width="11.6640625" style="1001" bestFit="1" customWidth="1"/>
    <col min="9" max="9" width="12.33203125" style="1001" bestFit="1" customWidth="1"/>
    <col min="10" max="10" width="11.109375" style="1001" bestFit="1" customWidth="1"/>
    <col min="11" max="11" width="11.6640625" style="1001" bestFit="1" customWidth="1"/>
    <col min="12" max="13" width="11.6640625" style="1001" customWidth="1"/>
    <col min="14" max="14" width="11.6640625" style="1001" bestFit="1" customWidth="1"/>
    <col min="15" max="15" width="11.33203125" style="1001" bestFit="1" customWidth="1"/>
    <col min="16" max="16" width="12.6640625" style="1001" customWidth="1"/>
    <col min="17" max="17" width="10.6640625" style="1001" bestFit="1" customWidth="1"/>
    <col min="18" max="18" width="11.6640625" style="1001" bestFit="1" customWidth="1"/>
    <col min="19" max="19" width="10.6640625" style="1001" bestFit="1" customWidth="1"/>
    <col min="20" max="20" width="11.6640625" style="1001" bestFit="1" customWidth="1"/>
    <col min="21" max="21" width="10.109375" style="1001" bestFit="1" customWidth="1"/>
    <col min="22" max="22" width="12.109375" style="1001" bestFit="1" customWidth="1"/>
    <col min="23" max="23" width="11.44140625" style="1001" bestFit="1" customWidth="1"/>
    <col min="24" max="24" width="12.77734375" style="1001" bestFit="1" customWidth="1"/>
    <col min="25" max="25" width="13.77734375" style="1001" customWidth="1"/>
    <col min="26" max="26" width="14.6640625" style="1001" customWidth="1"/>
    <col min="27" max="27" width="14.44140625" style="1001" customWidth="1"/>
    <col min="28" max="28" width="16.6640625" style="1001" bestFit="1" customWidth="1"/>
    <col min="29" max="29" width="10.6640625" style="1001" bestFit="1" customWidth="1"/>
    <col min="30" max="30" width="11.77734375" style="1001" customWidth="1"/>
    <col min="31" max="31" width="13.109375" style="1001" customWidth="1"/>
    <col min="32" max="32" width="12.6640625" style="1001" bestFit="1" customWidth="1"/>
    <col min="33" max="33" width="11.6640625" style="1001" bestFit="1" customWidth="1"/>
    <col min="34" max="34" width="15.109375" style="1001" customWidth="1"/>
    <col min="35" max="35" width="10.6640625" style="1001" bestFit="1" customWidth="1"/>
    <col min="36" max="16384" width="9.33203125" style="1001"/>
  </cols>
  <sheetData>
    <row r="2" spans="1:35" ht="10.8" x14ac:dyDescent="0.25">
      <c r="B2" s="1002"/>
    </row>
    <row r="3" spans="1:35" ht="14.4" x14ac:dyDescent="0.3">
      <c r="A3" s="1668" t="s">
        <v>39</v>
      </c>
      <c r="B3" s="1668"/>
      <c r="C3" s="1669"/>
    </row>
    <row r="4" spans="1:35" ht="11.4" thickBot="1" x14ac:dyDescent="0.25">
      <c r="A4" s="1003" t="s">
        <v>2113</v>
      </c>
      <c r="B4" s="1003"/>
      <c r="AI4" s="1004" t="s">
        <v>1690</v>
      </c>
    </row>
    <row r="5" spans="1:35" s="1007" customFormat="1" ht="61.8" thickBot="1" x14ac:dyDescent="0.25">
      <c r="A5" s="1005" t="s">
        <v>588</v>
      </c>
      <c r="B5" s="1005" t="s">
        <v>42</v>
      </c>
      <c r="C5" s="1005" t="s">
        <v>1949</v>
      </c>
      <c r="D5" s="1005" t="s">
        <v>1950</v>
      </c>
      <c r="E5" s="1005" t="s">
        <v>1951</v>
      </c>
      <c r="F5" s="1006" t="s">
        <v>1952</v>
      </c>
      <c r="G5" s="1005" t="s">
        <v>1953</v>
      </c>
      <c r="H5" s="1005" t="s">
        <v>1954</v>
      </c>
      <c r="I5" s="1005" t="s">
        <v>1955</v>
      </c>
      <c r="J5" s="1005" t="s">
        <v>1956</v>
      </c>
      <c r="K5" s="1005" t="s">
        <v>1957</v>
      </c>
      <c r="L5" s="1005" t="s">
        <v>1958</v>
      </c>
      <c r="M5" s="1006" t="s">
        <v>1959</v>
      </c>
      <c r="N5" s="1006" t="s">
        <v>1960</v>
      </c>
      <c r="O5" s="1005" t="s">
        <v>1961</v>
      </c>
      <c r="P5" s="1005" t="s">
        <v>1962</v>
      </c>
      <c r="Q5" s="1005" t="s">
        <v>1963</v>
      </c>
      <c r="R5" s="1005" t="s">
        <v>1964</v>
      </c>
      <c r="S5" s="1005" t="s">
        <v>1965</v>
      </c>
      <c r="T5" s="1005" t="s">
        <v>1966</v>
      </c>
      <c r="U5" s="1005" t="s">
        <v>1967</v>
      </c>
      <c r="V5" s="1005" t="s">
        <v>1968</v>
      </c>
      <c r="W5" s="1005" t="s">
        <v>1969</v>
      </c>
      <c r="X5" s="1005" t="s">
        <v>1970</v>
      </c>
      <c r="Y5" s="1005" t="s">
        <v>1971</v>
      </c>
      <c r="Z5" s="1005" t="s">
        <v>1972</v>
      </c>
      <c r="AA5" s="1005" t="s">
        <v>1973</v>
      </c>
      <c r="AB5" s="1005" t="s">
        <v>1974</v>
      </c>
      <c r="AC5" s="1005" t="s">
        <v>1975</v>
      </c>
      <c r="AD5" s="1005" t="s">
        <v>1976</v>
      </c>
      <c r="AE5" s="1005" t="s">
        <v>1977</v>
      </c>
      <c r="AF5" s="1005" t="s">
        <v>1978</v>
      </c>
      <c r="AG5" s="1005" t="s">
        <v>1979</v>
      </c>
      <c r="AH5" s="1005" t="s">
        <v>1980</v>
      </c>
      <c r="AI5" s="1005" t="s">
        <v>1981</v>
      </c>
    </row>
    <row r="6" spans="1:35" s="1010" customFormat="1" ht="12" customHeight="1" thickBot="1" x14ac:dyDescent="0.3">
      <c r="A6" s="1008" t="s">
        <v>46</v>
      </c>
      <c r="B6" s="1008" t="s">
        <v>47</v>
      </c>
      <c r="C6" s="1008" t="s">
        <v>48</v>
      </c>
      <c r="D6" s="1009" t="s">
        <v>49</v>
      </c>
      <c r="E6" s="1009" t="s">
        <v>50</v>
      </c>
      <c r="F6" s="1009" t="s">
        <v>294</v>
      </c>
      <c r="G6" s="1009" t="s">
        <v>295</v>
      </c>
      <c r="H6" s="1009" t="s">
        <v>296</v>
      </c>
      <c r="I6" s="1009" t="s">
        <v>297</v>
      </c>
      <c r="J6" s="1009" t="s">
        <v>399</v>
      </c>
      <c r="K6" s="1009" t="s">
        <v>400</v>
      </c>
      <c r="L6" s="1009" t="s">
        <v>1982</v>
      </c>
      <c r="M6" s="1009" t="s">
        <v>1983</v>
      </c>
      <c r="N6" s="1009" t="s">
        <v>1984</v>
      </c>
      <c r="O6" s="1009" t="s">
        <v>1985</v>
      </c>
      <c r="P6" s="1009" t="s">
        <v>1986</v>
      </c>
      <c r="Q6" s="1009" t="s">
        <v>1987</v>
      </c>
      <c r="R6" s="1009" t="s">
        <v>1988</v>
      </c>
      <c r="S6" s="1009" t="s">
        <v>1989</v>
      </c>
      <c r="T6" s="1009" t="s">
        <v>1990</v>
      </c>
      <c r="U6" s="1009" t="s">
        <v>1991</v>
      </c>
      <c r="V6" s="1009" t="s">
        <v>1992</v>
      </c>
      <c r="W6" s="1009" t="s">
        <v>1993</v>
      </c>
      <c r="X6" s="1009" t="s">
        <v>1994</v>
      </c>
      <c r="Y6" s="1009" t="s">
        <v>1995</v>
      </c>
      <c r="Z6" s="1009" t="s">
        <v>1996</v>
      </c>
      <c r="AA6" s="1009" t="s">
        <v>1997</v>
      </c>
      <c r="AB6" s="1009" t="s">
        <v>1998</v>
      </c>
      <c r="AC6" s="1009" t="s">
        <v>1999</v>
      </c>
      <c r="AD6" s="1009" t="s">
        <v>2000</v>
      </c>
      <c r="AE6" s="1009" t="s">
        <v>2001</v>
      </c>
      <c r="AF6" s="1009" t="s">
        <v>2002</v>
      </c>
      <c r="AG6" s="1009" t="s">
        <v>2003</v>
      </c>
      <c r="AH6" s="1009" t="s">
        <v>2004</v>
      </c>
      <c r="AI6" s="1009" t="s">
        <v>2005</v>
      </c>
    </row>
    <row r="7" spans="1:35" s="407" customFormat="1" ht="12" customHeight="1" thickBot="1" x14ac:dyDescent="0.25">
      <c r="A7" s="1011" t="s">
        <v>51</v>
      </c>
      <c r="B7" s="1011" t="s">
        <v>52</v>
      </c>
      <c r="C7" s="1012">
        <f>SUM(D7:AI7)</f>
        <v>551209563</v>
      </c>
      <c r="D7" s="817">
        <f t="shared" ref="D7:AI7" si="0">SUM(D8:D13)</f>
        <v>0</v>
      </c>
      <c r="E7" s="817">
        <f t="shared" si="0"/>
        <v>0</v>
      </c>
      <c r="F7" s="817">
        <f t="shared" si="0"/>
        <v>0</v>
      </c>
      <c r="G7" s="817">
        <f t="shared" si="0"/>
        <v>0</v>
      </c>
      <c r="H7" s="817">
        <f t="shared" si="0"/>
        <v>0</v>
      </c>
      <c r="I7" s="817">
        <f t="shared" si="0"/>
        <v>0</v>
      </c>
      <c r="J7" s="817">
        <f t="shared" si="0"/>
        <v>0</v>
      </c>
      <c r="K7" s="817">
        <f t="shared" si="0"/>
        <v>0</v>
      </c>
      <c r="L7" s="817"/>
      <c r="M7" s="817">
        <f t="shared" si="0"/>
        <v>0</v>
      </c>
      <c r="N7" s="817">
        <f t="shared" si="0"/>
        <v>0</v>
      </c>
      <c r="O7" s="817">
        <f t="shared" si="0"/>
        <v>0</v>
      </c>
      <c r="P7" s="817"/>
      <c r="Q7" s="817">
        <f t="shared" si="0"/>
        <v>0</v>
      </c>
      <c r="R7" s="817">
        <f t="shared" si="0"/>
        <v>0</v>
      </c>
      <c r="S7" s="817">
        <f t="shared" si="0"/>
        <v>0</v>
      </c>
      <c r="T7" s="817">
        <f t="shared" si="0"/>
        <v>0</v>
      </c>
      <c r="U7" s="817">
        <f t="shared" si="0"/>
        <v>0</v>
      </c>
      <c r="V7" s="817">
        <f t="shared" si="0"/>
        <v>0</v>
      </c>
      <c r="W7" s="817"/>
      <c r="X7" s="817">
        <f t="shared" si="0"/>
        <v>0</v>
      </c>
      <c r="Y7" s="817">
        <f t="shared" si="0"/>
        <v>0</v>
      </c>
      <c r="Z7" s="817">
        <f t="shared" si="0"/>
        <v>0</v>
      </c>
      <c r="AA7" s="817">
        <f t="shared" si="0"/>
        <v>0</v>
      </c>
      <c r="AB7" s="817">
        <f t="shared" si="0"/>
        <v>0</v>
      </c>
      <c r="AC7" s="817">
        <f t="shared" si="0"/>
        <v>0</v>
      </c>
      <c r="AD7" s="817">
        <f t="shared" si="0"/>
        <v>0</v>
      </c>
      <c r="AE7" s="817">
        <f t="shared" si="0"/>
        <v>0</v>
      </c>
      <c r="AF7" s="817">
        <f t="shared" si="0"/>
        <v>0</v>
      </c>
      <c r="AG7" s="817">
        <f t="shared" si="0"/>
        <v>0</v>
      </c>
      <c r="AH7" s="817">
        <f t="shared" si="0"/>
        <v>551209563</v>
      </c>
      <c r="AI7" s="817">
        <f t="shared" si="0"/>
        <v>0</v>
      </c>
    </row>
    <row r="8" spans="1:35" s="407" customFormat="1" ht="12" customHeight="1" x14ac:dyDescent="0.2">
      <c r="A8" s="1013" t="s">
        <v>53</v>
      </c>
      <c r="B8" s="1014" t="s">
        <v>54</v>
      </c>
      <c r="C8" s="819">
        <f>SUM(D8:AI8)</f>
        <v>117286861</v>
      </c>
      <c r="D8" s="1015"/>
      <c r="E8" s="1015"/>
      <c r="F8" s="1015"/>
      <c r="G8" s="1015"/>
      <c r="H8" s="1015"/>
      <c r="I8" s="1015"/>
      <c r="J8" s="1015"/>
      <c r="K8" s="1015"/>
      <c r="L8" s="1015"/>
      <c r="M8" s="1015"/>
      <c r="N8" s="1015"/>
      <c r="O8" s="1015"/>
      <c r="P8" s="1015"/>
      <c r="Q8" s="1015"/>
      <c r="R8" s="1015"/>
      <c r="S8" s="1015"/>
      <c r="T8" s="1015"/>
      <c r="U8" s="1015"/>
      <c r="V8" s="1015"/>
      <c r="W8" s="1015"/>
      <c r="X8" s="1015"/>
      <c r="Y8" s="1015"/>
      <c r="Z8" s="1015"/>
      <c r="AA8" s="1015"/>
      <c r="AB8" s="1015"/>
      <c r="AC8" s="1015"/>
      <c r="AD8" s="1015"/>
      <c r="AE8" s="1015"/>
      <c r="AF8" s="1015"/>
      <c r="AG8" s="1015"/>
      <c r="AH8" s="400">
        <v>117286861</v>
      </c>
      <c r="AI8" s="1015"/>
    </row>
    <row r="9" spans="1:35" s="407" customFormat="1" ht="12" customHeight="1" x14ac:dyDescent="0.2">
      <c r="A9" s="1016" t="s">
        <v>55</v>
      </c>
      <c r="B9" s="1017" t="s">
        <v>56</v>
      </c>
      <c r="C9" s="819">
        <f t="shared" ref="C9:C71" si="1">SUM(D9:AI9)</f>
        <v>272570440</v>
      </c>
      <c r="D9" s="1018"/>
      <c r="E9" s="1018"/>
      <c r="F9" s="1018"/>
      <c r="G9" s="1018"/>
      <c r="H9" s="1018"/>
      <c r="I9" s="1018"/>
      <c r="J9" s="1018"/>
      <c r="K9" s="1018"/>
      <c r="L9" s="1018"/>
      <c r="M9" s="1018"/>
      <c r="N9" s="1018"/>
      <c r="O9" s="1018"/>
      <c r="P9" s="1018"/>
      <c r="Q9" s="1018"/>
      <c r="R9" s="1018"/>
      <c r="S9" s="1018"/>
      <c r="T9" s="1018"/>
      <c r="U9" s="1018"/>
      <c r="V9" s="1018"/>
      <c r="W9" s="1018"/>
      <c r="X9" s="1018"/>
      <c r="Y9" s="1018"/>
      <c r="Z9" s="1018"/>
      <c r="AA9" s="1018"/>
      <c r="AB9" s="1018"/>
      <c r="AC9" s="1018"/>
      <c r="AD9" s="1018"/>
      <c r="AE9" s="1018"/>
      <c r="AF9" s="1018"/>
      <c r="AG9" s="1018"/>
      <c r="AH9" s="815">
        <v>272570440</v>
      </c>
      <c r="AI9" s="1018"/>
    </row>
    <row r="10" spans="1:35" s="407" customFormat="1" ht="12" customHeight="1" x14ac:dyDescent="0.2">
      <c r="A10" s="1016" t="s">
        <v>57</v>
      </c>
      <c r="B10" s="1017" t="s">
        <v>58</v>
      </c>
      <c r="C10" s="819">
        <f t="shared" si="1"/>
        <v>96040235</v>
      </c>
      <c r="D10" s="1018"/>
      <c r="E10" s="1018"/>
      <c r="F10" s="1018"/>
      <c r="G10" s="1018"/>
      <c r="H10" s="1018"/>
      <c r="I10" s="1018"/>
      <c r="J10" s="1018"/>
      <c r="K10" s="1018"/>
      <c r="L10" s="1018"/>
      <c r="M10" s="1018"/>
      <c r="N10" s="1018"/>
      <c r="O10" s="1018"/>
      <c r="P10" s="1018"/>
      <c r="Q10" s="1018"/>
      <c r="R10" s="1018"/>
      <c r="S10" s="1018"/>
      <c r="T10" s="1018"/>
      <c r="U10" s="1018"/>
      <c r="V10" s="1018"/>
      <c r="W10" s="1018"/>
      <c r="X10" s="1018"/>
      <c r="Y10" s="1018"/>
      <c r="Z10" s="1018"/>
      <c r="AA10" s="1018"/>
      <c r="AB10" s="1018"/>
      <c r="AC10" s="1018"/>
      <c r="AD10" s="1018"/>
      <c r="AE10" s="1018"/>
      <c r="AF10" s="1018"/>
      <c r="AG10" s="1018"/>
      <c r="AH10" s="399">
        <v>96040235</v>
      </c>
      <c r="AI10" s="1018"/>
    </row>
    <row r="11" spans="1:35" s="407" customFormat="1" ht="12" customHeight="1" x14ac:dyDescent="0.2">
      <c r="A11" s="1016" t="s">
        <v>59</v>
      </c>
      <c r="B11" s="1017" t="s">
        <v>60</v>
      </c>
      <c r="C11" s="819">
        <f t="shared" si="1"/>
        <v>14871695</v>
      </c>
      <c r="D11" s="1018"/>
      <c r="E11" s="1018"/>
      <c r="F11" s="1018"/>
      <c r="G11" s="1018"/>
      <c r="H11" s="1018"/>
      <c r="I11" s="1018"/>
      <c r="J11" s="1018"/>
      <c r="K11" s="1018"/>
      <c r="L11" s="1018"/>
      <c r="M11" s="1018"/>
      <c r="N11" s="1018"/>
      <c r="O11" s="1018"/>
      <c r="P11" s="1018"/>
      <c r="Q11" s="1018"/>
      <c r="R11" s="1018"/>
      <c r="S11" s="1018"/>
      <c r="T11" s="1018"/>
      <c r="U11" s="1018"/>
      <c r="V11" s="1018"/>
      <c r="W11" s="1018"/>
      <c r="X11" s="1018"/>
      <c r="Y11" s="1018"/>
      <c r="Z11" s="1018"/>
      <c r="AA11" s="1018"/>
      <c r="AB11" s="1018"/>
      <c r="AC11" s="1018"/>
      <c r="AD11" s="1018"/>
      <c r="AE11" s="1018"/>
      <c r="AF11" s="1018"/>
      <c r="AG11" s="1018"/>
      <c r="AH11" s="399">
        <v>14871695</v>
      </c>
      <c r="AI11" s="1018"/>
    </row>
    <row r="12" spans="1:35" s="407" customFormat="1" ht="12" customHeight="1" x14ac:dyDescent="0.2">
      <c r="A12" s="1016" t="s">
        <v>61</v>
      </c>
      <c r="B12" s="1017" t="s">
        <v>62</v>
      </c>
      <c r="C12" s="819">
        <f t="shared" si="1"/>
        <v>46352912</v>
      </c>
      <c r="D12" s="1018"/>
      <c r="E12" s="399"/>
      <c r="F12" s="1018"/>
      <c r="G12" s="1018"/>
      <c r="H12" s="1018"/>
      <c r="I12" s="1018"/>
      <c r="J12" s="1018"/>
      <c r="K12" s="1018"/>
      <c r="L12" s="1018"/>
      <c r="M12" s="1018"/>
      <c r="N12" s="1018"/>
      <c r="O12" s="1018"/>
      <c r="P12" s="1018"/>
      <c r="Q12" s="1018"/>
      <c r="R12" s="1018"/>
      <c r="S12" s="1018"/>
      <c r="T12" s="1018"/>
      <c r="U12" s="1018"/>
      <c r="V12" s="1018"/>
      <c r="W12" s="1018"/>
      <c r="X12" s="1018"/>
      <c r="Y12" s="1018"/>
      <c r="Z12" s="1018"/>
      <c r="AA12" s="1018"/>
      <c r="AB12" s="1018"/>
      <c r="AC12" s="1018"/>
      <c r="AD12" s="1018"/>
      <c r="AE12" s="1018"/>
      <c r="AF12" s="1018"/>
      <c r="AG12" s="1018"/>
      <c r="AH12" s="1018">
        <v>46352912</v>
      </c>
      <c r="AI12" s="1018"/>
    </row>
    <row r="13" spans="1:35" s="407" customFormat="1" ht="12" customHeight="1" thickBot="1" x14ac:dyDescent="0.25">
      <c r="A13" s="1019" t="s">
        <v>63</v>
      </c>
      <c r="B13" s="1020" t="s">
        <v>64</v>
      </c>
      <c r="C13" s="1021">
        <f t="shared" si="1"/>
        <v>4087420</v>
      </c>
      <c r="D13" s="1022"/>
      <c r="E13" s="1022"/>
      <c r="F13" s="1022"/>
      <c r="G13" s="1022"/>
      <c r="H13" s="1022"/>
      <c r="I13" s="1022"/>
      <c r="J13" s="1022"/>
      <c r="K13" s="1022"/>
      <c r="L13" s="1022"/>
      <c r="M13" s="1022"/>
      <c r="N13" s="1022"/>
      <c r="O13" s="1022"/>
      <c r="P13" s="1022"/>
      <c r="Q13" s="1022"/>
      <c r="R13" s="1022"/>
      <c r="S13" s="1022"/>
      <c r="T13" s="1022"/>
      <c r="U13" s="1022"/>
      <c r="V13" s="1022"/>
      <c r="W13" s="1022"/>
      <c r="X13" s="1022"/>
      <c r="Y13" s="1022"/>
      <c r="Z13" s="1022"/>
      <c r="AA13" s="1022"/>
      <c r="AB13" s="1022"/>
      <c r="AC13" s="1022"/>
      <c r="AD13" s="1022"/>
      <c r="AE13" s="1022"/>
      <c r="AF13" s="1022"/>
      <c r="AG13" s="1022"/>
      <c r="AH13" s="1022">
        <v>4087420</v>
      </c>
      <c r="AI13" s="1022"/>
    </row>
    <row r="14" spans="1:35" s="407" customFormat="1" ht="10.8" thickBot="1" x14ac:dyDescent="0.25">
      <c r="A14" s="1011" t="s">
        <v>65</v>
      </c>
      <c r="B14" s="1023" t="s">
        <v>66</v>
      </c>
      <c r="C14" s="1012">
        <f>SUM(C15:C20)</f>
        <v>30499880</v>
      </c>
      <c r="D14" s="1024"/>
      <c r="E14" s="1024"/>
      <c r="F14" s="1024"/>
      <c r="G14" s="1024"/>
      <c r="H14" s="1024"/>
      <c r="I14" s="1024"/>
      <c r="J14" s="1024"/>
      <c r="K14" s="1024"/>
      <c r="L14" s="1024"/>
      <c r="M14" s="1024"/>
      <c r="N14" s="1024"/>
      <c r="O14" s="1024"/>
      <c r="P14" s="1024"/>
      <c r="Q14" s="1024"/>
      <c r="R14" s="1024"/>
      <c r="S14" s="1024"/>
      <c r="T14" s="1024"/>
      <c r="U14" s="1024"/>
      <c r="V14" s="1024"/>
      <c r="W14" s="1024"/>
      <c r="X14" s="1024"/>
      <c r="Y14" s="1024"/>
      <c r="Z14" s="1024"/>
      <c r="AA14" s="1024"/>
      <c r="AB14" s="1024"/>
      <c r="AC14" s="1024"/>
      <c r="AD14" s="1024"/>
      <c r="AE14" s="1024"/>
      <c r="AF14" s="1024"/>
      <c r="AG14" s="1024"/>
      <c r="AH14" s="1024"/>
      <c r="AI14" s="1024"/>
    </row>
    <row r="15" spans="1:35" s="407" customFormat="1" ht="12" customHeight="1" x14ac:dyDescent="0.2">
      <c r="A15" s="1013" t="s">
        <v>67</v>
      </c>
      <c r="B15" s="1014" t="s">
        <v>68</v>
      </c>
      <c r="C15" s="819">
        <f t="shared" si="1"/>
        <v>1924780</v>
      </c>
      <c r="D15" s="1015"/>
      <c r="E15" s="1015"/>
      <c r="F15" s="400">
        <v>1924780</v>
      </c>
      <c r="G15" s="1015"/>
      <c r="H15" s="1015"/>
      <c r="I15" s="1015"/>
      <c r="J15" s="1015"/>
      <c r="K15" s="1015"/>
      <c r="L15" s="1015"/>
      <c r="M15" s="1015"/>
      <c r="N15" s="1015"/>
      <c r="O15" s="1015"/>
      <c r="P15" s="1015"/>
      <c r="Q15" s="1015"/>
      <c r="R15" s="1015"/>
      <c r="S15" s="1015"/>
      <c r="T15" s="1015"/>
      <c r="U15" s="1015"/>
      <c r="V15" s="1015"/>
      <c r="W15" s="1015"/>
      <c r="X15" s="1015"/>
      <c r="Y15" s="1015"/>
      <c r="Z15" s="1015"/>
      <c r="AA15" s="1015"/>
      <c r="AB15" s="1015"/>
      <c r="AC15" s="1015"/>
      <c r="AD15" s="1015"/>
      <c r="AE15" s="1015"/>
      <c r="AF15" s="1015"/>
      <c r="AG15" s="1015"/>
      <c r="AH15" s="1015"/>
      <c r="AI15" s="1015"/>
    </row>
    <row r="16" spans="1:35" s="407" customFormat="1" ht="12" customHeight="1" x14ac:dyDescent="0.2">
      <c r="A16" s="1016" t="s">
        <v>69</v>
      </c>
      <c r="B16" s="1017" t="s">
        <v>70</v>
      </c>
      <c r="C16" s="819">
        <f t="shared" si="1"/>
        <v>0</v>
      </c>
      <c r="D16" s="1018"/>
      <c r="E16" s="1018"/>
      <c r="F16" s="1018"/>
      <c r="G16" s="1018"/>
      <c r="H16" s="1018"/>
      <c r="I16" s="1018"/>
      <c r="J16" s="1018"/>
      <c r="K16" s="1018"/>
      <c r="L16" s="1018"/>
      <c r="M16" s="1018"/>
      <c r="N16" s="1018"/>
      <c r="O16" s="1018"/>
      <c r="P16" s="1018"/>
      <c r="Q16" s="1018"/>
      <c r="R16" s="1018"/>
      <c r="S16" s="1018"/>
      <c r="T16" s="1018"/>
      <c r="U16" s="1018"/>
      <c r="V16" s="1018"/>
      <c r="W16" s="1018"/>
      <c r="X16" s="1018"/>
      <c r="Y16" s="1018"/>
      <c r="Z16" s="1018"/>
      <c r="AA16" s="1018"/>
      <c r="AB16" s="1018"/>
      <c r="AC16" s="1018"/>
      <c r="AD16" s="1018"/>
      <c r="AE16" s="1018"/>
      <c r="AF16" s="1018"/>
      <c r="AG16" s="1018"/>
      <c r="AH16" s="1018"/>
      <c r="AI16" s="1018"/>
    </row>
    <row r="17" spans="1:35" s="407" customFormat="1" ht="12" customHeight="1" x14ac:dyDescent="0.2">
      <c r="A17" s="1016" t="s">
        <v>71</v>
      </c>
      <c r="B17" s="1017" t="s">
        <v>72</v>
      </c>
      <c r="C17" s="819">
        <f t="shared" si="1"/>
        <v>0</v>
      </c>
      <c r="D17" s="1018"/>
      <c r="E17" s="1018"/>
      <c r="F17" s="1018"/>
      <c r="G17" s="1018"/>
      <c r="H17" s="1018"/>
      <c r="I17" s="1018"/>
      <c r="J17" s="1018"/>
      <c r="K17" s="1018"/>
      <c r="L17" s="1018"/>
      <c r="M17" s="1018"/>
      <c r="N17" s="1018"/>
      <c r="O17" s="1018"/>
      <c r="P17" s="1018"/>
      <c r="Q17" s="1018"/>
      <c r="R17" s="1018"/>
      <c r="S17" s="1018"/>
      <c r="T17" s="1018"/>
      <c r="U17" s="1018"/>
      <c r="V17" s="1018"/>
      <c r="W17" s="1018"/>
      <c r="X17" s="1018"/>
      <c r="Y17" s="1018"/>
      <c r="Z17" s="1018"/>
      <c r="AA17" s="1018"/>
      <c r="AB17" s="1018"/>
      <c r="AC17" s="1018"/>
      <c r="AD17" s="1018"/>
      <c r="AE17" s="1018"/>
      <c r="AF17" s="1018"/>
      <c r="AG17" s="1018"/>
      <c r="AH17" s="1018"/>
      <c r="AI17" s="1018"/>
    </row>
    <row r="18" spans="1:35" s="407" customFormat="1" ht="12" customHeight="1" x14ac:dyDescent="0.2">
      <c r="A18" s="1016" t="s">
        <v>73</v>
      </c>
      <c r="B18" s="1017" t="s">
        <v>74</v>
      </c>
      <c r="C18" s="819">
        <f t="shared" si="1"/>
        <v>0</v>
      </c>
      <c r="D18" s="1018"/>
      <c r="E18" s="1018"/>
      <c r="F18" s="1018"/>
      <c r="G18" s="1018"/>
      <c r="H18" s="1018"/>
      <c r="I18" s="1018"/>
      <c r="J18" s="1018"/>
      <c r="K18" s="1018"/>
      <c r="L18" s="1018"/>
      <c r="M18" s="1018"/>
      <c r="N18" s="1018"/>
      <c r="O18" s="1018"/>
      <c r="P18" s="1018"/>
      <c r="Q18" s="1018"/>
      <c r="R18" s="1018"/>
      <c r="S18" s="1018"/>
      <c r="T18" s="1018"/>
      <c r="U18" s="1018"/>
      <c r="V18" s="1018"/>
      <c r="W18" s="1018"/>
      <c r="X18" s="1018"/>
      <c r="Y18" s="1018"/>
      <c r="Z18" s="1018"/>
      <c r="AA18" s="1018"/>
      <c r="AB18" s="1018"/>
      <c r="AC18" s="1018"/>
      <c r="AD18" s="1018"/>
      <c r="AE18" s="1018"/>
      <c r="AF18" s="1018"/>
      <c r="AG18" s="1018"/>
      <c r="AH18" s="1018"/>
      <c r="AI18" s="1018"/>
    </row>
    <row r="19" spans="1:35" s="407" customFormat="1" ht="12" customHeight="1" x14ac:dyDescent="0.2">
      <c r="A19" s="1016" t="s">
        <v>75</v>
      </c>
      <c r="B19" s="1017" t="s">
        <v>1791</v>
      </c>
      <c r="C19" s="819">
        <f t="shared" si="1"/>
        <v>28575100</v>
      </c>
      <c r="D19" s="1018"/>
      <c r="E19" s="1018"/>
      <c r="F19" s="1018"/>
      <c r="G19" s="1018">
        <f>26060400-2640600</f>
        <v>23419800</v>
      </c>
      <c r="H19" s="1018"/>
      <c r="I19" s="1018"/>
      <c r="J19" s="1018"/>
      <c r="K19" s="1018">
        <v>5155300</v>
      </c>
      <c r="L19" s="1018"/>
      <c r="M19" s="1018"/>
      <c r="N19" s="1018"/>
      <c r="O19" s="1018"/>
      <c r="P19" s="1018"/>
      <c r="Q19" s="1018"/>
      <c r="R19" s="1018"/>
      <c r="S19" s="1018"/>
      <c r="T19" s="1018"/>
      <c r="U19" s="1018"/>
      <c r="V19" s="1018"/>
      <c r="W19" s="1018"/>
      <c r="X19" s="1018"/>
      <c r="Y19" s="1018"/>
      <c r="Z19" s="1018"/>
      <c r="AA19" s="1018"/>
      <c r="AB19" s="1018"/>
      <c r="AC19" s="1018"/>
      <c r="AD19" s="1018"/>
      <c r="AE19" s="1018"/>
      <c r="AF19" s="1018"/>
      <c r="AG19" s="1018"/>
      <c r="AH19" s="1025"/>
      <c r="AI19" s="1018"/>
    </row>
    <row r="20" spans="1:35" s="407" customFormat="1" ht="12" customHeight="1" thickBot="1" x14ac:dyDescent="0.25">
      <c r="A20" s="1019" t="s">
        <v>77</v>
      </c>
      <c r="B20" s="1020" t="s">
        <v>78</v>
      </c>
      <c r="C20" s="1021">
        <f t="shared" si="1"/>
        <v>0</v>
      </c>
      <c r="D20" s="1022"/>
      <c r="E20" s="1022"/>
      <c r="F20" s="1022"/>
      <c r="G20" s="1022"/>
      <c r="H20" s="1022"/>
      <c r="I20" s="1022"/>
      <c r="J20" s="1022"/>
      <c r="K20" s="1022"/>
      <c r="L20" s="1022"/>
      <c r="M20" s="1022"/>
      <c r="N20" s="1022"/>
      <c r="O20" s="1022"/>
      <c r="P20" s="1022"/>
      <c r="Q20" s="1022"/>
      <c r="R20" s="1022"/>
      <c r="S20" s="1022"/>
      <c r="T20" s="1022"/>
      <c r="U20" s="1022"/>
      <c r="V20" s="1022"/>
      <c r="W20" s="1022"/>
      <c r="X20" s="1022"/>
      <c r="Y20" s="1022"/>
      <c r="Z20" s="1022"/>
      <c r="AA20" s="1022"/>
      <c r="AB20" s="1022"/>
      <c r="AC20" s="1022"/>
      <c r="AD20" s="1022"/>
      <c r="AE20" s="1022"/>
      <c r="AF20" s="1022"/>
      <c r="AG20" s="1022"/>
      <c r="AH20" s="1022"/>
      <c r="AI20" s="1022"/>
    </row>
    <row r="21" spans="1:35" s="407" customFormat="1" ht="10.8" thickBot="1" x14ac:dyDescent="0.25">
      <c r="A21" s="1011" t="s">
        <v>79</v>
      </c>
      <c r="B21" s="1011" t="s">
        <v>80</v>
      </c>
      <c r="C21" s="1026">
        <f t="shared" si="1"/>
        <v>278000</v>
      </c>
      <c r="D21" s="817">
        <f t="shared" ref="D21:AI21" si="2">SUM(D22:D26)</f>
        <v>0</v>
      </c>
      <c r="E21" s="817">
        <f t="shared" si="2"/>
        <v>0</v>
      </c>
      <c r="F21" s="817">
        <f t="shared" si="2"/>
        <v>0</v>
      </c>
      <c r="G21" s="817">
        <f t="shared" si="2"/>
        <v>0</v>
      </c>
      <c r="H21" s="817">
        <f t="shared" si="2"/>
        <v>0</v>
      </c>
      <c r="I21" s="817">
        <f t="shared" si="2"/>
        <v>0</v>
      </c>
      <c r="J21" s="817">
        <f t="shared" si="2"/>
        <v>0</v>
      </c>
      <c r="K21" s="817">
        <f t="shared" si="2"/>
        <v>0</v>
      </c>
      <c r="L21" s="817"/>
      <c r="M21" s="817">
        <f t="shared" si="2"/>
        <v>0</v>
      </c>
      <c r="N21" s="817">
        <f t="shared" si="2"/>
        <v>0</v>
      </c>
      <c r="O21" s="817">
        <f t="shared" si="2"/>
        <v>0</v>
      </c>
      <c r="P21" s="817"/>
      <c r="Q21" s="817">
        <f t="shared" si="2"/>
        <v>0</v>
      </c>
      <c r="R21" s="817">
        <f t="shared" si="2"/>
        <v>0</v>
      </c>
      <c r="S21" s="817">
        <f t="shared" si="2"/>
        <v>0</v>
      </c>
      <c r="T21" s="817">
        <f t="shared" si="2"/>
        <v>0</v>
      </c>
      <c r="U21" s="817">
        <f t="shared" si="2"/>
        <v>0</v>
      </c>
      <c r="V21" s="817">
        <f t="shared" si="2"/>
        <v>0</v>
      </c>
      <c r="W21" s="817"/>
      <c r="X21" s="817">
        <f t="shared" si="2"/>
        <v>0</v>
      </c>
      <c r="Y21" s="817">
        <f t="shared" si="2"/>
        <v>0</v>
      </c>
      <c r="Z21" s="817">
        <f t="shared" si="2"/>
        <v>0</v>
      </c>
      <c r="AA21" s="817">
        <f t="shared" si="2"/>
        <v>0</v>
      </c>
      <c r="AB21" s="817">
        <f t="shared" si="2"/>
        <v>0</v>
      </c>
      <c r="AC21" s="817">
        <f t="shared" si="2"/>
        <v>0</v>
      </c>
      <c r="AD21" s="817">
        <f t="shared" si="2"/>
        <v>0</v>
      </c>
      <c r="AE21" s="817">
        <f t="shared" si="2"/>
        <v>0</v>
      </c>
      <c r="AF21" s="817">
        <f t="shared" si="2"/>
        <v>0</v>
      </c>
      <c r="AG21" s="817">
        <f t="shared" si="2"/>
        <v>0</v>
      </c>
      <c r="AH21" s="817">
        <f t="shared" si="2"/>
        <v>278000</v>
      </c>
      <c r="AI21" s="817">
        <f t="shared" si="2"/>
        <v>0</v>
      </c>
    </row>
    <row r="22" spans="1:35" s="407" customFormat="1" ht="12" customHeight="1" x14ac:dyDescent="0.2">
      <c r="A22" s="1013" t="s">
        <v>81</v>
      </c>
      <c r="B22" s="1014" t="s">
        <v>82</v>
      </c>
      <c r="C22" s="819">
        <f t="shared" si="1"/>
        <v>278000</v>
      </c>
      <c r="D22" s="1015"/>
      <c r="E22" s="1015"/>
      <c r="F22" s="1015"/>
      <c r="G22" s="1015"/>
      <c r="H22" s="1015"/>
      <c r="I22" s="1015"/>
      <c r="J22" s="1015"/>
      <c r="K22" s="1015"/>
      <c r="L22" s="1015"/>
      <c r="M22" s="1015"/>
      <c r="N22" s="1015"/>
      <c r="O22" s="1015"/>
      <c r="P22" s="1015"/>
      <c r="Q22" s="1015"/>
      <c r="R22" s="1015"/>
      <c r="S22" s="1015"/>
      <c r="T22" s="1015"/>
      <c r="U22" s="1015"/>
      <c r="V22" s="1015"/>
      <c r="W22" s="1015"/>
      <c r="X22" s="1015"/>
      <c r="Y22" s="1015"/>
      <c r="Z22" s="1015"/>
      <c r="AA22" s="1015"/>
      <c r="AB22" s="1015"/>
      <c r="AC22" s="1015"/>
      <c r="AD22" s="1015"/>
      <c r="AE22" s="1015"/>
      <c r="AF22" s="1015"/>
      <c r="AG22" s="1015"/>
      <c r="AH22" s="1015">
        <v>278000</v>
      </c>
      <c r="AI22" s="1015"/>
    </row>
    <row r="23" spans="1:35" s="407" customFormat="1" ht="12" customHeight="1" x14ac:dyDescent="0.2">
      <c r="A23" s="1016" t="s">
        <v>83</v>
      </c>
      <c r="B23" s="1017" t="s">
        <v>84</v>
      </c>
      <c r="C23" s="819">
        <f t="shared" si="1"/>
        <v>0</v>
      </c>
      <c r="D23" s="1018"/>
      <c r="E23" s="1018"/>
      <c r="F23" s="1018"/>
      <c r="G23" s="1018"/>
      <c r="H23" s="1018"/>
      <c r="I23" s="1018"/>
      <c r="J23" s="1018"/>
      <c r="K23" s="1018"/>
      <c r="L23" s="1018"/>
      <c r="M23" s="1018"/>
      <c r="N23" s="1018"/>
      <c r="O23" s="1018"/>
      <c r="P23" s="1018"/>
      <c r="Q23" s="1018"/>
      <c r="R23" s="1018"/>
      <c r="S23" s="1018"/>
      <c r="T23" s="1018"/>
      <c r="U23" s="1018"/>
      <c r="V23" s="1018"/>
      <c r="W23" s="1018"/>
      <c r="X23" s="1018"/>
      <c r="Y23" s="1018"/>
      <c r="Z23" s="1018"/>
      <c r="AA23" s="1018"/>
      <c r="AB23" s="1018"/>
      <c r="AC23" s="1018"/>
      <c r="AD23" s="1018"/>
      <c r="AE23" s="1018"/>
      <c r="AF23" s="1018"/>
      <c r="AG23" s="1018"/>
      <c r="AH23" s="1018"/>
      <c r="AI23" s="1018"/>
    </row>
    <row r="24" spans="1:35" s="407" customFormat="1" ht="12" customHeight="1" x14ac:dyDescent="0.2">
      <c r="A24" s="1016" t="s">
        <v>85</v>
      </c>
      <c r="B24" s="1017" t="s">
        <v>86</v>
      </c>
      <c r="C24" s="819">
        <f t="shared" si="1"/>
        <v>0</v>
      </c>
      <c r="D24" s="1018"/>
      <c r="E24" s="1018"/>
      <c r="F24" s="1018"/>
      <c r="G24" s="1018"/>
      <c r="H24" s="1018"/>
      <c r="I24" s="1018"/>
      <c r="J24" s="1018"/>
      <c r="K24" s="1018"/>
      <c r="L24" s="1018"/>
      <c r="M24" s="1018"/>
      <c r="N24" s="1018"/>
      <c r="O24" s="1018"/>
      <c r="P24" s="1018"/>
      <c r="Q24" s="1018"/>
      <c r="R24" s="1018"/>
      <c r="S24" s="1018"/>
      <c r="T24" s="1018"/>
      <c r="U24" s="1018"/>
      <c r="V24" s="1018"/>
      <c r="W24" s="1018"/>
      <c r="X24" s="1018"/>
      <c r="Y24" s="1018"/>
      <c r="Z24" s="1018"/>
      <c r="AA24" s="1018"/>
      <c r="AB24" s="1018"/>
      <c r="AC24" s="1018"/>
      <c r="AD24" s="1018"/>
      <c r="AE24" s="1018"/>
      <c r="AF24" s="1018"/>
      <c r="AG24" s="1018"/>
      <c r="AH24" s="1018"/>
      <c r="AI24" s="1018"/>
    </row>
    <row r="25" spans="1:35" s="407" customFormat="1" ht="12" customHeight="1" x14ac:dyDescent="0.2">
      <c r="A25" s="1016" t="s">
        <v>87</v>
      </c>
      <c r="B25" s="1017" t="s">
        <v>88</v>
      </c>
      <c r="C25" s="819">
        <f t="shared" si="1"/>
        <v>0</v>
      </c>
      <c r="D25" s="1018"/>
      <c r="E25" s="1018"/>
      <c r="F25" s="1018"/>
      <c r="G25" s="1018"/>
      <c r="H25" s="1018"/>
      <c r="I25" s="1018"/>
      <c r="J25" s="1018"/>
      <c r="K25" s="1018"/>
      <c r="L25" s="1018"/>
      <c r="M25" s="1018"/>
      <c r="N25" s="1018"/>
      <c r="O25" s="1018"/>
      <c r="P25" s="1018"/>
      <c r="Q25" s="1018"/>
      <c r="R25" s="1018"/>
      <c r="S25" s="1018"/>
      <c r="T25" s="1018"/>
      <c r="U25" s="1018"/>
      <c r="V25" s="1018"/>
      <c r="W25" s="1018"/>
      <c r="X25" s="1018"/>
      <c r="Y25" s="1018"/>
      <c r="Z25" s="1018"/>
      <c r="AA25" s="1018"/>
      <c r="AB25" s="1018"/>
      <c r="AC25" s="1018"/>
      <c r="AD25" s="1018"/>
      <c r="AE25" s="1018"/>
      <c r="AF25" s="1018"/>
      <c r="AG25" s="1018"/>
      <c r="AH25" s="1018"/>
      <c r="AI25" s="1018"/>
    </row>
    <row r="26" spans="1:35" s="407" customFormat="1" ht="12" customHeight="1" x14ac:dyDescent="0.2">
      <c r="A26" s="1016" t="s">
        <v>89</v>
      </c>
      <c r="B26" s="1017" t="s">
        <v>1792</v>
      </c>
      <c r="C26" s="819"/>
      <c r="D26" s="1018"/>
      <c r="E26" s="1018"/>
      <c r="F26" s="1018"/>
      <c r="G26" s="1018"/>
      <c r="H26" s="1018"/>
      <c r="I26" s="1018"/>
      <c r="J26" s="1018"/>
      <c r="K26" s="1018"/>
      <c r="L26" s="1018"/>
      <c r="M26" s="1018"/>
      <c r="N26" s="1018"/>
      <c r="O26" s="1018"/>
      <c r="P26" s="1018"/>
      <c r="Q26" s="1018"/>
      <c r="R26" s="1018"/>
      <c r="S26" s="1018"/>
      <c r="T26" s="1018"/>
      <c r="U26" s="1018"/>
      <c r="V26" s="1018"/>
      <c r="W26" s="1018"/>
      <c r="X26" s="1018"/>
      <c r="Y26" s="1018"/>
      <c r="Z26" s="1018"/>
      <c r="AA26" s="1018"/>
      <c r="AB26" s="1018"/>
      <c r="AC26" s="1018"/>
      <c r="AD26" s="1018"/>
      <c r="AE26" s="1018"/>
      <c r="AF26" s="1018"/>
      <c r="AG26" s="1018"/>
      <c r="AH26" s="815"/>
      <c r="AI26" s="1018"/>
    </row>
    <row r="27" spans="1:35" s="407" customFormat="1" ht="12" customHeight="1" thickBot="1" x14ac:dyDescent="0.25">
      <c r="A27" s="1019" t="s">
        <v>91</v>
      </c>
      <c r="B27" s="1027" t="s">
        <v>92</v>
      </c>
      <c r="C27" s="1021">
        <f t="shared" si="1"/>
        <v>0</v>
      </c>
      <c r="D27" s="1022"/>
      <c r="E27" s="1022"/>
      <c r="F27" s="1022"/>
      <c r="G27" s="1022"/>
      <c r="H27" s="1022"/>
      <c r="I27" s="1022"/>
      <c r="J27" s="1022"/>
      <c r="K27" s="1022"/>
      <c r="L27" s="1022"/>
      <c r="M27" s="1022"/>
      <c r="N27" s="1022"/>
      <c r="O27" s="1022"/>
      <c r="P27" s="1022"/>
      <c r="Q27" s="1022"/>
      <c r="R27" s="1022"/>
      <c r="S27" s="1022"/>
      <c r="T27" s="1022"/>
      <c r="U27" s="1022"/>
      <c r="V27" s="1022"/>
      <c r="W27" s="1022"/>
      <c r="X27" s="1022"/>
      <c r="Y27" s="1022"/>
      <c r="Z27" s="1022"/>
      <c r="AA27" s="1022"/>
      <c r="AB27" s="1022"/>
      <c r="AC27" s="1022"/>
      <c r="AD27" s="1022"/>
      <c r="AE27" s="1022"/>
      <c r="AF27" s="1022"/>
      <c r="AG27" s="1022"/>
      <c r="AH27" s="1022"/>
      <c r="AI27" s="1022"/>
    </row>
    <row r="28" spans="1:35" s="407" customFormat="1" ht="10.8" thickBot="1" x14ac:dyDescent="0.25">
      <c r="A28" s="1011" t="s">
        <v>93</v>
      </c>
      <c r="B28" s="1011" t="s">
        <v>94</v>
      </c>
      <c r="C28" s="1012">
        <f t="shared" si="1"/>
        <v>725000000</v>
      </c>
      <c r="D28" s="816">
        <f t="shared" ref="D28:AI28" si="3">+D29+D32+D33+D34</f>
        <v>0</v>
      </c>
      <c r="E28" s="816">
        <f t="shared" si="3"/>
        <v>725000000</v>
      </c>
      <c r="F28" s="816">
        <f t="shared" si="3"/>
        <v>0</v>
      </c>
      <c r="G28" s="816">
        <f t="shared" si="3"/>
        <v>0</v>
      </c>
      <c r="H28" s="816">
        <f t="shared" si="3"/>
        <v>0</v>
      </c>
      <c r="I28" s="816">
        <f t="shared" si="3"/>
        <v>0</v>
      </c>
      <c r="J28" s="816">
        <f t="shared" si="3"/>
        <v>0</v>
      </c>
      <c r="K28" s="816">
        <f t="shared" si="3"/>
        <v>0</v>
      </c>
      <c r="L28" s="816"/>
      <c r="M28" s="816">
        <f t="shared" si="3"/>
        <v>0</v>
      </c>
      <c r="N28" s="816">
        <f t="shared" si="3"/>
        <v>0</v>
      </c>
      <c r="O28" s="816">
        <f t="shared" si="3"/>
        <v>0</v>
      </c>
      <c r="P28" s="816"/>
      <c r="Q28" s="816">
        <f t="shared" si="3"/>
        <v>0</v>
      </c>
      <c r="R28" s="816">
        <f t="shared" si="3"/>
        <v>0</v>
      </c>
      <c r="S28" s="816">
        <f t="shared" si="3"/>
        <v>0</v>
      </c>
      <c r="T28" s="816">
        <f t="shared" si="3"/>
        <v>0</v>
      </c>
      <c r="U28" s="816">
        <f t="shared" si="3"/>
        <v>0</v>
      </c>
      <c r="V28" s="816">
        <f t="shared" si="3"/>
        <v>0</v>
      </c>
      <c r="W28" s="816"/>
      <c r="X28" s="816">
        <f t="shared" si="3"/>
        <v>0</v>
      </c>
      <c r="Y28" s="816">
        <f t="shared" si="3"/>
        <v>0</v>
      </c>
      <c r="Z28" s="816">
        <f t="shared" si="3"/>
        <v>0</v>
      </c>
      <c r="AA28" s="816">
        <f t="shared" si="3"/>
        <v>0</v>
      </c>
      <c r="AB28" s="816">
        <f t="shared" si="3"/>
        <v>0</v>
      </c>
      <c r="AC28" s="816">
        <f t="shared" si="3"/>
        <v>0</v>
      </c>
      <c r="AD28" s="816">
        <f t="shared" si="3"/>
        <v>0</v>
      </c>
      <c r="AE28" s="816">
        <f t="shared" si="3"/>
        <v>0</v>
      </c>
      <c r="AF28" s="816">
        <f t="shared" si="3"/>
        <v>0</v>
      </c>
      <c r="AG28" s="816">
        <f t="shared" si="3"/>
        <v>0</v>
      </c>
      <c r="AH28" s="816">
        <f t="shared" si="3"/>
        <v>0</v>
      </c>
      <c r="AI28" s="816">
        <f t="shared" si="3"/>
        <v>0</v>
      </c>
    </row>
    <row r="29" spans="1:35" s="407" customFormat="1" ht="12" customHeight="1" x14ac:dyDescent="0.2">
      <c r="A29" s="1013" t="s">
        <v>95</v>
      </c>
      <c r="B29" s="1014" t="s">
        <v>96</v>
      </c>
      <c r="C29" s="819">
        <f t="shared" si="1"/>
        <v>682000000</v>
      </c>
      <c r="D29" s="823">
        <f t="shared" ref="D29:AI29" si="4">SUM(D30:D31)</f>
        <v>0</v>
      </c>
      <c r="E29" s="823">
        <f t="shared" si="4"/>
        <v>682000000</v>
      </c>
      <c r="F29" s="823">
        <f t="shared" si="4"/>
        <v>0</v>
      </c>
      <c r="G29" s="823">
        <f t="shared" si="4"/>
        <v>0</v>
      </c>
      <c r="H29" s="823">
        <f t="shared" si="4"/>
        <v>0</v>
      </c>
      <c r="I29" s="823">
        <f t="shared" si="4"/>
        <v>0</v>
      </c>
      <c r="J29" s="823">
        <f t="shared" si="4"/>
        <v>0</v>
      </c>
      <c r="K29" s="823">
        <f t="shared" si="4"/>
        <v>0</v>
      </c>
      <c r="L29" s="823"/>
      <c r="M29" s="823">
        <f t="shared" si="4"/>
        <v>0</v>
      </c>
      <c r="N29" s="823">
        <f t="shared" si="4"/>
        <v>0</v>
      </c>
      <c r="O29" s="823">
        <f t="shared" si="4"/>
        <v>0</v>
      </c>
      <c r="P29" s="823"/>
      <c r="Q29" s="823">
        <f t="shared" si="4"/>
        <v>0</v>
      </c>
      <c r="R29" s="823">
        <f t="shared" si="4"/>
        <v>0</v>
      </c>
      <c r="S29" s="823">
        <f t="shared" si="4"/>
        <v>0</v>
      </c>
      <c r="T29" s="823">
        <f t="shared" si="4"/>
        <v>0</v>
      </c>
      <c r="U29" s="823">
        <f t="shared" si="4"/>
        <v>0</v>
      </c>
      <c r="V29" s="823">
        <f t="shared" si="4"/>
        <v>0</v>
      </c>
      <c r="W29" s="823"/>
      <c r="X29" s="823">
        <f t="shared" si="4"/>
        <v>0</v>
      </c>
      <c r="Y29" s="823">
        <f t="shared" si="4"/>
        <v>0</v>
      </c>
      <c r="Z29" s="823">
        <f t="shared" si="4"/>
        <v>0</v>
      </c>
      <c r="AA29" s="823">
        <f t="shared" si="4"/>
        <v>0</v>
      </c>
      <c r="AB29" s="823">
        <f t="shared" si="4"/>
        <v>0</v>
      </c>
      <c r="AC29" s="823">
        <f t="shared" si="4"/>
        <v>0</v>
      </c>
      <c r="AD29" s="823">
        <f t="shared" si="4"/>
        <v>0</v>
      </c>
      <c r="AE29" s="823">
        <f t="shared" si="4"/>
        <v>0</v>
      </c>
      <c r="AF29" s="823">
        <f t="shared" si="4"/>
        <v>0</v>
      </c>
      <c r="AG29" s="823">
        <f t="shared" si="4"/>
        <v>0</v>
      </c>
      <c r="AH29" s="823">
        <f t="shared" si="4"/>
        <v>0</v>
      </c>
      <c r="AI29" s="823">
        <f t="shared" si="4"/>
        <v>0</v>
      </c>
    </row>
    <row r="30" spans="1:35" s="407" customFormat="1" ht="12" customHeight="1" x14ac:dyDescent="0.2">
      <c r="A30" s="1016" t="s">
        <v>97</v>
      </c>
      <c r="B30" s="1017" t="s">
        <v>98</v>
      </c>
      <c r="C30" s="819">
        <f t="shared" si="1"/>
        <v>235000000</v>
      </c>
      <c r="D30" s="1018"/>
      <c r="E30" s="399">
        <v>235000000</v>
      </c>
      <c r="F30" s="1018"/>
      <c r="G30" s="1018"/>
      <c r="H30" s="1018"/>
      <c r="I30" s="1018"/>
      <c r="J30" s="1018"/>
      <c r="K30" s="1018"/>
      <c r="L30" s="1018"/>
      <c r="M30" s="1018"/>
      <c r="N30" s="1018"/>
      <c r="O30" s="1018"/>
      <c r="P30" s="1018"/>
      <c r="Q30" s="1018"/>
      <c r="R30" s="1018"/>
      <c r="S30" s="1018"/>
      <c r="T30" s="1018"/>
      <c r="U30" s="1018"/>
      <c r="V30" s="1018"/>
      <c r="W30" s="1018"/>
      <c r="X30" s="1018"/>
      <c r="Y30" s="1018"/>
      <c r="Z30" s="1018"/>
      <c r="AA30" s="1018"/>
      <c r="AB30" s="1018"/>
      <c r="AC30" s="1018"/>
      <c r="AD30" s="1018"/>
      <c r="AE30" s="1018"/>
      <c r="AF30" s="1018"/>
      <c r="AG30" s="1018"/>
      <c r="AH30" s="1018"/>
      <c r="AI30" s="1018"/>
    </row>
    <row r="31" spans="1:35" s="407" customFormat="1" ht="12" customHeight="1" x14ac:dyDescent="0.2">
      <c r="A31" s="1016" t="s">
        <v>99</v>
      </c>
      <c r="B31" s="1017" t="s">
        <v>100</v>
      </c>
      <c r="C31" s="819">
        <f t="shared" si="1"/>
        <v>447000000</v>
      </c>
      <c r="D31" s="1018"/>
      <c r="E31" s="399">
        <v>447000000</v>
      </c>
      <c r="F31" s="1018"/>
      <c r="G31" s="1018"/>
      <c r="H31" s="1018"/>
      <c r="I31" s="1018"/>
      <c r="J31" s="1018"/>
      <c r="K31" s="1018"/>
      <c r="L31" s="1018"/>
      <c r="M31" s="1018"/>
      <c r="N31" s="1018"/>
      <c r="O31" s="1018"/>
      <c r="P31" s="1018"/>
      <c r="Q31" s="1018"/>
      <c r="R31" s="1018"/>
      <c r="S31" s="1018"/>
      <c r="T31" s="1018"/>
      <c r="U31" s="1018"/>
      <c r="V31" s="1018"/>
      <c r="W31" s="1018"/>
      <c r="X31" s="1018"/>
      <c r="Y31" s="1018"/>
      <c r="Z31" s="1018"/>
      <c r="AA31" s="1018"/>
      <c r="AB31" s="1018"/>
      <c r="AC31" s="1018"/>
      <c r="AD31" s="1018"/>
      <c r="AE31" s="1018"/>
      <c r="AF31" s="1018"/>
      <c r="AG31" s="1018"/>
      <c r="AH31" s="1018"/>
      <c r="AI31" s="1018"/>
    </row>
    <row r="32" spans="1:35" s="407" customFormat="1" ht="12" customHeight="1" x14ac:dyDescent="0.2">
      <c r="A32" s="1016" t="s">
        <v>101</v>
      </c>
      <c r="B32" s="1017" t="s">
        <v>102</v>
      </c>
      <c r="C32" s="819">
        <f t="shared" si="1"/>
        <v>40000000</v>
      </c>
      <c r="D32" s="1018"/>
      <c r="E32" s="1025">
        <v>40000000</v>
      </c>
      <c r="F32" s="1018"/>
      <c r="G32" s="1018"/>
      <c r="H32" s="1018"/>
      <c r="I32" s="1018"/>
      <c r="J32" s="1018"/>
      <c r="K32" s="1018"/>
      <c r="L32" s="1018"/>
      <c r="M32" s="1018"/>
      <c r="N32" s="1018"/>
      <c r="O32" s="1018"/>
      <c r="P32" s="1018"/>
      <c r="Q32" s="1018"/>
      <c r="R32" s="1018"/>
      <c r="S32" s="1018"/>
      <c r="T32" s="1018"/>
      <c r="U32" s="1018"/>
      <c r="V32" s="1018"/>
      <c r="W32" s="1018"/>
      <c r="X32" s="1018"/>
      <c r="Y32" s="1018"/>
      <c r="Z32" s="1018"/>
      <c r="AA32" s="1018"/>
      <c r="AB32" s="1018"/>
      <c r="AC32" s="1018"/>
      <c r="AD32" s="1018"/>
      <c r="AE32" s="1018"/>
      <c r="AF32" s="1018"/>
      <c r="AG32" s="1018"/>
      <c r="AH32" s="1018"/>
      <c r="AI32" s="1018"/>
    </row>
    <row r="33" spans="1:35" s="407" customFormat="1" ht="12" customHeight="1" x14ac:dyDescent="0.2">
      <c r="A33" s="1016" t="s">
        <v>103</v>
      </c>
      <c r="B33" s="1017" t="s">
        <v>104</v>
      </c>
      <c r="C33" s="819">
        <f t="shared" si="1"/>
        <v>0</v>
      </c>
      <c r="D33" s="1018"/>
      <c r="E33" s="1025"/>
      <c r="F33" s="1018"/>
      <c r="G33" s="1018"/>
      <c r="H33" s="1018"/>
      <c r="I33" s="1018"/>
      <c r="J33" s="1018"/>
      <c r="K33" s="1018"/>
      <c r="L33" s="1018"/>
      <c r="M33" s="1018"/>
      <c r="N33" s="1018"/>
      <c r="O33" s="1018"/>
      <c r="P33" s="1018"/>
      <c r="Q33" s="1018"/>
      <c r="R33" s="1018"/>
      <c r="S33" s="1018"/>
      <c r="T33" s="1018"/>
      <c r="U33" s="1018"/>
      <c r="V33" s="1018"/>
      <c r="W33" s="1018"/>
      <c r="X33" s="1018"/>
      <c r="Y33" s="1018"/>
      <c r="Z33" s="1018"/>
      <c r="AA33" s="1018"/>
      <c r="AB33" s="1018"/>
      <c r="AC33" s="1018"/>
      <c r="AD33" s="1018"/>
      <c r="AE33" s="1018"/>
      <c r="AF33" s="1018"/>
      <c r="AG33" s="1018"/>
      <c r="AH33" s="1018"/>
      <c r="AI33" s="1018"/>
    </row>
    <row r="34" spans="1:35" s="407" customFormat="1" ht="12" customHeight="1" thickBot="1" x14ac:dyDescent="0.25">
      <c r="A34" s="1019" t="s">
        <v>105</v>
      </c>
      <c r="B34" s="1027" t="s">
        <v>106</v>
      </c>
      <c r="C34" s="1021">
        <f t="shared" si="1"/>
        <v>3000000</v>
      </c>
      <c r="D34" s="1022"/>
      <c r="E34" s="1028">
        <v>3000000</v>
      </c>
      <c r="F34" s="1022"/>
      <c r="G34" s="1022"/>
      <c r="H34" s="1022"/>
      <c r="I34" s="1022"/>
      <c r="J34" s="1022"/>
      <c r="K34" s="1022"/>
      <c r="L34" s="1022"/>
      <c r="M34" s="1022"/>
      <c r="N34" s="1022"/>
      <c r="O34" s="1022"/>
      <c r="P34" s="1022"/>
      <c r="Q34" s="1022"/>
      <c r="R34" s="1022"/>
      <c r="S34" s="1022"/>
      <c r="T34" s="1022"/>
      <c r="U34" s="1022"/>
      <c r="V34" s="1022"/>
      <c r="W34" s="1022"/>
      <c r="X34" s="1022"/>
      <c r="Y34" s="1022"/>
      <c r="Z34" s="1022"/>
      <c r="AA34" s="1022"/>
      <c r="AB34" s="1022"/>
      <c r="AC34" s="1022"/>
      <c r="AD34" s="1022"/>
      <c r="AE34" s="1022"/>
      <c r="AF34" s="1022"/>
      <c r="AG34" s="1022"/>
      <c r="AH34" s="1022"/>
      <c r="AI34" s="1022"/>
    </row>
    <row r="35" spans="1:35" s="407" customFormat="1" ht="12" customHeight="1" thickBot="1" x14ac:dyDescent="0.25">
      <c r="A35" s="1011" t="s">
        <v>107</v>
      </c>
      <c r="B35" s="1011" t="s">
        <v>108</v>
      </c>
      <c r="C35" s="1012">
        <f t="shared" si="1"/>
        <v>182000000</v>
      </c>
      <c r="D35" s="817">
        <f t="shared" ref="D35:I35" si="5">SUM(D36:D45)</f>
        <v>0</v>
      </c>
      <c r="E35" s="817">
        <f t="shared" si="5"/>
        <v>0</v>
      </c>
      <c r="F35" s="817">
        <f t="shared" si="5"/>
        <v>90000000</v>
      </c>
      <c r="G35" s="817">
        <f t="shared" si="5"/>
        <v>0</v>
      </c>
      <c r="H35" s="817">
        <f t="shared" si="5"/>
        <v>0</v>
      </c>
      <c r="I35" s="817">
        <f t="shared" si="5"/>
        <v>0</v>
      </c>
      <c r="J35" s="817">
        <f>SUM(J36:J45)</f>
        <v>0</v>
      </c>
      <c r="K35" s="817">
        <f t="shared" ref="K35:AI35" si="6">SUM(K36:K45)</f>
        <v>0</v>
      </c>
      <c r="L35" s="817"/>
      <c r="M35" s="817">
        <f t="shared" si="6"/>
        <v>50000000</v>
      </c>
      <c r="N35" s="817">
        <f t="shared" si="6"/>
        <v>8000000</v>
      </c>
      <c r="O35" s="817">
        <f t="shared" si="6"/>
        <v>2000000</v>
      </c>
      <c r="P35" s="817"/>
      <c r="Q35" s="817">
        <f t="shared" si="6"/>
        <v>0</v>
      </c>
      <c r="R35" s="817">
        <f t="shared" si="6"/>
        <v>0</v>
      </c>
      <c r="S35" s="817">
        <f t="shared" si="6"/>
        <v>0</v>
      </c>
      <c r="T35" s="817">
        <f t="shared" si="6"/>
        <v>0</v>
      </c>
      <c r="U35" s="817">
        <f t="shared" si="6"/>
        <v>0</v>
      </c>
      <c r="V35" s="817">
        <f t="shared" si="6"/>
        <v>0</v>
      </c>
      <c r="W35" s="817"/>
      <c r="X35" s="817">
        <f t="shared" si="6"/>
        <v>0</v>
      </c>
      <c r="Y35" s="817">
        <f t="shared" si="6"/>
        <v>0</v>
      </c>
      <c r="Z35" s="817">
        <f t="shared" si="6"/>
        <v>0</v>
      </c>
      <c r="AA35" s="817">
        <f t="shared" si="6"/>
        <v>0</v>
      </c>
      <c r="AB35" s="817">
        <f t="shared" si="6"/>
        <v>22000000</v>
      </c>
      <c r="AC35" s="817">
        <f t="shared" si="6"/>
        <v>0</v>
      </c>
      <c r="AD35" s="817">
        <f t="shared" si="6"/>
        <v>10000000</v>
      </c>
      <c r="AE35" s="817">
        <f t="shared" si="6"/>
        <v>0</v>
      </c>
      <c r="AF35" s="817">
        <f t="shared" si="6"/>
        <v>0</v>
      </c>
      <c r="AG35" s="817">
        <f t="shared" si="6"/>
        <v>0</v>
      </c>
      <c r="AH35" s="817">
        <f t="shared" si="6"/>
        <v>0</v>
      </c>
      <c r="AI35" s="817">
        <f t="shared" si="6"/>
        <v>0</v>
      </c>
    </row>
    <row r="36" spans="1:35" s="407" customFormat="1" ht="12" customHeight="1" x14ac:dyDescent="0.2">
      <c r="A36" s="1013" t="s">
        <v>109</v>
      </c>
      <c r="B36" s="1014" t="s">
        <v>110</v>
      </c>
      <c r="C36" s="819">
        <f t="shared" si="1"/>
        <v>0</v>
      </c>
      <c r="D36" s="1015"/>
      <c r="E36" s="1015"/>
      <c r="F36" s="1015"/>
      <c r="G36" s="1015"/>
      <c r="H36" s="1015"/>
      <c r="I36" s="1015"/>
      <c r="J36" s="1015"/>
      <c r="K36" s="1015"/>
      <c r="L36" s="1015"/>
      <c r="M36" s="1015"/>
      <c r="N36" s="1015"/>
      <c r="O36" s="1015"/>
      <c r="P36" s="1015"/>
      <c r="Q36" s="1015"/>
      <c r="R36" s="1015"/>
      <c r="S36" s="1015"/>
      <c r="T36" s="1015"/>
      <c r="U36" s="1015"/>
      <c r="V36" s="1015"/>
      <c r="W36" s="1015"/>
      <c r="X36" s="1015"/>
      <c r="Y36" s="1015"/>
      <c r="Z36" s="1015"/>
      <c r="AA36" s="1015"/>
      <c r="AB36" s="1015"/>
      <c r="AC36" s="1015"/>
      <c r="AD36" s="1015"/>
      <c r="AE36" s="1015"/>
      <c r="AF36" s="1015"/>
      <c r="AG36" s="1015"/>
      <c r="AH36" s="1015"/>
      <c r="AI36" s="1015"/>
    </row>
    <row r="37" spans="1:35" s="407" customFormat="1" ht="12" customHeight="1" x14ac:dyDescent="0.2">
      <c r="A37" s="1016" t="s">
        <v>111</v>
      </c>
      <c r="B37" s="1017" t="s">
        <v>112</v>
      </c>
      <c r="C37" s="819">
        <f t="shared" si="1"/>
        <v>22000000</v>
      </c>
      <c r="D37" s="1018"/>
      <c r="E37" s="1018"/>
      <c r="F37" s="1018">
        <v>12000000</v>
      </c>
      <c r="G37" s="1018"/>
      <c r="H37" s="1018"/>
      <c r="I37" s="1018"/>
      <c r="J37" s="1018"/>
      <c r="K37" s="1018"/>
      <c r="L37" s="1018"/>
      <c r="M37" s="1018"/>
      <c r="N37" s="1018">
        <v>8000000</v>
      </c>
      <c r="O37" s="1018">
        <v>2000000</v>
      </c>
      <c r="P37" s="1018"/>
      <c r="Q37" s="1018"/>
      <c r="R37" s="1018"/>
      <c r="S37" s="1018"/>
      <c r="T37" s="1018"/>
      <c r="U37" s="1018"/>
      <c r="V37" s="1018"/>
      <c r="W37" s="1018"/>
      <c r="X37" s="1018"/>
      <c r="Y37" s="1018"/>
      <c r="Z37" s="1018"/>
      <c r="AA37" s="1018"/>
      <c r="AB37" s="1018"/>
      <c r="AC37" s="1018"/>
      <c r="AD37" s="1018"/>
      <c r="AE37" s="1018"/>
      <c r="AF37" s="1018"/>
      <c r="AG37" s="1018"/>
      <c r="AH37" s="1018"/>
      <c r="AI37" s="1018"/>
    </row>
    <row r="38" spans="1:35" s="407" customFormat="1" ht="12" customHeight="1" x14ac:dyDescent="0.2">
      <c r="A38" s="1016" t="s">
        <v>113</v>
      </c>
      <c r="B38" s="1017" t="s">
        <v>114</v>
      </c>
      <c r="C38" s="819">
        <f t="shared" si="1"/>
        <v>40000000</v>
      </c>
      <c r="D38" s="1018"/>
      <c r="E38" s="1018"/>
      <c r="F38" s="1018"/>
      <c r="G38" s="1018"/>
      <c r="H38" s="1018"/>
      <c r="I38" s="1018"/>
      <c r="J38" s="1018"/>
      <c r="K38" s="1018"/>
      <c r="L38" s="1018"/>
      <c r="M38" s="1018">
        <v>40000000</v>
      </c>
      <c r="N38" s="1018"/>
      <c r="O38" s="1018"/>
      <c r="P38" s="1018"/>
      <c r="Q38" s="1018"/>
      <c r="R38" s="1018"/>
      <c r="S38" s="1018"/>
      <c r="T38" s="1018"/>
      <c r="U38" s="1018"/>
      <c r="V38" s="1018"/>
      <c r="W38" s="1018"/>
      <c r="X38" s="1018"/>
      <c r="Y38" s="1018"/>
      <c r="Z38" s="1018"/>
      <c r="AA38" s="1018"/>
      <c r="AB38" s="1018"/>
      <c r="AC38" s="1018"/>
      <c r="AD38" s="1018"/>
      <c r="AE38" s="1018"/>
      <c r="AF38" s="1018"/>
      <c r="AG38" s="1018"/>
      <c r="AH38" s="1018"/>
      <c r="AI38" s="1018"/>
    </row>
    <row r="39" spans="1:35" s="407" customFormat="1" ht="12" customHeight="1" x14ac:dyDescent="0.2">
      <c r="A39" s="1016" t="s">
        <v>115</v>
      </c>
      <c r="B39" s="1017" t="s">
        <v>116</v>
      </c>
      <c r="C39" s="819">
        <f t="shared" si="1"/>
        <v>58000000</v>
      </c>
      <c r="D39" s="1018"/>
      <c r="E39" s="1018"/>
      <c r="F39" s="1018">
        <v>58000000</v>
      </c>
      <c r="G39" s="1018"/>
      <c r="H39" s="1018"/>
      <c r="I39" s="1018"/>
      <c r="J39" s="1018"/>
      <c r="K39" s="1018"/>
      <c r="L39" s="1018"/>
      <c r="M39" s="1018"/>
      <c r="N39" s="1018"/>
      <c r="O39" s="1018"/>
      <c r="P39" s="1018"/>
      <c r="Q39" s="1018"/>
      <c r="R39" s="1018"/>
      <c r="S39" s="1018"/>
      <c r="T39" s="1018"/>
      <c r="U39" s="1018"/>
      <c r="V39" s="1018"/>
      <c r="W39" s="1018"/>
      <c r="X39" s="1018"/>
      <c r="Y39" s="1018"/>
      <c r="Z39" s="1018"/>
      <c r="AA39" s="1018"/>
      <c r="AB39" s="1018"/>
      <c r="AC39" s="1018"/>
      <c r="AD39" s="1018"/>
      <c r="AE39" s="1018"/>
      <c r="AF39" s="1018"/>
      <c r="AG39" s="1018"/>
      <c r="AH39" s="1018"/>
      <c r="AI39" s="1018"/>
    </row>
    <row r="40" spans="1:35" s="407" customFormat="1" ht="12" customHeight="1" x14ac:dyDescent="0.2">
      <c r="A40" s="1016" t="s">
        <v>117</v>
      </c>
      <c r="B40" s="1017" t="s">
        <v>118</v>
      </c>
      <c r="C40" s="819">
        <f t="shared" si="1"/>
        <v>32000000</v>
      </c>
      <c r="D40" s="1018"/>
      <c r="E40" s="1018"/>
      <c r="F40" s="1018"/>
      <c r="G40" s="1018"/>
      <c r="H40" s="1018"/>
      <c r="I40" s="1018"/>
      <c r="J40" s="1018"/>
      <c r="K40" s="1018"/>
      <c r="L40" s="1018"/>
      <c r="M40" s="1018"/>
      <c r="N40" s="1018"/>
      <c r="O40" s="1018"/>
      <c r="P40" s="1018"/>
      <c r="Q40" s="1018"/>
      <c r="R40" s="1018"/>
      <c r="S40" s="1018"/>
      <c r="T40" s="1018"/>
      <c r="U40" s="1018"/>
      <c r="V40" s="1018"/>
      <c r="W40" s="1018"/>
      <c r="X40" s="1018"/>
      <c r="Y40" s="1018"/>
      <c r="Z40" s="1018"/>
      <c r="AA40" s="1018"/>
      <c r="AB40" s="1018">
        <v>22000000</v>
      </c>
      <c r="AC40" s="1018"/>
      <c r="AD40" s="1018">
        <v>10000000</v>
      </c>
      <c r="AE40" s="1018"/>
      <c r="AF40" s="1018"/>
      <c r="AG40" s="1018"/>
      <c r="AH40" s="1018"/>
      <c r="AI40" s="1018"/>
    </row>
    <row r="41" spans="1:35" s="407" customFormat="1" ht="12" customHeight="1" x14ac:dyDescent="0.2">
      <c r="A41" s="1016" t="s">
        <v>119</v>
      </c>
      <c r="B41" s="1017" t="s">
        <v>120</v>
      </c>
      <c r="C41" s="819">
        <f t="shared" si="1"/>
        <v>30000000</v>
      </c>
      <c r="D41" s="1018"/>
      <c r="E41" s="1018"/>
      <c r="F41" s="1018">
        <v>20000000</v>
      </c>
      <c r="G41" s="1018"/>
      <c r="H41" s="1018"/>
      <c r="I41" s="1018"/>
      <c r="J41" s="1018"/>
      <c r="K41" s="1018"/>
      <c r="L41" s="1018"/>
      <c r="M41" s="1018">
        <v>10000000</v>
      </c>
      <c r="N41" s="1018"/>
      <c r="O41" s="1018"/>
      <c r="P41" s="1018"/>
      <c r="Q41" s="1018"/>
      <c r="R41" s="1018"/>
      <c r="S41" s="1018"/>
      <c r="T41" s="1018"/>
      <c r="U41" s="1018"/>
      <c r="V41" s="1018"/>
      <c r="W41" s="1018"/>
      <c r="X41" s="1018"/>
      <c r="Y41" s="1018"/>
      <c r="Z41" s="1018"/>
      <c r="AA41" s="1018"/>
      <c r="AB41" s="1018"/>
      <c r="AC41" s="1018"/>
      <c r="AD41" s="1018"/>
      <c r="AE41" s="1018"/>
      <c r="AF41" s="1018"/>
      <c r="AG41" s="1018"/>
      <c r="AH41" s="1018"/>
      <c r="AI41" s="1018"/>
    </row>
    <row r="42" spans="1:35" s="407" customFormat="1" ht="12" customHeight="1" x14ac:dyDescent="0.2">
      <c r="A42" s="1016" t="s">
        <v>121</v>
      </c>
      <c r="B42" s="1017" t="s">
        <v>122</v>
      </c>
      <c r="C42" s="819">
        <f t="shared" si="1"/>
        <v>0</v>
      </c>
      <c r="D42" s="1018"/>
      <c r="E42" s="1018"/>
      <c r="F42" s="1018"/>
      <c r="G42" s="1018"/>
      <c r="H42" s="1018"/>
      <c r="I42" s="1018"/>
      <c r="J42" s="1018"/>
      <c r="K42" s="1018"/>
      <c r="L42" s="1018"/>
      <c r="M42" s="1018"/>
      <c r="N42" s="1018"/>
      <c r="O42" s="1018"/>
      <c r="P42" s="1018"/>
      <c r="Q42" s="1018"/>
      <c r="R42" s="1018"/>
      <c r="S42" s="1018"/>
      <c r="T42" s="1018"/>
      <c r="U42" s="1018"/>
      <c r="V42" s="1018"/>
      <c r="W42" s="1018"/>
      <c r="X42" s="1018"/>
      <c r="Y42" s="1018"/>
      <c r="Z42" s="1018"/>
      <c r="AA42" s="1018"/>
      <c r="AB42" s="1018"/>
      <c r="AC42" s="1018"/>
      <c r="AD42" s="1018"/>
      <c r="AE42" s="1018"/>
      <c r="AF42" s="1018"/>
      <c r="AG42" s="1018"/>
      <c r="AH42" s="1018"/>
      <c r="AI42" s="1018"/>
    </row>
    <row r="43" spans="1:35" s="407" customFormat="1" ht="12" customHeight="1" x14ac:dyDescent="0.2">
      <c r="A43" s="1016" t="s">
        <v>123</v>
      </c>
      <c r="B43" s="1017" t="s">
        <v>124</v>
      </c>
      <c r="C43" s="819">
        <f t="shared" si="1"/>
        <v>0</v>
      </c>
      <c r="D43" s="1018"/>
      <c r="E43" s="1018"/>
      <c r="F43" s="1018"/>
      <c r="G43" s="1018"/>
      <c r="H43" s="1018"/>
      <c r="I43" s="1018"/>
      <c r="J43" s="1018"/>
      <c r="K43" s="1018"/>
      <c r="L43" s="1018"/>
      <c r="M43" s="1018"/>
      <c r="N43" s="1018"/>
      <c r="O43" s="1018"/>
      <c r="P43" s="1018"/>
      <c r="Q43" s="1018"/>
      <c r="R43" s="1018"/>
      <c r="S43" s="1018"/>
      <c r="T43" s="1018"/>
      <c r="U43" s="1018"/>
      <c r="V43" s="1018"/>
      <c r="W43" s="1018"/>
      <c r="X43" s="1018"/>
      <c r="Y43" s="1018"/>
      <c r="Z43" s="1018"/>
      <c r="AA43" s="1018"/>
      <c r="AB43" s="1018"/>
      <c r="AC43" s="1018"/>
      <c r="AD43" s="1018"/>
      <c r="AE43" s="1018"/>
      <c r="AF43" s="1018"/>
      <c r="AG43" s="1018"/>
      <c r="AH43" s="1018"/>
      <c r="AI43" s="1018"/>
    </row>
    <row r="44" spans="1:35" s="407" customFormat="1" ht="12" customHeight="1" x14ac:dyDescent="0.2">
      <c r="A44" s="1016" t="s">
        <v>125</v>
      </c>
      <c r="B44" s="1017" t="s">
        <v>126</v>
      </c>
      <c r="C44" s="819">
        <f t="shared" si="1"/>
        <v>0</v>
      </c>
      <c r="D44" s="1018"/>
      <c r="E44" s="1018"/>
      <c r="F44" s="1018"/>
      <c r="G44" s="1018"/>
      <c r="H44" s="1018"/>
      <c r="I44" s="1018"/>
      <c r="J44" s="1018"/>
      <c r="K44" s="1018"/>
      <c r="L44" s="1018"/>
      <c r="M44" s="1018"/>
      <c r="N44" s="1018"/>
      <c r="O44" s="1018"/>
      <c r="P44" s="1018"/>
      <c r="Q44" s="1018"/>
      <c r="R44" s="1018"/>
      <c r="S44" s="1018"/>
      <c r="T44" s="1018"/>
      <c r="U44" s="1018"/>
      <c r="V44" s="1018"/>
      <c r="W44" s="1018"/>
      <c r="X44" s="1018"/>
      <c r="Y44" s="1018"/>
      <c r="Z44" s="1018"/>
      <c r="AA44" s="1018"/>
      <c r="AB44" s="1018"/>
      <c r="AC44" s="1018"/>
      <c r="AD44" s="1018"/>
      <c r="AE44" s="1018"/>
      <c r="AF44" s="1018"/>
      <c r="AG44" s="1018"/>
      <c r="AH44" s="1018"/>
      <c r="AI44" s="1018"/>
    </row>
    <row r="45" spans="1:35" s="407" customFormat="1" ht="12" customHeight="1" thickBot="1" x14ac:dyDescent="0.25">
      <c r="A45" s="1019" t="s">
        <v>127</v>
      </c>
      <c r="B45" s="1020" t="s">
        <v>128</v>
      </c>
      <c r="C45" s="1021">
        <f t="shared" si="1"/>
        <v>0</v>
      </c>
      <c r="D45" s="1022"/>
      <c r="E45" s="1022"/>
      <c r="F45" s="1022"/>
      <c r="G45" s="1022"/>
      <c r="H45" s="1022"/>
      <c r="I45" s="1022"/>
      <c r="J45" s="1022"/>
      <c r="K45" s="1022"/>
      <c r="L45" s="1022"/>
      <c r="M45" s="1022"/>
      <c r="N45" s="1022"/>
      <c r="O45" s="1022"/>
      <c r="P45" s="1022"/>
      <c r="Q45" s="1022"/>
      <c r="R45" s="1022"/>
      <c r="S45" s="1022"/>
      <c r="T45" s="1022"/>
      <c r="U45" s="1022"/>
      <c r="V45" s="1022"/>
      <c r="W45" s="1022"/>
      <c r="X45" s="1022"/>
      <c r="Y45" s="1022"/>
      <c r="Z45" s="1022"/>
      <c r="AA45" s="1022"/>
      <c r="AB45" s="1022"/>
      <c r="AC45" s="1022"/>
      <c r="AD45" s="1022"/>
      <c r="AE45" s="1022"/>
      <c r="AF45" s="1022"/>
      <c r="AG45" s="1022"/>
      <c r="AH45" s="1022"/>
      <c r="AI45" s="1022"/>
    </row>
    <row r="46" spans="1:35" s="407" customFormat="1" ht="12" customHeight="1" thickBot="1" x14ac:dyDescent="0.25">
      <c r="A46" s="1011" t="s">
        <v>129</v>
      </c>
      <c r="B46" s="1011" t="s">
        <v>130</v>
      </c>
      <c r="C46" s="1012">
        <f t="shared" si="1"/>
        <v>106800000</v>
      </c>
      <c r="D46" s="817">
        <f t="shared" ref="D46:AI46" si="7">SUM(D47:D51)</f>
        <v>0</v>
      </c>
      <c r="E46" s="817">
        <f t="shared" si="7"/>
        <v>0</v>
      </c>
      <c r="F46" s="817">
        <f t="shared" si="7"/>
        <v>106800000</v>
      </c>
      <c r="G46" s="817">
        <f t="shared" si="7"/>
        <v>0</v>
      </c>
      <c r="H46" s="817">
        <f t="shared" si="7"/>
        <v>0</v>
      </c>
      <c r="I46" s="817">
        <f t="shared" si="7"/>
        <v>0</v>
      </c>
      <c r="J46" s="817">
        <f t="shared" si="7"/>
        <v>0</v>
      </c>
      <c r="K46" s="817">
        <f t="shared" si="7"/>
        <v>0</v>
      </c>
      <c r="L46" s="817"/>
      <c r="M46" s="817">
        <f t="shared" si="7"/>
        <v>0</v>
      </c>
      <c r="N46" s="817">
        <f t="shared" si="7"/>
        <v>0</v>
      </c>
      <c r="O46" s="817">
        <f t="shared" si="7"/>
        <v>0</v>
      </c>
      <c r="P46" s="817"/>
      <c r="Q46" s="817">
        <f t="shared" si="7"/>
        <v>0</v>
      </c>
      <c r="R46" s="817">
        <f t="shared" si="7"/>
        <v>0</v>
      </c>
      <c r="S46" s="817">
        <f t="shared" si="7"/>
        <v>0</v>
      </c>
      <c r="T46" s="817">
        <f t="shared" si="7"/>
        <v>0</v>
      </c>
      <c r="U46" s="817">
        <f t="shared" si="7"/>
        <v>0</v>
      </c>
      <c r="V46" s="817">
        <f t="shared" si="7"/>
        <v>0</v>
      </c>
      <c r="W46" s="817"/>
      <c r="X46" s="817">
        <f t="shared" si="7"/>
        <v>0</v>
      </c>
      <c r="Y46" s="817">
        <f t="shared" si="7"/>
        <v>0</v>
      </c>
      <c r="Z46" s="817">
        <f t="shared" si="7"/>
        <v>0</v>
      </c>
      <c r="AA46" s="817">
        <f t="shared" si="7"/>
        <v>0</v>
      </c>
      <c r="AB46" s="817">
        <f t="shared" si="7"/>
        <v>0</v>
      </c>
      <c r="AC46" s="817">
        <f t="shared" si="7"/>
        <v>0</v>
      </c>
      <c r="AD46" s="817">
        <f t="shared" si="7"/>
        <v>0</v>
      </c>
      <c r="AE46" s="817">
        <f t="shared" si="7"/>
        <v>0</v>
      </c>
      <c r="AF46" s="817">
        <f t="shared" si="7"/>
        <v>0</v>
      </c>
      <c r="AG46" s="817">
        <f t="shared" si="7"/>
        <v>0</v>
      </c>
      <c r="AH46" s="817">
        <f t="shared" si="7"/>
        <v>0</v>
      </c>
      <c r="AI46" s="817">
        <f t="shared" si="7"/>
        <v>0</v>
      </c>
    </row>
    <row r="47" spans="1:35" s="407" customFormat="1" ht="12" customHeight="1" x14ac:dyDescent="0.2">
      <c r="A47" s="1013" t="s">
        <v>131</v>
      </c>
      <c r="B47" s="1014" t="s">
        <v>132</v>
      </c>
      <c r="C47" s="819">
        <f t="shared" si="1"/>
        <v>0</v>
      </c>
      <c r="D47" s="1015"/>
      <c r="E47" s="1015"/>
      <c r="F47" s="1015"/>
      <c r="G47" s="1015"/>
      <c r="H47" s="1015"/>
      <c r="I47" s="1015"/>
      <c r="J47" s="1015"/>
      <c r="K47" s="1015"/>
      <c r="L47" s="1015"/>
      <c r="M47" s="1015"/>
      <c r="N47" s="1015"/>
      <c r="O47" s="1015"/>
      <c r="P47" s="1015"/>
      <c r="Q47" s="1015"/>
      <c r="R47" s="1015"/>
      <c r="S47" s="1015"/>
      <c r="T47" s="1015"/>
      <c r="U47" s="1015"/>
      <c r="V47" s="1015"/>
      <c r="W47" s="1015"/>
      <c r="X47" s="1015"/>
      <c r="Y47" s="1015"/>
      <c r="Z47" s="1015"/>
      <c r="AA47" s="1015"/>
      <c r="AB47" s="1015"/>
      <c r="AC47" s="1015"/>
      <c r="AD47" s="1015"/>
      <c r="AE47" s="1015"/>
      <c r="AF47" s="1015"/>
      <c r="AG47" s="1015"/>
      <c r="AH47" s="1015"/>
      <c r="AI47" s="1015"/>
    </row>
    <row r="48" spans="1:35" s="407" customFormat="1" ht="12" customHeight="1" x14ac:dyDescent="0.2">
      <c r="A48" s="1016" t="s">
        <v>133</v>
      </c>
      <c r="B48" s="1017" t="s">
        <v>134</v>
      </c>
      <c r="C48" s="819">
        <f t="shared" si="1"/>
        <v>106800000</v>
      </c>
      <c r="D48" s="1018"/>
      <c r="E48" s="1018"/>
      <c r="F48" s="822">
        <v>106800000</v>
      </c>
      <c r="G48" s="1018"/>
      <c r="H48" s="1018"/>
      <c r="I48" s="1018"/>
      <c r="J48" s="1018"/>
      <c r="K48" s="1018"/>
      <c r="L48" s="1018"/>
      <c r="M48" s="1018"/>
      <c r="N48" s="1018"/>
      <c r="O48" s="1018"/>
      <c r="P48" s="1018"/>
      <c r="Q48" s="1018"/>
      <c r="R48" s="1018"/>
      <c r="S48" s="1018"/>
      <c r="T48" s="1018"/>
      <c r="U48" s="1018"/>
      <c r="V48" s="1018"/>
      <c r="W48" s="1018"/>
      <c r="X48" s="1018"/>
      <c r="Y48" s="1018"/>
      <c r="Z48" s="1018"/>
      <c r="AA48" s="1018"/>
      <c r="AB48" s="1018"/>
      <c r="AC48" s="1018"/>
      <c r="AD48" s="1018"/>
      <c r="AE48" s="1018"/>
      <c r="AF48" s="1018"/>
      <c r="AG48" s="1018"/>
      <c r="AH48" s="1018"/>
      <c r="AI48" s="1018"/>
    </row>
    <row r="49" spans="1:35" s="407" customFormat="1" ht="12" customHeight="1" x14ac:dyDescent="0.2">
      <c r="A49" s="1016" t="s">
        <v>135</v>
      </c>
      <c r="B49" s="1017" t="s">
        <v>136</v>
      </c>
      <c r="C49" s="819">
        <f t="shared" si="1"/>
        <v>0</v>
      </c>
      <c r="D49" s="1018"/>
      <c r="E49" s="1018"/>
      <c r="F49" s="1018"/>
      <c r="G49" s="1018"/>
      <c r="H49" s="1018"/>
      <c r="I49" s="1018"/>
      <c r="J49" s="1018"/>
      <c r="K49" s="1018"/>
      <c r="L49" s="1018"/>
      <c r="M49" s="1018"/>
      <c r="N49" s="1018"/>
      <c r="O49" s="1018"/>
      <c r="P49" s="1018"/>
      <c r="Q49" s="1018"/>
      <c r="R49" s="1018"/>
      <c r="S49" s="1018"/>
      <c r="T49" s="1018"/>
      <c r="U49" s="1018"/>
      <c r="V49" s="1018"/>
      <c r="W49" s="1018"/>
      <c r="X49" s="1018"/>
      <c r="Y49" s="1018"/>
      <c r="Z49" s="1018"/>
      <c r="AA49" s="1018"/>
      <c r="AB49" s="1018"/>
      <c r="AC49" s="1018"/>
      <c r="AD49" s="1018"/>
      <c r="AE49" s="1018"/>
      <c r="AF49" s="1018"/>
      <c r="AG49" s="1018"/>
      <c r="AH49" s="1018"/>
      <c r="AI49" s="1018"/>
    </row>
    <row r="50" spans="1:35" s="407" customFormat="1" ht="12" customHeight="1" x14ac:dyDescent="0.2">
      <c r="A50" s="1016" t="s">
        <v>137</v>
      </c>
      <c r="B50" s="1017" t="s">
        <v>138</v>
      </c>
      <c r="C50" s="819">
        <f t="shared" si="1"/>
        <v>0</v>
      </c>
      <c r="D50" s="1018"/>
      <c r="E50" s="1018"/>
      <c r="F50" s="1018"/>
      <c r="G50" s="1018"/>
      <c r="H50" s="1018"/>
      <c r="I50" s="1018"/>
      <c r="J50" s="1018"/>
      <c r="K50" s="1018"/>
      <c r="L50" s="1018"/>
      <c r="M50" s="1018"/>
      <c r="N50" s="1018"/>
      <c r="O50" s="1018"/>
      <c r="P50" s="1018"/>
      <c r="Q50" s="1018"/>
      <c r="R50" s="1018"/>
      <c r="S50" s="1018"/>
      <c r="T50" s="1018"/>
      <c r="U50" s="1018"/>
      <c r="V50" s="1018"/>
      <c r="W50" s="1018"/>
      <c r="X50" s="1018"/>
      <c r="Y50" s="1018"/>
      <c r="Z50" s="1018"/>
      <c r="AA50" s="1018"/>
      <c r="AB50" s="1018"/>
      <c r="AC50" s="1018"/>
      <c r="AD50" s="1018"/>
      <c r="AE50" s="1018"/>
      <c r="AF50" s="1018"/>
      <c r="AG50" s="1018"/>
      <c r="AH50" s="1018"/>
      <c r="AI50" s="1018"/>
    </row>
    <row r="51" spans="1:35" s="407" customFormat="1" ht="12" customHeight="1" thickBot="1" x14ac:dyDescent="0.25">
      <c r="A51" s="1019" t="s">
        <v>139</v>
      </c>
      <c r="B51" s="1020" t="s">
        <v>140</v>
      </c>
      <c r="C51" s="1021">
        <f t="shared" si="1"/>
        <v>0</v>
      </c>
      <c r="D51" s="1022"/>
      <c r="E51" s="1022"/>
      <c r="F51" s="1022"/>
      <c r="G51" s="1022"/>
      <c r="H51" s="1022"/>
      <c r="I51" s="1022"/>
      <c r="J51" s="1022"/>
      <c r="K51" s="1022"/>
      <c r="L51" s="1022"/>
      <c r="M51" s="1022"/>
      <c r="N51" s="1022"/>
      <c r="O51" s="1022"/>
      <c r="P51" s="1022"/>
      <c r="Q51" s="1022"/>
      <c r="R51" s="1022"/>
      <c r="S51" s="1022"/>
      <c r="T51" s="1022"/>
      <c r="U51" s="1022"/>
      <c r="V51" s="1022"/>
      <c r="W51" s="1022"/>
      <c r="X51" s="1022"/>
      <c r="Y51" s="1022"/>
      <c r="Z51" s="1022"/>
      <c r="AA51" s="1022"/>
      <c r="AB51" s="1022"/>
      <c r="AC51" s="1022"/>
      <c r="AD51" s="1022"/>
      <c r="AE51" s="1022"/>
      <c r="AF51" s="1022"/>
      <c r="AG51" s="1022"/>
      <c r="AH51" s="1022"/>
      <c r="AI51" s="1022"/>
    </row>
    <row r="52" spans="1:35" s="407" customFormat="1" ht="17.25" customHeight="1" thickBot="1" x14ac:dyDescent="0.25">
      <c r="A52" s="1011" t="s">
        <v>141</v>
      </c>
      <c r="B52" s="1011" t="s">
        <v>142</v>
      </c>
      <c r="C52" s="1012">
        <v>63100000</v>
      </c>
      <c r="D52" s="817">
        <f t="shared" ref="D52:AI52" si="8">SUM(D53:D55)</f>
        <v>0</v>
      </c>
      <c r="E52" s="817">
        <f t="shared" si="8"/>
        <v>0</v>
      </c>
      <c r="F52" s="817">
        <v>63100000</v>
      </c>
      <c r="G52" s="817">
        <f t="shared" si="8"/>
        <v>0</v>
      </c>
      <c r="H52" s="817">
        <f t="shared" si="8"/>
        <v>0</v>
      </c>
      <c r="I52" s="817">
        <f t="shared" si="8"/>
        <v>0</v>
      </c>
      <c r="J52" s="817">
        <f t="shared" si="8"/>
        <v>0</v>
      </c>
      <c r="K52" s="817">
        <f t="shared" si="8"/>
        <v>0</v>
      </c>
      <c r="L52" s="817"/>
      <c r="M52" s="817">
        <f t="shared" si="8"/>
        <v>0</v>
      </c>
      <c r="N52" s="817">
        <f t="shared" si="8"/>
        <v>0</v>
      </c>
      <c r="O52" s="817">
        <f t="shared" si="8"/>
        <v>0</v>
      </c>
      <c r="P52" s="817"/>
      <c r="Q52" s="817">
        <f t="shared" si="8"/>
        <v>0</v>
      </c>
      <c r="R52" s="817">
        <f t="shared" si="8"/>
        <v>0</v>
      </c>
      <c r="S52" s="817">
        <f t="shared" si="8"/>
        <v>0</v>
      </c>
      <c r="T52" s="817">
        <f t="shared" si="8"/>
        <v>0</v>
      </c>
      <c r="U52" s="817">
        <f t="shared" si="8"/>
        <v>0</v>
      </c>
      <c r="V52" s="817">
        <f t="shared" si="8"/>
        <v>0</v>
      </c>
      <c r="W52" s="817"/>
      <c r="X52" s="817">
        <f t="shared" si="8"/>
        <v>0</v>
      </c>
      <c r="Y52" s="817">
        <f t="shared" si="8"/>
        <v>0</v>
      </c>
      <c r="Z52" s="817">
        <f t="shared" si="8"/>
        <v>0</v>
      </c>
      <c r="AA52" s="817">
        <f t="shared" si="8"/>
        <v>0</v>
      </c>
      <c r="AB52" s="817">
        <f t="shared" si="8"/>
        <v>0</v>
      </c>
      <c r="AC52" s="817">
        <f t="shared" si="8"/>
        <v>0</v>
      </c>
      <c r="AD52" s="817">
        <f t="shared" si="8"/>
        <v>0</v>
      </c>
      <c r="AE52" s="817">
        <f t="shared" si="8"/>
        <v>0</v>
      </c>
      <c r="AF52" s="817">
        <f t="shared" si="8"/>
        <v>0</v>
      </c>
      <c r="AG52" s="817">
        <f t="shared" si="8"/>
        <v>0</v>
      </c>
      <c r="AH52" s="817">
        <f t="shared" si="8"/>
        <v>0</v>
      </c>
      <c r="AI52" s="817">
        <f t="shared" si="8"/>
        <v>0</v>
      </c>
    </row>
    <row r="53" spans="1:35" s="407" customFormat="1" ht="12" customHeight="1" x14ac:dyDescent="0.2">
      <c r="A53" s="1013" t="s">
        <v>143</v>
      </c>
      <c r="B53" s="1014" t="s">
        <v>144</v>
      </c>
      <c r="C53" s="819">
        <f t="shared" si="1"/>
        <v>0</v>
      </c>
      <c r="D53" s="1015"/>
      <c r="E53" s="1015"/>
      <c r="F53" s="1015"/>
      <c r="G53" s="1015"/>
      <c r="H53" s="1015"/>
      <c r="I53" s="1015"/>
      <c r="J53" s="1015"/>
      <c r="K53" s="1015"/>
      <c r="L53" s="1015"/>
      <c r="M53" s="1015"/>
      <c r="N53" s="1015"/>
      <c r="O53" s="1015"/>
      <c r="P53" s="1015"/>
      <c r="Q53" s="1015"/>
      <c r="R53" s="1015"/>
      <c r="S53" s="1015"/>
      <c r="T53" s="1015"/>
      <c r="U53" s="1015"/>
      <c r="V53" s="1015"/>
      <c r="W53" s="1015"/>
      <c r="X53" s="1015"/>
      <c r="Y53" s="1015"/>
      <c r="Z53" s="1015"/>
      <c r="AA53" s="1015"/>
      <c r="AB53" s="1015"/>
      <c r="AC53" s="1015"/>
      <c r="AD53" s="1015"/>
      <c r="AE53" s="1015"/>
      <c r="AF53" s="1015"/>
      <c r="AG53" s="1015"/>
      <c r="AH53" s="1015"/>
      <c r="AI53" s="1015"/>
    </row>
    <row r="54" spans="1:35" s="407" customFormat="1" ht="12" customHeight="1" x14ac:dyDescent="0.2">
      <c r="A54" s="1016" t="s">
        <v>145</v>
      </c>
      <c r="B54" s="1017" t="s">
        <v>72</v>
      </c>
      <c r="C54" s="819">
        <f t="shared" si="1"/>
        <v>63100000</v>
      </c>
      <c r="D54" s="1018"/>
      <c r="E54" s="1018"/>
      <c r="F54" s="1018">
        <v>63100000</v>
      </c>
      <c r="G54" s="1018"/>
      <c r="H54" s="1018"/>
      <c r="I54" s="1018"/>
      <c r="J54" s="1018"/>
      <c r="K54" s="1018"/>
      <c r="L54" s="1018"/>
      <c r="M54" s="1018"/>
      <c r="N54" s="1018"/>
      <c r="O54" s="1018"/>
      <c r="P54" s="1018"/>
      <c r="Q54" s="1018"/>
      <c r="R54" s="1018"/>
      <c r="S54" s="1018"/>
      <c r="T54" s="1018"/>
      <c r="U54" s="1018"/>
      <c r="V54" s="1018"/>
      <c r="W54" s="1018"/>
      <c r="X54" s="1018"/>
      <c r="Y54" s="1018"/>
      <c r="Z54" s="1018"/>
      <c r="AA54" s="1018"/>
      <c r="AB54" s="1018"/>
      <c r="AC54" s="1018"/>
      <c r="AD54" s="1018"/>
      <c r="AE54" s="1018"/>
      <c r="AF54" s="1018"/>
      <c r="AG54" s="1018"/>
      <c r="AH54" s="1018"/>
      <c r="AI54" s="1018"/>
    </row>
    <row r="55" spans="1:35" s="407" customFormat="1" ht="12" customHeight="1" x14ac:dyDescent="0.2">
      <c r="A55" s="1016" t="s">
        <v>147</v>
      </c>
      <c r="B55" s="1017" t="s">
        <v>148</v>
      </c>
      <c r="C55" s="819">
        <f t="shared" si="1"/>
        <v>0</v>
      </c>
      <c r="D55" s="1018"/>
      <c r="E55" s="1018"/>
      <c r="F55" s="1018"/>
      <c r="G55" s="1018"/>
      <c r="H55" s="1018"/>
      <c r="I55" s="1018"/>
      <c r="J55" s="1018"/>
      <c r="K55" s="1018"/>
      <c r="L55" s="1018"/>
      <c r="M55" s="1018"/>
      <c r="N55" s="1018"/>
      <c r="O55" s="1018"/>
      <c r="P55" s="1018"/>
      <c r="Q55" s="1018"/>
      <c r="R55" s="1018"/>
      <c r="S55" s="1018"/>
      <c r="T55" s="1018"/>
      <c r="U55" s="1018"/>
      <c r="V55" s="1018"/>
      <c r="W55" s="1018"/>
      <c r="X55" s="1018"/>
      <c r="Y55" s="1018"/>
      <c r="Z55" s="1018"/>
      <c r="AA55" s="1018"/>
      <c r="AB55" s="1018"/>
      <c r="AC55" s="1018"/>
      <c r="AD55" s="1018"/>
      <c r="AE55" s="1018"/>
      <c r="AF55" s="1018"/>
      <c r="AG55" s="1018"/>
      <c r="AH55" s="1018"/>
      <c r="AI55" s="1018"/>
    </row>
    <row r="56" spans="1:35" s="407" customFormat="1" ht="12" customHeight="1" thickBot="1" x14ac:dyDescent="0.25">
      <c r="A56" s="1019" t="s">
        <v>149</v>
      </c>
      <c r="B56" s="1020" t="s">
        <v>150</v>
      </c>
      <c r="C56" s="1021">
        <f t="shared" si="1"/>
        <v>0</v>
      </c>
      <c r="D56" s="1022"/>
      <c r="E56" s="1022"/>
      <c r="F56" s="1022"/>
      <c r="G56" s="1022"/>
      <c r="H56" s="1022"/>
      <c r="I56" s="1022"/>
      <c r="J56" s="1022"/>
      <c r="K56" s="1022"/>
      <c r="L56" s="1022"/>
      <c r="M56" s="1022"/>
      <c r="N56" s="1022"/>
      <c r="O56" s="1022"/>
      <c r="P56" s="1022"/>
      <c r="Q56" s="1022"/>
      <c r="R56" s="1022"/>
      <c r="S56" s="1022"/>
      <c r="T56" s="1022"/>
      <c r="U56" s="1022"/>
      <c r="V56" s="1022"/>
      <c r="W56" s="1022"/>
      <c r="X56" s="1022"/>
      <c r="Y56" s="1022"/>
      <c r="Z56" s="1022"/>
      <c r="AA56" s="1022"/>
      <c r="AB56" s="1022"/>
      <c r="AC56" s="1022"/>
      <c r="AD56" s="1022"/>
      <c r="AE56" s="1022"/>
      <c r="AF56" s="1022"/>
      <c r="AG56" s="1022"/>
      <c r="AH56" s="1022"/>
      <c r="AI56" s="1022"/>
    </row>
    <row r="57" spans="1:35" s="407" customFormat="1" ht="12" customHeight="1" thickBot="1" x14ac:dyDescent="0.25">
      <c r="A57" s="1011" t="s">
        <v>151</v>
      </c>
      <c r="B57" s="1023" t="s">
        <v>152</v>
      </c>
      <c r="C57" s="1012">
        <f t="shared" si="1"/>
        <v>11000000</v>
      </c>
      <c r="D57" s="817">
        <f t="shared" ref="D57:AI57" si="9">SUM(D58:D60)</f>
        <v>0</v>
      </c>
      <c r="E57" s="817">
        <f t="shared" si="9"/>
        <v>0</v>
      </c>
      <c r="F57" s="817">
        <f t="shared" si="9"/>
        <v>11000000</v>
      </c>
      <c r="G57" s="817">
        <f t="shared" si="9"/>
        <v>0</v>
      </c>
      <c r="H57" s="817">
        <f t="shared" si="9"/>
        <v>0</v>
      </c>
      <c r="I57" s="817">
        <f t="shared" si="9"/>
        <v>0</v>
      </c>
      <c r="J57" s="817">
        <f t="shared" si="9"/>
        <v>0</v>
      </c>
      <c r="K57" s="817">
        <f t="shared" si="9"/>
        <v>0</v>
      </c>
      <c r="L57" s="817"/>
      <c r="M57" s="817">
        <f t="shared" si="9"/>
        <v>0</v>
      </c>
      <c r="N57" s="817">
        <f t="shared" si="9"/>
        <v>0</v>
      </c>
      <c r="O57" s="817">
        <f t="shared" si="9"/>
        <v>0</v>
      </c>
      <c r="P57" s="817"/>
      <c r="Q57" s="817">
        <f t="shared" si="9"/>
        <v>0</v>
      </c>
      <c r="R57" s="817">
        <f t="shared" si="9"/>
        <v>0</v>
      </c>
      <c r="S57" s="817">
        <f t="shared" si="9"/>
        <v>0</v>
      </c>
      <c r="T57" s="817">
        <f t="shared" si="9"/>
        <v>0</v>
      </c>
      <c r="U57" s="817">
        <f t="shared" si="9"/>
        <v>0</v>
      </c>
      <c r="V57" s="817">
        <f t="shared" si="9"/>
        <v>0</v>
      </c>
      <c r="W57" s="817"/>
      <c r="X57" s="817">
        <f t="shared" si="9"/>
        <v>0</v>
      </c>
      <c r="Y57" s="817">
        <f t="shared" si="9"/>
        <v>0</v>
      </c>
      <c r="Z57" s="817">
        <f t="shared" si="9"/>
        <v>0</v>
      </c>
      <c r="AA57" s="817">
        <f t="shared" si="9"/>
        <v>0</v>
      </c>
      <c r="AB57" s="817">
        <f t="shared" si="9"/>
        <v>0</v>
      </c>
      <c r="AC57" s="817">
        <f t="shared" si="9"/>
        <v>0</v>
      </c>
      <c r="AD57" s="817">
        <f t="shared" si="9"/>
        <v>0</v>
      </c>
      <c r="AE57" s="817">
        <f t="shared" si="9"/>
        <v>0</v>
      </c>
      <c r="AF57" s="817">
        <f t="shared" si="9"/>
        <v>0</v>
      </c>
      <c r="AG57" s="817">
        <f t="shared" si="9"/>
        <v>0</v>
      </c>
      <c r="AH57" s="817">
        <f t="shared" si="9"/>
        <v>0</v>
      </c>
      <c r="AI57" s="817">
        <f t="shared" si="9"/>
        <v>0</v>
      </c>
    </row>
    <row r="58" spans="1:35" s="407" customFormat="1" ht="12" customHeight="1" x14ac:dyDescent="0.2">
      <c r="A58" s="1013" t="s">
        <v>153</v>
      </c>
      <c r="B58" s="1014" t="s">
        <v>154</v>
      </c>
      <c r="C58" s="819">
        <f t="shared" si="1"/>
        <v>0</v>
      </c>
      <c r="D58" s="1015"/>
      <c r="E58" s="1015"/>
      <c r="F58" s="1015"/>
      <c r="G58" s="1015"/>
      <c r="H58" s="1015"/>
      <c r="I58" s="1015"/>
      <c r="J58" s="1015"/>
      <c r="K58" s="1015"/>
      <c r="L58" s="1015"/>
      <c r="M58" s="1015"/>
      <c r="N58" s="1015"/>
      <c r="O58" s="1015"/>
      <c r="P58" s="1015"/>
      <c r="Q58" s="1015"/>
      <c r="R58" s="1015"/>
      <c r="S58" s="1015"/>
      <c r="T58" s="1015"/>
      <c r="U58" s="1015"/>
      <c r="V58" s="1015"/>
      <c r="W58" s="1015"/>
      <c r="X58" s="1015"/>
      <c r="Y58" s="1015"/>
      <c r="Z58" s="1015"/>
      <c r="AA58" s="1015"/>
      <c r="AB58" s="1015"/>
      <c r="AC58" s="1015"/>
      <c r="AD58" s="1015"/>
      <c r="AE58" s="1015"/>
      <c r="AF58" s="1015"/>
      <c r="AG58" s="1015"/>
      <c r="AH58" s="1015"/>
      <c r="AI58" s="1015"/>
    </row>
    <row r="59" spans="1:35" s="407" customFormat="1" ht="12" customHeight="1" x14ac:dyDescent="0.2">
      <c r="A59" s="1016" t="s">
        <v>155</v>
      </c>
      <c r="B59" s="1017" t="s">
        <v>156</v>
      </c>
      <c r="C59" s="819">
        <f t="shared" si="1"/>
        <v>0</v>
      </c>
      <c r="D59" s="1018"/>
      <c r="E59" s="1018"/>
      <c r="F59" s="1018"/>
      <c r="G59" s="1018"/>
      <c r="H59" s="1018"/>
      <c r="I59" s="1018"/>
      <c r="J59" s="1018"/>
      <c r="K59" s="1018"/>
      <c r="L59" s="1018"/>
      <c r="M59" s="1018"/>
      <c r="N59" s="1018"/>
      <c r="O59" s="1018"/>
      <c r="P59" s="1018"/>
      <c r="Q59" s="1018"/>
      <c r="R59" s="1018"/>
      <c r="S59" s="1018"/>
      <c r="T59" s="1018"/>
      <c r="U59" s="1018"/>
      <c r="V59" s="1018"/>
      <c r="W59" s="1018"/>
      <c r="X59" s="1018"/>
      <c r="Y59" s="1018"/>
      <c r="Z59" s="1018"/>
      <c r="AA59" s="1018"/>
      <c r="AB59" s="1018"/>
      <c r="AC59" s="1018"/>
      <c r="AD59" s="1018"/>
      <c r="AE59" s="1018"/>
      <c r="AF59" s="1018"/>
      <c r="AG59" s="1018"/>
      <c r="AH59" s="1018"/>
      <c r="AI59" s="1018"/>
    </row>
    <row r="60" spans="1:35" s="407" customFormat="1" ht="12" customHeight="1" x14ac:dyDescent="0.2">
      <c r="A60" s="1016" t="s">
        <v>157</v>
      </c>
      <c r="B60" s="1017" t="s">
        <v>158</v>
      </c>
      <c r="C60" s="819">
        <f t="shared" si="1"/>
        <v>11000000</v>
      </c>
      <c r="D60" s="1018"/>
      <c r="E60" s="1018"/>
      <c r="F60" s="822">
        <v>11000000</v>
      </c>
      <c r="G60" s="1018"/>
      <c r="H60" s="1018"/>
      <c r="I60" s="1018"/>
      <c r="J60" s="1018"/>
      <c r="K60" s="1018"/>
      <c r="L60" s="1018"/>
      <c r="M60" s="1018"/>
      <c r="N60" s="1018"/>
      <c r="O60" s="1018"/>
      <c r="P60" s="1018"/>
      <c r="Q60" s="1018"/>
      <c r="R60" s="1018"/>
      <c r="S60" s="1018"/>
      <c r="T60" s="1018"/>
      <c r="U60" s="1018"/>
      <c r="V60" s="1018"/>
      <c r="W60" s="1018"/>
      <c r="X60" s="1018"/>
      <c r="Y60" s="1018"/>
      <c r="Z60" s="1018"/>
      <c r="AA60" s="1018"/>
      <c r="AB60" s="1018"/>
      <c r="AC60" s="1018"/>
      <c r="AD60" s="1018"/>
      <c r="AE60" s="1018"/>
      <c r="AF60" s="1018"/>
      <c r="AG60" s="1018"/>
      <c r="AH60" s="1018"/>
      <c r="AI60" s="1018"/>
    </row>
    <row r="61" spans="1:35" s="407" customFormat="1" ht="12" customHeight="1" thickBot="1" x14ac:dyDescent="0.25">
      <c r="A61" s="1019" t="s">
        <v>159</v>
      </c>
      <c r="B61" s="1020" t="s">
        <v>160</v>
      </c>
      <c r="C61" s="1021">
        <f t="shared" si="1"/>
        <v>0</v>
      </c>
      <c r="D61" s="1022"/>
      <c r="E61" s="1022"/>
      <c r="F61" s="1022"/>
      <c r="G61" s="1022"/>
      <c r="H61" s="1022"/>
      <c r="I61" s="1022"/>
      <c r="J61" s="1022"/>
      <c r="K61" s="1022"/>
      <c r="L61" s="1022"/>
      <c r="M61" s="1022"/>
      <c r="N61" s="1022"/>
      <c r="O61" s="1022"/>
      <c r="P61" s="1022"/>
      <c r="Q61" s="1022"/>
      <c r="R61" s="1022"/>
      <c r="S61" s="1022"/>
      <c r="T61" s="1022"/>
      <c r="U61" s="1022"/>
      <c r="V61" s="1022"/>
      <c r="W61" s="1022"/>
      <c r="X61" s="1022"/>
      <c r="Y61" s="1022"/>
      <c r="Z61" s="1022"/>
      <c r="AA61" s="1022"/>
      <c r="AB61" s="1022"/>
      <c r="AC61" s="1022"/>
      <c r="AD61" s="1022"/>
      <c r="AE61" s="1022"/>
      <c r="AF61" s="1022"/>
      <c r="AG61" s="1022"/>
      <c r="AH61" s="1022"/>
      <c r="AI61" s="1022"/>
    </row>
    <row r="62" spans="1:35" s="407" customFormat="1" ht="12" customHeight="1" thickBot="1" x14ac:dyDescent="0.25">
      <c r="A62" s="1011" t="s">
        <v>161</v>
      </c>
      <c r="B62" s="1011" t="s">
        <v>162</v>
      </c>
      <c r="C62" s="1012">
        <f>C57+C52+C46+C35+C28+C21+C14+C7</f>
        <v>1669887443</v>
      </c>
      <c r="D62" s="816">
        <f t="shared" ref="D62:AI62" si="10">+D7+D14+D21+D28+D35+D46+D52+D57</f>
        <v>0</v>
      </c>
      <c r="E62" s="816">
        <f t="shared" si="10"/>
        <v>725000000</v>
      </c>
      <c r="F62" s="816">
        <f t="shared" si="10"/>
        <v>270900000</v>
      </c>
      <c r="G62" s="816">
        <f t="shared" si="10"/>
        <v>0</v>
      </c>
      <c r="H62" s="816">
        <f t="shared" si="10"/>
        <v>0</v>
      </c>
      <c r="I62" s="816">
        <f t="shared" si="10"/>
        <v>0</v>
      </c>
      <c r="J62" s="816">
        <f t="shared" si="10"/>
        <v>0</v>
      </c>
      <c r="K62" s="816">
        <f t="shared" si="10"/>
        <v>0</v>
      </c>
      <c r="L62" s="816"/>
      <c r="M62" s="816">
        <f t="shared" si="10"/>
        <v>50000000</v>
      </c>
      <c r="N62" s="816">
        <f t="shared" si="10"/>
        <v>8000000</v>
      </c>
      <c r="O62" s="816">
        <f t="shared" si="10"/>
        <v>2000000</v>
      </c>
      <c r="P62" s="816"/>
      <c r="Q62" s="816">
        <f t="shared" si="10"/>
        <v>0</v>
      </c>
      <c r="R62" s="816">
        <f t="shared" si="10"/>
        <v>0</v>
      </c>
      <c r="S62" s="816">
        <f t="shared" si="10"/>
        <v>0</v>
      </c>
      <c r="T62" s="816">
        <f t="shared" si="10"/>
        <v>0</v>
      </c>
      <c r="U62" s="816">
        <f t="shared" si="10"/>
        <v>0</v>
      </c>
      <c r="V62" s="816">
        <f t="shared" si="10"/>
        <v>0</v>
      </c>
      <c r="W62" s="816"/>
      <c r="X62" s="816">
        <f t="shared" si="10"/>
        <v>0</v>
      </c>
      <c r="Y62" s="816">
        <f t="shared" si="10"/>
        <v>0</v>
      </c>
      <c r="Z62" s="816">
        <f t="shared" si="10"/>
        <v>0</v>
      </c>
      <c r="AA62" s="816">
        <f t="shared" si="10"/>
        <v>0</v>
      </c>
      <c r="AB62" s="816">
        <f t="shared" si="10"/>
        <v>22000000</v>
      </c>
      <c r="AC62" s="816">
        <f t="shared" si="10"/>
        <v>0</v>
      </c>
      <c r="AD62" s="816">
        <f t="shared" si="10"/>
        <v>10000000</v>
      </c>
      <c r="AE62" s="816">
        <f t="shared" si="10"/>
        <v>0</v>
      </c>
      <c r="AF62" s="816">
        <f t="shared" si="10"/>
        <v>0</v>
      </c>
      <c r="AG62" s="816">
        <f t="shared" si="10"/>
        <v>0</v>
      </c>
      <c r="AH62" s="816">
        <f t="shared" si="10"/>
        <v>551487563</v>
      </c>
      <c r="AI62" s="816">
        <f t="shared" si="10"/>
        <v>0</v>
      </c>
    </row>
    <row r="63" spans="1:35" s="407" customFormat="1" ht="12" customHeight="1" thickBot="1" x14ac:dyDescent="0.25">
      <c r="A63" s="1029" t="s">
        <v>163</v>
      </c>
      <c r="B63" s="1023" t="s">
        <v>164</v>
      </c>
      <c r="C63" s="1026">
        <f t="shared" si="1"/>
        <v>0</v>
      </c>
      <c r="D63" s="1024"/>
      <c r="E63" s="1024"/>
      <c r="F63" s="1024"/>
      <c r="G63" s="1024"/>
      <c r="H63" s="1024"/>
      <c r="I63" s="1024"/>
      <c r="J63" s="1024"/>
      <c r="K63" s="1024"/>
      <c r="L63" s="1024"/>
      <c r="M63" s="1024"/>
      <c r="N63" s="1024"/>
      <c r="O63" s="1024"/>
      <c r="P63" s="1024"/>
      <c r="Q63" s="1024"/>
      <c r="R63" s="1024"/>
      <c r="S63" s="1024"/>
      <c r="T63" s="1024"/>
      <c r="U63" s="1024"/>
      <c r="V63" s="1024"/>
      <c r="W63" s="1024"/>
      <c r="X63" s="1024"/>
      <c r="Y63" s="1024"/>
      <c r="Z63" s="1024"/>
      <c r="AA63" s="1024"/>
      <c r="AB63" s="1024"/>
      <c r="AC63" s="1024"/>
      <c r="AD63" s="1024"/>
      <c r="AE63" s="1024"/>
      <c r="AF63" s="1024"/>
      <c r="AG63" s="1024"/>
      <c r="AH63" s="1024"/>
      <c r="AI63" s="1024"/>
    </row>
    <row r="64" spans="1:35" s="407" customFormat="1" ht="12" customHeight="1" x14ac:dyDescent="0.2">
      <c r="A64" s="1013" t="s">
        <v>165</v>
      </c>
      <c r="B64" s="1014" t="s">
        <v>166</v>
      </c>
      <c r="C64" s="819">
        <f t="shared" si="1"/>
        <v>0</v>
      </c>
      <c r="D64" s="1015"/>
      <c r="E64" s="1015"/>
      <c r="F64" s="1015"/>
      <c r="G64" s="1015"/>
      <c r="H64" s="1015"/>
      <c r="I64" s="1015"/>
      <c r="J64" s="1015"/>
      <c r="K64" s="1015"/>
      <c r="L64" s="1015"/>
      <c r="M64" s="1015"/>
      <c r="N64" s="1015"/>
      <c r="O64" s="1015"/>
      <c r="P64" s="1015"/>
      <c r="Q64" s="1015"/>
      <c r="R64" s="1015"/>
      <c r="S64" s="1015"/>
      <c r="T64" s="1015"/>
      <c r="U64" s="1015"/>
      <c r="V64" s="1015"/>
      <c r="W64" s="1015"/>
      <c r="X64" s="1015"/>
      <c r="Y64" s="1015"/>
      <c r="Z64" s="1015"/>
      <c r="AA64" s="1015"/>
      <c r="AB64" s="1015"/>
      <c r="AC64" s="1015"/>
      <c r="AD64" s="1015"/>
      <c r="AE64" s="1015"/>
      <c r="AF64" s="1015"/>
      <c r="AG64" s="1015"/>
      <c r="AH64" s="1015"/>
      <c r="AI64" s="1015"/>
    </row>
    <row r="65" spans="1:35" s="407" customFormat="1" ht="12" customHeight="1" x14ac:dyDescent="0.2">
      <c r="A65" s="1016" t="s">
        <v>167</v>
      </c>
      <c r="B65" s="1017" t="s">
        <v>168</v>
      </c>
      <c r="C65" s="819">
        <f t="shared" si="1"/>
        <v>0</v>
      </c>
      <c r="D65" s="1018"/>
      <c r="E65" s="1018"/>
      <c r="F65" s="1018"/>
      <c r="G65" s="1018"/>
      <c r="H65" s="1018"/>
      <c r="I65" s="1018"/>
      <c r="J65" s="1018"/>
      <c r="K65" s="1018"/>
      <c r="L65" s="1018"/>
      <c r="M65" s="1018"/>
      <c r="N65" s="1018"/>
      <c r="O65" s="1018"/>
      <c r="P65" s="1018"/>
      <c r="Q65" s="1018"/>
      <c r="R65" s="1018"/>
      <c r="S65" s="1018"/>
      <c r="T65" s="1018"/>
      <c r="U65" s="1018"/>
      <c r="V65" s="1018"/>
      <c r="W65" s="1018"/>
      <c r="X65" s="1018"/>
      <c r="Y65" s="1018"/>
      <c r="Z65" s="1018"/>
      <c r="AA65" s="1018"/>
      <c r="AB65" s="1018"/>
      <c r="AC65" s="1018"/>
      <c r="AD65" s="1018"/>
      <c r="AE65" s="1018"/>
      <c r="AF65" s="1018"/>
      <c r="AG65" s="1018"/>
      <c r="AH65" s="1018"/>
      <c r="AI65" s="1018"/>
    </row>
    <row r="66" spans="1:35" s="407" customFormat="1" ht="12" customHeight="1" thickBot="1" x14ac:dyDescent="0.25">
      <c r="A66" s="1019" t="s">
        <v>169</v>
      </c>
      <c r="B66" s="1030" t="s">
        <v>170</v>
      </c>
      <c r="C66" s="1021">
        <f t="shared" si="1"/>
        <v>0</v>
      </c>
      <c r="D66" s="1022"/>
      <c r="E66" s="1022"/>
      <c r="F66" s="1022"/>
      <c r="G66" s="1022"/>
      <c r="H66" s="1022"/>
      <c r="I66" s="1022"/>
      <c r="J66" s="1022"/>
      <c r="K66" s="1022"/>
      <c r="L66" s="1022"/>
      <c r="M66" s="1022"/>
      <c r="N66" s="1022"/>
      <c r="O66" s="1022"/>
      <c r="P66" s="1022"/>
      <c r="Q66" s="1022"/>
      <c r="R66" s="1022"/>
      <c r="S66" s="1022"/>
      <c r="T66" s="1022"/>
      <c r="U66" s="1022"/>
      <c r="V66" s="1022"/>
      <c r="W66" s="1022"/>
      <c r="X66" s="1022"/>
      <c r="Y66" s="1022"/>
      <c r="Z66" s="1022"/>
      <c r="AA66" s="1022"/>
      <c r="AB66" s="1022"/>
      <c r="AC66" s="1022"/>
      <c r="AD66" s="1022"/>
      <c r="AE66" s="1022"/>
      <c r="AF66" s="1022"/>
      <c r="AG66" s="1022"/>
      <c r="AH66" s="1022"/>
      <c r="AI66" s="1022"/>
    </row>
    <row r="67" spans="1:35" s="407" customFormat="1" ht="12" customHeight="1" thickBot="1" x14ac:dyDescent="0.25">
      <c r="A67" s="1029" t="s">
        <v>171</v>
      </c>
      <c r="B67" s="1023" t="s">
        <v>172</v>
      </c>
      <c r="C67" s="1026">
        <f t="shared" si="1"/>
        <v>0</v>
      </c>
      <c r="D67" s="1024"/>
      <c r="E67" s="1024"/>
      <c r="F67" s="1024"/>
      <c r="G67" s="1024"/>
      <c r="H67" s="1024"/>
      <c r="I67" s="1024"/>
      <c r="J67" s="1024"/>
      <c r="K67" s="1024"/>
      <c r="L67" s="1024"/>
      <c r="M67" s="1024"/>
      <c r="N67" s="1024"/>
      <c r="O67" s="1024"/>
      <c r="P67" s="1024"/>
      <c r="Q67" s="1024"/>
      <c r="R67" s="1024"/>
      <c r="S67" s="1024"/>
      <c r="T67" s="1024"/>
      <c r="U67" s="1024"/>
      <c r="V67" s="1024"/>
      <c r="W67" s="1024"/>
      <c r="X67" s="1024"/>
      <c r="Y67" s="1024"/>
      <c r="Z67" s="1024"/>
      <c r="AA67" s="1024"/>
      <c r="AB67" s="1024"/>
      <c r="AC67" s="1024"/>
      <c r="AD67" s="1024"/>
      <c r="AE67" s="1024"/>
      <c r="AF67" s="1024"/>
      <c r="AG67" s="1024"/>
      <c r="AH67" s="1024"/>
      <c r="AI67" s="1024"/>
    </row>
    <row r="68" spans="1:35" s="407" customFormat="1" ht="13.5" customHeight="1" x14ac:dyDescent="0.2">
      <c r="A68" s="1013" t="s">
        <v>173</v>
      </c>
      <c r="B68" s="1014" t="s">
        <v>174</v>
      </c>
      <c r="C68" s="819">
        <f t="shared" si="1"/>
        <v>0</v>
      </c>
      <c r="D68" s="1015"/>
      <c r="E68" s="1015"/>
      <c r="F68" s="1015"/>
      <c r="G68" s="1015"/>
      <c r="H68" s="1015"/>
      <c r="I68" s="1015"/>
      <c r="J68" s="1015"/>
      <c r="K68" s="1015"/>
      <c r="L68" s="1015"/>
      <c r="M68" s="1015"/>
      <c r="N68" s="1015"/>
      <c r="O68" s="1015"/>
      <c r="P68" s="1015"/>
      <c r="Q68" s="1015"/>
      <c r="R68" s="1015"/>
      <c r="S68" s="1015"/>
      <c r="T68" s="1015"/>
      <c r="U68" s="1015"/>
      <c r="V68" s="1015"/>
      <c r="W68" s="1015"/>
      <c r="X68" s="1015"/>
      <c r="Y68" s="1015"/>
      <c r="Z68" s="1015"/>
      <c r="AA68" s="1015"/>
      <c r="AB68" s="1015"/>
      <c r="AC68" s="1015"/>
      <c r="AD68" s="1015"/>
      <c r="AE68" s="1015"/>
      <c r="AF68" s="1015"/>
      <c r="AG68" s="1015"/>
      <c r="AH68" s="1015"/>
      <c r="AI68" s="1015"/>
    </row>
    <row r="69" spans="1:35" s="407" customFormat="1" ht="12" customHeight="1" x14ac:dyDescent="0.2">
      <c r="A69" s="1016" t="s">
        <v>175</v>
      </c>
      <c r="B69" s="1017" t="s">
        <v>176</v>
      </c>
      <c r="C69" s="819">
        <f t="shared" si="1"/>
        <v>0</v>
      </c>
      <c r="D69" s="1018"/>
      <c r="E69" s="1018"/>
      <c r="F69" s="1018"/>
      <c r="G69" s="1018"/>
      <c r="H69" s="1018"/>
      <c r="I69" s="1018"/>
      <c r="J69" s="1018"/>
      <c r="K69" s="1018"/>
      <c r="L69" s="1018"/>
      <c r="M69" s="1018"/>
      <c r="N69" s="1018"/>
      <c r="O69" s="1018"/>
      <c r="P69" s="1018"/>
      <c r="Q69" s="1018"/>
      <c r="R69" s="1018"/>
      <c r="S69" s="1018"/>
      <c r="T69" s="1018"/>
      <c r="U69" s="1018"/>
      <c r="V69" s="1018"/>
      <c r="W69" s="1018"/>
      <c r="X69" s="1018"/>
      <c r="Y69" s="1018"/>
      <c r="Z69" s="1018"/>
      <c r="AA69" s="1018"/>
      <c r="AB69" s="1018"/>
      <c r="AC69" s="1018"/>
      <c r="AD69" s="1018"/>
      <c r="AE69" s="1018"/>
      <c r="AF69" s="1018"/>
      <c r="AG69" s="1018"/>
      <c r="AH69" s="1018"/>
      <c r="AI69" s="1018"/>
    </row>
    <row r="70" spans="1:35" s="407" customFormat="1" ht="12" customHeight="1" x14ac:dyDescent="0.2">
      <c r="A70" s="1016" t="s">
        <v>177</v>
      </c>
      <c r="B70" s="1017" t="s">
        <v>178</v>
      </c>
      <c r="C70" s="819">
        <f t="shared" si="1"/>
        <v>0</v>
      </c>
      <c r="D70" s="1018"/>
      <c r="E70" s="1018"/>
      <c r="F70" s="1018"/>
      <c r="G70" s="1018"/>
      <c r="H70" s="1018"/>
      <c r="I70" s="1018"/>
      <c r="J70" s="1018"/>
      <c r="K70" s="1018"/>
      <c r="L70" s="1018"/>
      <c r="M70" s="1018"/>
      <c r="N70" s="1018"/>
      <c r="O70" s="1018"/>
      <c r="P70" s="1018"/>
      <c r="Q70" s="1018"/>
      <c r="R70" s="1018"/>
      <c r="S70" s="1018"/>
      <c r="T70" s="1018"/>
      <c r="U70" s="1018"/>
      <c r="V70" s="1018"/>
      <c r="W70" s="1018"/>
      <c r="X70" s="1018"/>
      <c r="Y70" s="1018"/>
      <c r="Z70" s="1018"/>
      <c r="AA70" s="1018"/>
      <c r="AB70" s="1018"/>
      <c r="AC70" s="1018"/>
      <c r="AD70" s="1018"/>
      <c r="AE70" s="1018"/>
      <c r="AF70" s="1018"/>
      <c r="AG70" s="1018"/>
      <c r="AH70" s="1018"/>
      <c r="AI70" s="1018"/>
    </row>
    <row r="71" spans="1:35" s="407" customFormat="1" ht="12" customHeight="1" thickBot="1" x14ac:dyDescent="0.25">
      <c r="A71" s="1019" t="s">
        <v>179</v>
      </c>
      <c r="B71" s="1020" t="s">
        <v>180</v>
      </c>
      <c r="C71" s="1021">
        <f t="shared" si="1"/>
        <v>0</v>
      </c>
      <c r="D71" s="1022"/>
      <c r="E71" s="1022"/>
      <c r="F71" s="1022"/>
      <c r="G71" s="1022"/>
      <c r="H71" s="1022"/>
      <c r="I71" s="1022"/>
      <c r="J71" s="1022"/>
      <c r="K71" s="1022"/>
      <c r="L71" s="1022"/>
      <c r="M71" s="1022"/>
      <c r="N71" s="1022"/>
      <c r="O71" s="1022"/>
      <c r="P71" s="1022"/>
      <c r="Q71" s="1022"/>
      <c r="R71" s="1022"/>
      <c r="S71" s="1022"/>
      <c r="T71" s="1022"/>
      <c r="U71" s="1022"/>
      <c r="V71" s="1022"/>
      <c r="W71" s="1022"/>
      <c r="X71" s="1022"/>
      <c r="Y71" s="1022"/>
      <c r="Z71" s="1022"/>
      <c r="AA71" s="1022"/>
      <c r="AB71" s="1022"/>
      <c r="AC71" s="1022"/>
      <c r="AD71" s="1022"/>
      <c r="AE71" s="1022"/>
      <c r="AF71" s="1022"/>
      <c r="AG71" s="1022"/>
      <c r="AH71" s="1022"/>
      <c r="AI71" s="1022"/>
    </row>
    <row r="72" spans="1:35" s="407" customFormat="1" ht="12" customHeight="1" thickBot="1" x14ac:dyDescent="0.25">
      <c r="A72" s="1029" t="s">
        <v>181</v>
      </c>
      <c r="B72" s="1023" t="s">
        <v>182</v>
      </c>
      <c r="C72" s="1012">
        <f>SUM(C73:C74)</f>
        <v>121702587</v>
      </c>
      <c r="D72" s="1024"/>
      <c r="E72" s="1024"/>
      <c r="F72" s="1024"/>
      <c r="G72" s="1024"/>
      <c r="H72" s="1024"/>
      <c r="I72" s="1024"/>
      <c r="J72" s="1024"/>
      <c r="K72" s="1024"/>
      <c r="L72" s="1024"/>
      <c r="M72" s="1024"/>
      <c r="N72" s="1024"/>
      <c r="O72" s="1024"/>
      <c r="P72" s="1024"/>
      <c r="Q72" s="1024"/>
      <c r="R72" s="1024"/>
      <c r="S72" s="1024"/>
      <c r="T72" s="1024"/>
      <c r="U72" s="1024"/>
      <c r="V72" s="1024"/>
      <c r="W72" s="1024"/>
      <c r="X72" s="1024"/>
      <c r="Y72" s="1024"/>
      <c r="Z72" s="1024"/>
      <c r="AA72" s="1024"/>
      <c r="AB72" s="1024"/>
      <c r="AC72" s="1024"/>
      <c r="AD72" s="1024"/>
      <c r="AE72" s="1024"/>
      <c r="AF72" s="1024"/>
      <c r="AG72" s="1024"/>
      <c r="AH72" s="1024"/>
      <c r="AI72" s="1024"/>
    </row>
    <row r="73" spans="1:35" s="407" customFormat="1" ht="12" customHeight="1" x14ac:dyDescent="0.2">
      <c r="A73" s="1013" t="s">
        <v>183</v>
      </c>
      <c r="B73" s="1014" t="s">
        <v>184</v>
      </c>
      <c r="C73" s="819">
        <f t="shared" ref="C73:C84" si="11">SUM(D73:AI73)</f>
        <v>121702587</v>
      </c>
      <c r="D73" s="1015"/>
      <c r="E73" s="1015"/>
      <c r="F73" s="402">
        <f>14837945+106864642</f>
        <v>121702587</v>
      </c>
      <c r="G73" s="1015"/>
      <c r="H73" s="1015"/>
      <c r="I73" s="1015"/>
      <c r="J73" s="1015"/>
      <c r="K73" s="1015"/>
      <c r="L73" s="1015"/>
      <c r="M73" s="1015"/>
      <c r="N73" s="1015"/>
      <c r="O73" s="1015"/>
      <c r="P73" s="1015"/>
      <c r="Q73" s="1015"/>
      <c r="R73" s="1015"/>
      <c r="S73" s="1015"/>
      <c r="T73" s="1015"/>
      <c r="U73" s="1015"/>
      <c r="V73" s="1015"/>
      <c r="W73" s="1015"/>
      <c r="X73" s="1015"/>
      <c r="Y73" s="1015"/>
      <c r="Z73" s="1015"/>
      <c r="AA73" s="1015"/>
      <c r="AB73" s="1015"/>
      <c r="AC73" s="1015"/>
      <c r="AD73" s="1015"/>
      <c r="AE73" s="1015"/>
      <c r="AF73" s="1015"/>
      <c r="AG73" s="1015"/>
      <c r="AH73" s="1015"/>
      <c r="AI73" s="1015"/>
    </row>
    <row r="74" spans="1:35" s="407" customFormat="1" ht="12" customHeight="1" thickBot="1" x14ac:dyDescent="0.25">
      <c r="A74" s="1019" t="s">
        <v>185</v>
      </c>
      <c r="B74" s="1020" t="s">
        <v>186</v>
      </c>
      <c r="C74" s="1021">
        <f t="shared" si="11"/>
        <v>0</v>
      </c>
      <c r="D74" s="1022"/>
      <c r="E74" s="1022"/>
      <c r="F74" s="1022"/>
      <c r="G74" s="1022"/>
      <c r="H74" s="1022"/>
      <c r="I74" s="1022"/>
      <c r="J74" s="1022"/>
      <c r="K74" s="1022"/>
      <c r="L74" s="1022"/>
      <c r="M74" s="1022"/>
      <c r="N74" s="1022"/>
      <c r="O74" s="1022"/>
      <c r="P74" s="1022"/>
      <c r="Q74" s="1022"/>
      <c r="R74" s="1022"/>
      <c r="S74" s="1022"/>
      <c r="T74" s="1022"/>
      <c r="U74" s="1022"/>
      <c r="V74" s="1022"/>
      <c r="W74" s="1022"/>
      <c r="X74" s="1022"/>
      <c r="Y74" s="1022"/>
      <c r="Z74" s="1022"/>
      <c r="AA74" s="1022"/>
      <c r="AB74" s="1022"/>
      <c r="AC74" s="1022"/>
      <c r="AD74" s="1022"/>
      <c r="AE74" s="1022"/>
      <c r="AF74" s="1022"/>
      <c r="AG74" s="1022"/>
      <c r="AH74" s="1022"/>
      <c r="AI74" s="1022"/>
    </row>
    <row r="75" spans="1:35" s="407" customFormat="1" ht="12" customHeight="1" thickBot="1" x14ac:dyDescent="0.25">
      <c r="A75" s="1029" t="s">
        <v>187</v>
      </c>
      <c r="B75" s="1023" t="s">
        <v>188</v>
      </c>
      <c r="C75" s="1012">
        <f t="shared" si="11"/>
        <v>18826271</v>
      </c>
      <c r="D75" s="1024"/>
      <c r="E75" s="1024"/>
      <c r="F75" s="1024"/>
      <c r="G75" s="1024"/>
      <c r="H75" s="1024"/>
      <c r="I75" s="1024"/>
      <c r="J75" s="1024"/>
      <c r="K75" s="1024"/>
      <c r="L75" s="1024"/>
      <c r="M75" s="1024"/>
      <c r="N75" s="1024"/>
      <c r="O75" s="1024"/>
      <c r="P75" s="1024"/>
      <c r="Q75" s="1024"/>
      <c r="R75" s="1024"/>
      <c r="S75" s="1024"/>
      <c r="T75" s="1024"/>
      <c r="U75" s="1024"/>
      <c r="V75" s="1024"/>
      <c r="W75" s="1024"/>
      <c r="X75" s="1024"/>
      <c r="Y75" s="1024"/>
      <c r="Z75" s="1024"/>
      <c r="AA75" s="1024"/>
      <c r="AB75" s="1024"/>
      <c r="AC75" s="1024"/>
      <c r="AD75" s="1024"/>
      <c r="AE75" s="1024"/>
      <c r="AF75" s="1024"/>
      <c r="AG75" s="1024"/>
      <c r="AH75" s="1024">
        <f>SUM(AH76:AH78)</f>
        <v>18826271</v>
      </c>
      <c r="AI75" s="1024"/>
    </row>
    <row r="76" spans="1:35" s="407" customFormat="1" ht="12" customHeight="1" x14ac:dyDescent="0.2">
      <c r="A76" s="1013" t="s">
        <v>189</v>
      </c>
      <c r="B76" s="1014" t="s">
        <v>190</v>
      </c>
      <c r="C76" s="819">
        <f t="shared" si="11"/>
        <v>18826271</v>
      </c>
      <c r="D76" s="1015"/>
      <c r="E76" s="1015"/>
      <c r="F76" s="1015"/>
      <c r="G76" s="1015"/>
      <c r="H76" s="1015"/>
      <c r="I76" s="1015"/>
      <c r="J76" s="1015"/>
      <c r="K76" s="1015"/>
      <c r="L76" s="1015"/>
      <c r="M76" s="1015"/>
      <c r="N76" s="1015"/>
      <c r="O76" s="1015"/>
      <c r="P76" s="1015"/>
      <c r="Q76" s="1015"/>
      <c r="R76" s="1015"/>
      <c r="S76" s="1015"/>
      <c r="T76" s="1015"/>
      <c r="U76" s="1015"/>
      <c r="V76" s="1015"/>
      <c r="W76" s="1015"/>
      <c r="X76" s="1015"/>
      <c r="Y76" s="1015"/>
      <c r="Z76" s="1015"/>
      <c r="AA76" s="1015"/>
      <c r="AB76" s="1015"/>
      <c r="AC76" s="1015"/>
      <c r="AD76" s="1015"/>
      <c r="AE76" s="1015"/>
      <c r="AF76" s="1015"/>
      <c r="AG76" s="1015"/>
      <c r="AH76" s="402">
        <v>18826271</v>
      </c>
      <c r="AI76" s="1015"/>
    </row>
    <row r="77" spans="1:35" s="407" customFormat="1" ht="12" customHeight="1" x14ac:dyDescent="0.2">
      <c r="A77" s="1016" t="s">
        <v>191</v>
      </c>
      <c r="B77" s="1017" t="s">
        <v>192</v>
      </c>
      <c r="C77" s="819">
        <f t="shared" si="11"/>
        <v>0</v>
      </c>
      <c r="D77" s="1018"/>
      <c r="E77" s="1018"/>
      <c r="F77" s="1018"/>
      <c r="G77" s="1018"/>
      <c r="H77" s="1018"/>
      <c r="I77" s="1018"/>
      <c r="J77" s="1018"/>
      <c r="K77" s="1018"/>
      <c r="L77" s="1018"/>
      <c r="M77" s="1018"/>
      <c r="N77" s="1018"/>
      <c r="O77" s="1018"/>
      <c r="P77" s="1018"/>
      <c r="Q77" s="1018"/>
      <c r="R77" s="1018"/>
      <c r="S77" s="1018"/>
      <c r="T77" s="1018"/>
      <c r="U77" s="1018"/>
      <c r="V77" s="1018"/>
      <c r="W77" s="1018"/>
      <c r="X77" s="1018"/>
      <c r="Y77" s="1018"/>
      <c r="Z77" s="1018"/>
      <c r="AA77" s="1018"/>
      <c r="AB77" s="1018"/>
      <c r="AC77" s="1018"/>
      <c r="AD77" s="1018"/>
      <c r="AE77" s="1018"/>
      <c r="AF77" s="1018"/>
      <c r="AG77" s="1018"/>
      <c r="AH77" s="1018"/>
      <c r="AI77" s="1018"/>
    </row>
    <row r="78" spans="1:35" s="407" customFormat="1" ht="12" customHeight="1" thickBot="1" x14ac:dyDescent="0.25">
      <c r="A78" s="1019" t="s">
        <v>193</v>
      </c>
      <c r="B78" s="1027" t="s">
        <v>194</v>
      </c>
      <c r="C78" s="1021">
        <f t="shared" si="11"/>
        <v>0</v>
      </c>
      <c r="D78" s="1022"/>
      <c r="E78" s="1022"/>
      <c r="F78" s="1022"/>
      <c r="G78" s="1022"/>
      <c r="H78" s="1022"/>
      <c r="I78" s="1022"/>
      <c r="J78" s="1022"/>
      <c r="K78" s="1022"/>
      <c r="L78" s="1022"/>
      <c r="M78" s="1022"/>
      <c r="N78" s="1022"/>
      <c r="O78" s="1022"/>
      <c r="P78" s="1022"/>
      <c r="Q78" s="1022"/>
      <c r="R78" s="1022"/>
      <c r="S78" s="1022"/>
      <c r="T78" s="1022"/>
      <c r="U78" s="1022"/>
      <c r="V78" s="1022"/>
      <c r="W78" s="1022"/>
      <c r="X78" s="1022"/>
      <c r="Y78" s="1022"/>
      <c r="Z78" s="1022"/>
      <c r="AA78" s="1022"/>
      <c r="AB78" s="1022"/>
      <c r="AC78" s="1022"/>
      <c r="AD78" s="1022"/>
      <c r="AE78" s="1022"/>
      <c r="AF78" s="1022"/>
      <c r="AG78" s="1022"/>
      <c r="AH78" s="1022"/>
      <c r="AI78" s="1022"/>
    </row>
    <row r="79" spans="1:35" s="407" customFormat="1" ht="12" customHeight="1" thickBot="1" x14ac:dyDescent="0.25">
      <c r="A79" s="1029" t="s">
        <v>195</v>
      </c>
      <c r="B79" s="1023" t="s">
        <v>196</v>
      </c>
      <c r="C79" s="1026">
        <f t="shared" si="11"/>
        <v>0</v>
      </c>
      <c r="D79" s="1024"/>
      <c r="E79" s="1024"/>
      <c r="F79" s="1024"/>
      <c r="G79" s="1024"/>
      <c r="H79" s="1024"/>
      <c r="I79" s="1024"/>
      <c r="J79" s="1024"/>
      <c r="K79" s="1024"/>
      <c r="L79" s="1024"/>
      <c r="M79" s="1024"/>
      <c r="N79" s="1024"/>
      <c r="O79" s="1024"/>
      <c r="P79" s="1024"/>
      <c r="Q79" s="1024"/>
      <c r="R79" s="1024"/>
      <c r="S79" s="1024"/>
      <c r="T79" s="1024"/>
      <c r="U79" s="1024"/>
      <c r="V79" s="1024"/>
      <c r="W79" s="1024"/>
      <c r="X79" s="1024"/>
      <c r="Y79" s="1024"/>
      <c r="Z79" s="1024"/>
      <c r="AA79" s="1024"/>
      <c r="AB79" s="1024"/>
      <c r="AC79" s="1024"/>
      <c r="AD79" s="1024"/>
      <c r="AE79" s="1024"/>
      <c r="AF79" s="1024"/>
      <c r="AG79" s="1024"/>
      <c r="AH79" s="1024"/>
      <c r="AI79" s="1024"/>
    </row>
    <row r="80" spans="1:35" s="407" customFormat="1" ht="12" customHeight="1" x14ac:dyDescent="0.2">
      <c r="A80" s="1031" t="s">
        <v>197</v>
      </c>
      <c r="B80" s="1014" t="s">
        <v>198</v>
      </c>
      <c r="C80" s="819">
        <f t="shared" si="11"/>
        <v>0</v>
      </c>
      <c r="D80" s="1015"/>
      <c r="E80" s="1015"/>
      <c r="F80" s="1015"/>
      <c r="G80" s="1015"/>
      <c r="H80" s="1015"/>
      <c r="I80" s="1015"/>
      <c r="J80" s="1015"/>
      <c r="K80" s="1015"/>
      <c r="L80" s="1015"/>
      <c r="M80" s="1015"/>
      <c r="N80" s="1015"/>
      <c r="O80" s="1015"/>
      <c r="P80" s="1015"/>
      <c r="Q80" s="1015"/>
      <c r="R80" s="1015"/>
      <c r="S80" s="1015"/>
      <c r="T80" s="1015"/>
      <c r="U80" s="1015"/>
      <c r="V80" s="1015"/>
      <c r="W80" s="1015"/>
      <c r="X80" s="1015"/>
      <c r="Y80" s="1015"/>
      <c r="Z80" s="1015"/>
      <c r="AA80" s="1015"/>
      <c r="AB80" s="1015"/>
      <c r="AC80" s="1015"/>
      <c r="AD80" s="1015"/>
      <c r="AE80" s="1015"/>
      <c r="AF80" s="1015"/>
      <c r="AG80" s="1015"/>
      <c r="AH80" s="1015"/>
      <c r="AI80" s="1015"/>
    </row>
    <row r="81" spans="1:35" s="407" customFormat="1" ht="12" customHeight="1" x14ac:dyDescent="0.2">
      <c r="A81" s="1032" t="s">
        <v>199</v>
      </c>
      <c r="B81" s="1017" t="s">
        <v>200</v>
      </c>
      <c r="C81" s="819">
        <f t="shared" si="11"/>
        <v>0</v>
      </c>
      <c r="D81" s="1018"/>
      <c r="E81" s="1018"/>
      <c r="F81" s="1018"/>
      <c r="G81" s="1018"/>
      <c r="H81" s="1018"/>
      <c r="I81" s="1018"/>
      <c r="J81" s="1018"/>
      <c r="K81" s="1018"/>
      <c r="L81" s="1018"/>
      <c r="M81" s="1018"/>
      <c r="N81" s="1018"/>
      <c r="O81" s="1018"/>
      <c r="P81" s="1018"/>
      <c r="Q81" s="1018"/>
      <c r="R81" s="1018"/>
      <c r="S81" s="1018"/>
      <c r="T81" s="1018"/>
      <c r="U81" s="1018"/>
      <c r="V81" s="1018"/>
      <c r="W81" s="1018"/>
      <c r="X81" s="1018"/>
      <c r="Y81" s="1018"/>
      <c r="Z81" s="1018"/>
      <c r="AA81" s="1018"/>
      <c r="AB81" s="1018"/>
      <c r="AC81" s="1018"/>
      <c r="AD81" s="1018"/>
      <c r="AE81" s="1018"/>
      <c r="AF81" s="1018"/>
      <c r="AG81" s="1018"/>
      <c r="AH81" s="1018"/>
      <c r="AI81" s="1018"/>
    </row>
    <row r="82" spans="1:35" s="407" customFormat="1" ht="12" customHeight="1" x14ac:dyDescent="0.2">
      <c r="A82" s="1032" t="s">
        <v>201</v>
      </c>
      <c r="B82" s="1017" t="s">
        <v>202</v>
      </c>
      <c r="C82" s="819">
        <f t="shared" si="11"/>
        <v>0</v>
      </c>
      <c r="D82" s="1018"/>
      <c r="E82" s="1018"/>
      <c r="F82" s="1018"/>
      <c r="G82" s="1018"/>
      <c r="H82" s="1018"/>
      <c r="I82" s="1018"/>
      <c r="J82" s="1018"/>
      <c r="K82" s="1018"/>
      <c r="L82" s="1018"/>
      <c r="M82" s="1018"/>
      <c r="N82" s="1018"/>
      <c r="O82" s="1018"/>
      <c r="P82" s="1018"/>
      <c r="Q82" s="1018"/>
      <c r="R82" s="1018"/>
      <c r="S82" s="1018"/>
      <c r="T82" s="1018"/>
      <c r="U82" s="1018"/>
      <c r="V82" s="1018"/>
      <c r="W82" s="1018"/>
      <c r="X82" s="1018"/>
      <c r="Y82" s="1018"/>
      <c r="Z82" s="1018"/>
      <c r="AA82" s="1018"/>
      <c r="AB82" s="1018"/>
      <c r="AC82" s="1018"/>
      <c r="AD82" s="1018"/>
      <c r="AE82" s="1018"/>
      <c r="AF82" s="1018"/>
      <c r="AG82" s="1018"/>
      <c r="AH82" s="1018"/>
      <c r="AI82" s="1018"/>
    </row>
    <row r="83" spans="1:35" s="407" customFormat="1" ht="12" customHeight="1" thickBot="1" x14ac:dyDescent="0.25">
      <c r="A83" s="1030" t="s">
        <v>203</v>
      </c>
      <c r="B83" s="1027" t="s">
        <v>204</v>
      </c>
      <c r="C83" s="1021">
        <f t="shared" si="11"/>
        <v>0</v>
      </c>
      <c r="D83" s="1022"/>
      <c r="E83" s="1022"/>
      <c r="F83" s="1022"/>
      <c r="G83" s="1022"/>
      <c r="H83" s="1022"/>
      <c r="I83" s="1022"/>
      <c r="J83" s="1022"/>
      <c r="K83" s="1022"/>
      <c r="L83" s="1022"/>
      <c r="M83" s="1022"/>
      <c r="N83" s="1022"/>
      <c r="O83" s="1022"/>
      <c r="P83" s="1022"/>
      <c r="Q83" s="1022"/>
      <c r="R83" s="1022"/>
      <c r="S83" s="1022"/>
      <c r="T83" s="1022"/>
      <c r="U83" s="1022"/>
      <c r="V83" s="1022"/>
      <c r="W83" s="1022"/>
      <c r="X83" s="1022"/>
      <c r="Y83" s="1022"/>
      <c r="Z83" s="1022"/>
      <c r="AA83" s="1022"/>
      <c r="AB83" s="1022"/>
      <c r="AC83" s="1022"/>
      <c r="AD83" s="1022"/>
      <c r="AE83" s="1022"/>
      <c r="AF83" s="1022"/>
      <c r="AG83" s="1022"/>
      <c r="AH83" s="1022"/>
      <c r="AI83" s="1022"/>
    </row>
    <row r="84" spans="1:35" s="407" customFormat="1" ht="12" customHeight="1" thickBot="1" x14ac:dyDescent="0.25">
      <c r="A84" s="1029" t="s">
        <v>205</v>
      </c>
      <c r="B84" s="1023" t="s">
        <v>206</v>
      </c>
      <c r="C84" s="1026">
        <f t="shared" si="11"/>
        <v>0</v>
      </c>
      <c r="D84" s="1024"/>
      <c r="E84" s="1024"/>
      <c r="F84" s="1024"/>
      <c r="G84" s="1024"/>
      <c r="H84" s="1024"/>
      <c r="I84" s="1024"/>
      <c r="J84" s="1024"/>
      <c r="K84" s="1024"/>
      <c r="L84" s="1024"/>
      <c r="M84" s="1024"/>
      <c r="N84" s="1024"/>
      <c r="O84" s="1024"/>
      <c r="P84" s="1024"/>
      <c r="Q84" s="1024"/>
      <c r="R84" s="1024"/>
      <c r="S84" s="1024"/>
      <c r="T84" s="1024"/>
      <c r="U84" s="1024"/>
      <c r="V84" s="1024"/>
      <c r="W84" s="1024"/>
      <c r="X84" s="1024"/>
      <c r="Y84" s="1024"/>
      <c r="Z84" s="1024"/>
      <c r="AA84" s="1024"/>
      <c r="AB84" s="1024"/>
      <c r="AC84" s="1024"/>
      <c r="AD84" s="1024"/>
      <c r="AE84" s="1024"/>
      <c r="AF84" s="1024"/>
      <c r="AG84" s="1024"/>
      <c r="AH84" s="1024"/>
      <c r="AI84" s="1024"/>
    </row>
    <row r="85" spans="1:35" s="407" customFormat="1" ht="10.8" thickBot="1" x14ac:dyDescent="0.25">
      <c r="A85" s="1029" t="s">
        <v>207</v>
      </c>
      <c r="B85" s="1029" t="s">
        <v>208</v>
      </c>
      <c r="C85" s="1012">
        <f>C84+C79+C75+C72+C67+C63</f>
        <v>140528858</v>
      </c>
      <c r="D85" s="816">
        <f t="shared" ref="D85:AI85" si="12">+D63+D67+D72+D75+D79+D84</f>
        <v>0</v>
      </c>
      <c r="E85" s="816">
        <f t="shared" si="12"/>
        <v>0</v>
      </c>
      <c r="F85" s="816">
        <f t="shared" si="12"/>
        <v>0</v>
      </c>
      <c r="G85" s="816">
        <f t="shared" si="12"/>
        <v>0</v>
      </c>
      <c r="H85" s="816">
        <f t="shared" si="12"/>
        <v>0</v>
      </c>
      <c r="I85" s="816">
        <f t="shared" si="12"/>
        <v>0</v>
      </c>
      <c r="J85" s="816">
        <f t="shared" si="12"/>
        <v>0</v>
      </c>
      <c r="K85" s="816">
        <f t="shared" si="12"/>
        <v>0</v>
      </c>
      <c r="L85" s="816"/>
      <c r="M85" s="816">
        <f t="shared" si="12"/>
        <v>0</v>
      </c>
      <c r="N85" s="816">
        <f t="shared" si="12"/>
        <v>0</v>
      </c>
      <c r="O85" s="816">
        <f t="shared" si="12"/>
        <v>0</v>
      </c>
      <c r="P85" s="816"/>
      <c r="Q85" s="816">
        <f t="shared" si="12"/>
        <v>0</v>
      </c>
      <c r="R85" s="816">
        <f t="shared" si="12"/>
        <v>0</v>
      </c>
      <c r="S85" s="816">
        <f t="shared" si="12"/>
        <v>0</v>
      </c>
      <c r="T85" s="816">
        <f t="shared" si="12"/>
        <v>0</v>
      </c>
      <c r="U85" s="816">
        <f t="shared" si="12"/>
        <v>0</v>
      </c>
      <c r="V85" s="816">
        <f t="shared" si="12"/>
        <v>0</v>
      </c>
      <c r="W85" s="816"/>
      <c r="X85" s="816">
        <f t="shared" si="12"/>
        <v>0</v>
      </c>
      <c r="Y85" s="816">
        <f t="shared" si="12"/>
        <v>0</v>
      </c>
      <c r="Z85" s="816">
        <f t="shared" si="12"/>
        <v>0</v>
      </c>
      <c r="AA85" s="816">
        <f t="shared" si="12"/>
        <v>0</v>
      </c>
      <c r="AB85" s="816">
        <f t="shared" si="12"/>
        <v>0</v>
      </c>
      <c r="AC85" s="816">
        <f t="shared" si="12"/>
        <v>0</v>
      </c>
      <c r="AD85" s="816">
        <f t="shared" si="12"/>
        <v>0</v>
      </c>
      <c r="AE85" s="816">
        <f t="shared" si="12"/>
        <v>0</v>
      </c>
      <c r="AF85" s="816">
        <f t="shared" si="12"/>
        <v>0</v>
      </c>
      <c r="AG85" s="816">
        <f t="shared" si="12"/>
        <v>0</v>
      </c>
      <c r="AH85" s="816">
        <f t="shared" si="12"/>
        <v>18826271</v>
      </c>
      <c r="AI85" s="816">
        <f t="shared" si="12"/>
        <v>0</v>
      </c>
    </row>
    <row r="86" spans="1:35" s="407" customFormat="1" ht="10.8" thickBot="1" x14ac:dyDescent="0.25">
      <c r="A86" s="1029" t="s">
        <v>209</v>
      </c>
      <c r="B86" s="1029" t="s">
        <v>210</v>
      </c>
      <c r="C86" s="1012">
        <f>C85+C62</f>
        <v>1810416301</v>
      </c>
      <c r="D86" s="816">
        <f t="shared" ref="D86:AI86" si="13">+D62+D85</f>
        <v>0</v>
      </c>
      <c r="E86" s="816">
        <f t="shared" si="13"/>
        <v>725000000</v>
      </c>
      <c r="F86" s="816">
        <f t="shared" si="13"/>
        <v>270900000</v>
      </c>
      <c r="G86" s="816">
        <f t="shared" si="13"/>
        <v>0</v>
      </c>
      <c r="H86" s="816">
        <f t="shared" si="13"/>
        <v>0</v>
      </c>
      <c r="I86" s="816">
        <f t="shared" si="13"/>
        <v>0</v>
      </c>
      <c r="J86" s="816">
        <f t="shared" si="13"/>
        <v>0</v>
      </c>
      <c r="K86" s="816">
        <f t="shared" si="13"/>
        <v>0</v>
      </c>
      <c r="L86" s="816"/>
      <c r="M86" s="816">
        <f t="shared" si="13"/>
        <v>50000000</v>
      </c>
      <c r="N86" s="816">
        <f t="shared" si="13"/>
        <v>8000000</v>
      </c>
      <c r="O86" s="816">
        <f t="shared" si="13"/>
        <v>2000000</v>
      </c>
      <c r="P86" s="816"/>
      <c r="Q86" s="816">
        <f t="shared" si="13"/>
        <v>0</v>
      </c>
      <c r="R86" s="816">
        <f t="shared" si="13"/>
        <v>0</v>
      </c>
      <c r="S86" s="816">
        <f t="shared" si="13"/>
        <v>0</v>
      </c>
      <c r="T86" s="816">
        <f t="shared" si="13"/>
        <v>0</v>
      </c>
      <c r="U86" s="816">
        <f t="shared" si="13"/>
        <v>0</v>
      </c>
      <c r="V86" s="816">
        <f t="shared" si="13"/>
        <v>0</v>
      </c>
      <c r="W86" s="816"/>
      <c r="X86" s="816">
        <f t="shared" si="13"/>
        <v>0</v>
      </c>
      <c r="Y86" s="816">
        <f t="shared" si="13"/>
        <v>0</v>
      </c>
      <c r="Z86" s="816">
        <f t="shared" si="13"/>
        <v>0</v>
      </c>
      <c r="AA86" s="816">
        <f t="shared" si="13"/>
        <v>0</v>
      </c>
      <c r="AB86" s="816">
        <f t="shared" si="13"/>
        <v>22000000</v>
      </c>
      <c r="AC86" s="816">
        <f t="shared" si="13"/>
        <v>0</v>
      </c>
      <c r="AD86" s="816">
        <f t="shared" si="13"/>
        <v>10000000</v>
      </c>
      <c r="AE86" s="816">
        <f t="shared" si="13"/>
        <v>0</v>
      </c>
      <c r="AF86" s="816">
        <f t="shared" si="13"/>
        <v>0</v>
      </c>
      <c r="AG86" s="816">
        <f t="shared" si="13"/>
        <v>0</v>
      </c>
      <c r="AH86" s="816">
        <f t="shared" si="13"/>
        <v>570313834</v>
      </c>
      <c r="AI86" s="816">
        <f t="shared" si="13"/>
        <v>0</v>
      </c>
    </row>
    <row r="87" spans="1:35" s="407" customFormat="1" ht="12" customHeight="1" x14ac:dyDescent="0.2">
      <c r="A87" s="1033"/>
      <c r="B87" s="1033"/>
      <c r="C87" s="1034"/>
      <c r="D87" s="1035"/>
      <c r="E87" s="1035"/>
      <c r="F87" s="1035"/>
      <c r="G87" s="1035"/>
      <c r="H87" s="1035"/>
      <c r="I87" s="1035"/>
      <c r="J87" s="1035"/>
      <c r="K87" s="1035"/>
      <c r="L87" s="1035"/>
      <c r="M87" s="1035"/>
      <c r="N87" s="1035"/>
      <c r="O87" s="1035"/>
      <c r="P87" s="1035"/>
      <c r="Q87" s="1035"/>
      <c r="R87" s="1035"/>
      <c r="S87" s="1035"/>
      <c r="T87" s="1035"/>
      <c r="U87" s="1035"/>
      <c r="V87" s="1035"/>
      <c r="W87" s="1035"/>
      <c r="X87" s="1035"/>
      <c r="Y87" s="1035"/>
      <c r="Z87" s="1035"/>
      <c r="AA87" s="1035"/>
      <c r="AB87" s="1035"/>
      <c r="AC87" s="1035"/>
      <c r="AD87" s="1035"/>
      <c r="AE87" s="1035"/>
      <c r="AF87" s="1035"/>
      <c r="AG87" s="1035"/>
      <c r="AH87" s="1035"/>
      <c r="AI87" s="1036"/>
    </row>
    <row r="88" spans="1:35" ht="16.5" customHeight="1" x14ac:dyDescent="0.3">
      <c r="A88" s="1668" t="s">
        <v>211</v>
      </c>
      <c r="B88" s="1668"/>
      <c r="C88" s="1669"/>
      <c r="D88" s="1037"/>
      <c r="E88" s="1037"/>
      <c r="F88" s="1037"/>
      <c r="G88" s="1037"/>
      <c r="H88" s="1037"/>
      <c r="I88" s="1037"/>
      <c r="J88" s="1037"/>
      <c r="K88" s="1037"/>
      <c r="L88" s="1037"/>
      <c r="M88" s="1037"/>
      <c r="N88" s="1037"/>
      <c r="O88" s="1037"/>
      <c r="P88" s="1037"/>
      <c r="Q88" s="1037"/>
      <c r="R88" s="1037"/>
      <c r="S88" s="1037"/>
      <c r="T88" s="1037"/>
      <c r="U88" s="1037"/>
      <c r="V88" s="1037"/>
      <c r="W88" s="1037"/>
      <c r="X88" s="1037"/>
      <c r="Y88" s="1037"/>
      <c r="Z88" s="1037"/>
      <c r="AA88" s="1037"/>
      <c r="AB88" s="1037"/>
      <c r="AC88" s="1037"/>
      <c r="AD88" s="1037"/>
      <c r="AE88" s="1037"/>
      <c r="AF88" s="1037"/>
      <c r="AG88" s="1037"/>
      <c r="AH88" s="1037"/>
      <c r="AI88" s="1037"/>
    </row>
    <row r="89" spans="1:35" s="1042" customFormat="1" ht="16.5" customHeight="1" thickBot="1" x14ac:dyDescent="0.3">
      <c r="A89" s="1038" t="s">
        <v>2114</v>
      </c>
      <c r="B89" s="1038"/>
      <c r="C89" s="1039"/>
      <c r="D89" s="1040"/>
      <c r="E89" s="1040"/>
      <c r="F89" s="1040"/>
      <c r="G89" s="1040"/>
      <c r="H89" s="1040"/>
      <c r="I89" s="1040"/>
      <c r="J89" s="1040"/>
      <c r="K89" s="1040"/>
      <c r="L89" s="1040"/>
      <c r="M89" s="1040"/>
      <c r="N89" s="1040"/>
      <c r="O89" s="1040"/>
      <c r="P89" s="1040"/>
      <c r="Q89" s="1040"/>
      <c r="R89" s="1040"/>
      <c r="S89" s="1040"/>
      <c r="T89" s="1040"/>
      <c r="U89" s="1040"/>
      <c r="V89" s="1040"/>
      <c r="W89" s="1040"/>
      <c r="X89" s="1040"/>
      <c r="Y89" s="1040"/>
      <c r="Z89" s="1040"/>
      <c r="AA89" s="1040"/>
      <c r="AB89" s="1040"/>
      <c r="AC89" s="1040"/>
      <c r="AD89" s="1040"/>
      <c r="AE89" s="1040"/>
      <c r="AF89" s="1040"/>
      <c r="AG89" s="1040"/>
      <c r="AH89" s="1040"/>
      <c r="AI89" s="1041" t="s">
        <v>1689</v>
      </c>
    </row>
    <row r="90" spans="1:35" s="1007" customFormat="1" ht="61.8" thickBot="1" x14ac:dyDescent="0.25">
      <c r="A90" s="1005" t="s">
        <v>588</v>
      </c>
      <c r="B90" s="1005" t="s">
        <v>213</v>
      </c>
      <c r="C90" s="1005" t="s">
        <v>1949</v>
      </c>
      <c r="D90" s="1005" t="s">
        <v>1950</v>
      </c>
      <c r="E90" s="1005" t="s">
        <v>2193</v>
      </c>
      <c r="F90" s="1005" t="s">
        <v>1952</v>
      </c>
      <c r="G90" s="1005" t="s">
        <v>1953</v>
      </c>
      <c r="H90" s="1005" t="s">
        <v>1954</v>
      </c>
      <c r="I90" s="1005" t="s">
        <v>1955</v>
      </c>
      <c r="J90" s="1005" t="s">
        <v>1956</v>
      </c>
      <c r="K90" s="1005" t="s">
        <v>1957</v>
      </c>
      <c r="L90" s="1005"/>
      <c r="M90" s="1005" t="s">
        <v>2006</v>
      </c>
      <c r="N90" s="1005" t="s">
        <v>1960</v>
      </c>
      <c r="O90" s="1005" t="s">
        <v>1961</v>
      </c>
      <c r="P90" s="1005" t="s">
        <v>1962</v>
      </c>
      <c r="Q90" s="1005" t="s">
        <v>1963</v>
      </c>
      <c r="R90" s="1005" t="s">
        <v>1964</v>
      </c>
      <c r="S90" s="1005" t="s">
        <v>1965</v>
      </c>
      <c r="T90" s="1005" t="s">
        <v>1966</v>
      </c>
      <c r="U90" s="1005" t="s">
        <v>1967</v>
      </c>
      <c r="V90" s="1005" t="s">
        <v>1968</v>
      </c>
      <c r="W90" s="1005"/>
      <c r="X90" s="1005" t="s">
        <v>1970</v>
      </c>
      <c r="Y90" s="1005" t="s">
        <v>1971</v>
      </c>
      <c r="Z90" s="1005" t="s">
        <v>1972</v>
      </c>
      <c r="AA90" s="1005" t="s">
        <v>1973</v>
      </c>
      <c r="AB90" s="1005" t="s">
        <v>1974</v>
      </c>
      <c r="AC90" s="1005" t="s">
        <v>1975</v>
      </c>
      <c r="AD90" s="1005" t="s">
        <v>1976</v>
      </c>
      <c r="AE90" s="1005" t="s">
        <v>1977</v>
      </c>
      <c r="AF90" s="1005" t="s">
        <v>1978</v>
      </c>
      <c r="AG90" s="1005" t="s">
        <v>1979</v>
      </c>
      <c r="AH90" s="1005" t="s">
        <v>1980</v>
      </c>
      <c r="AI90" s="1005" t="s">
        <v>1981</v>
      </c>
    </row>
    <row r="91" spans="1:35" s="1010" customFormat="1" ht="12" customHeight="1" thickBot="1" x14ac:dyDescent="0.3">
      <c r="A91" s="1008" t="s">
        <v>46</v>
      </c>
      <c r="B91" s="1008" t="s">
        <v>47</v>
      </c>
      <c r="C91" s="1008" t="s">
        <v>48</v>
      </c>
      <c r="D91" s="1009" t="s">
        <v>49</v>
      </c>
      <c r="E91" s="1009" t="s">
        <v>50</v>
      </c>
      <c r="F91" s="1009" t="s">
        <v>294</v>
      </c>
      <c r="G91" s="1009" t="s">
        <v>295</v>
      </c>
      <c r="H91" s="1009" t="s">
        <v>296</v>
      </c>
      <c r="I91" s="1009" t="s">
        <v>297</v>
      </c>
      <c r="J91" s="1009" t="s">
        <v>399</v>
      </c>
      <c r="K91" s="1009" t="s">
        <v>400</v>
      </c>
      <c r="L91" s="1009"/>
      <c r="M91" s="1009" t="s">
        <v>1982</v>
      </c>
      <c r="N91" s="1009" t="s">
        <v>1985</v>
      </c>
      <c r="O91" s="1009" t="s">
        <v>1986</v>
      </c>
      <c r="P91" s="1009"/>
      <c r="Q91" s="1009" t="s">
        <v>1987</v>
      </c>
      <c r="R91" s="1009" t="s">
        <v>1988</v>
      </c>
      <c r="S91" s="1009" t="s">
        <v>1989</v>
      </c>
      <c r="T91" s="1009" t="s">
        <v>1990</v>
      </c>
      <c r="U91" s="1009" t="s">
        <v>1991</v>
      </c>
      <c r="V91" s="1009" t="s">
        <v>1992</v>
      </c>
      <c r="W91" s="1009"/>
      <c r="X91" s="1009" t="s">
        <v>1993</v>
      </c>
      <c r="Y91" s="1009" t="s">
        <v>1994</v>
      </c>
      <c r="Z91" s="1009" t="s">
        <v>1995</v>
      </c>
      <c r="AA91" s="1009" t="s">
        <v>1996</v>
      </c>
      <c r="AB91" s="1009" t="s">
        <v>1997</v>
      </c>
      <c r="AC91" s="1009" t="s">
        <v>1998</v>
      </c>
      <c r="AD91" s="1009" t="s">
        <v>1999</v>
      </c>
      <c r="AE91" s="1009" t="s">
        <v>2000</v>
      </c>
      <c r="AF91" s="1009" t="s">
        <v>2001</v>
      </c>
      <c r="AG91" s="1009" t="s">
        <v>2002</v>
      </c>
      <c r="AH91" s="1009" t="s">
        <v>2003</v>
      </c>
      <c r="AI91" s="1009" t="s">
        <v>2004</v>
      </c>
    </row>
    <row r="92" spans="1:35" ht="12" customHeight="1" thickBot="1" x14ac:dyDescent="0.25">
      <c r="A92" s="1011" t="s">
        <v>51</v>
      </c>
      <c r="B92" s="1043" t="s">
        <v>288</v>
      </c>
      <c r="C92" s="817">
        <f>SUM(C93:C97)</f>
        <v>540087441</v>
      </c>
      <c r="D92" s="817">
        <f t="shared" ref="D92:AI92" si="14">SUM(D93:D97)</f>
        <v>48177450</v>
      </c>
      <c r="E92" s="817">
        <f t="shared" si="14"/>
        <v>20671961</v>
      </c>
      <c r="F92" s="817">
        <f t="shared" si="14"/>
        <v>145530648</v>
      </c>
      <c r="G92" s="817">
        <f t="shared" si="14"/>
        <v>27774256</v>
      </c>
      <c r="H92" s="817">
        <f t="shared" si="14"/>
        <v>11073612</v>
      </c>
      <c r="I92" s="817">
        <f t="shared" si="14"/>
        <v>66566466</v>
      </c>
      <c r="J92" s="817">
        <f t="shared" si="14"/>
        <v>515000</v>
      </c>
      <c r="K92" s="817">
        <f t="shared" si="14"/>
        <v>0</v>
      </c>
      <c r="L92" s="817"/>
      <c r="M92" s="817">
        <f t="shared" si="14"/>
        <v>15697200</v>
      </c>
      <c r="N92" s="817">
        <f t="shared" si="14"/>
        <v>6350000</v>
      </c>
      <c r="O92" s="817">
        <f t="shared" si="14"/>
        <v>1560000</v>
      </c>
      <c r="P92" s="817"/>
      <c r="Q92" s="817">
        <f t="shared" si="14"/>
        <v>0</v>
      </c>
      <c r="R92" s="817">
        <f t="shared" si="14"/>
        <v>10000000</v>
      </c>
      <c r="S92" s="817">
        <f t="shared" si="14"/>
        <v>3175000</v>
      </c>
      <c r="T92" s="817">
        <f t="shared" si="14"/>
        <v>10144790</v>
      </c>
      <c r="U92" s="817">
        <f t="shared" si="14"/>
        <v>300000</v>
      </c>
      <c r="V92" s="817">
        <f t="shared" si="14"/>
        <v>5446980</v>
      </c>
      <c r="W92" s="817"/>
      <c r="X92" s="817">
        <f t="shared" si="14"/>
        <v>762000</v>
      </c>
      <c r="Y92" s="817">
        <f t="shared" si="14"/>
        <v>990600</v>
      </c>
      <c r="Z92" s="817">
        <f t="shared" si="14"/>
        <v>0</v>
      </c>
      <c r="AA92" s="817">
        <f t="shared" si="14"/>
        <v>0</v>
      </c>
      <c r="AB92" s="817">
        <f t="shared" si="14"/>
        <v>76327000</v>
      </c>
      <c r="AC92" s="817">
        <f t="shared" si="14"/>
        <v>254000</v>
      </c>
      <c r="AD92" s="817">
        <f t="shared" si="14"/>
        <v>635000</v>
      </c>
      <c r="AE92" s="817">
        <f t="shared" si="14"/>
        <v>10296000</v>
      </c>
      <c r="AF92" s="817">
        <f t="shared" si="14"/>
        <v>0</v>
      </c>
      <c r="AG92" s="817">
        <f t="shared" si="14"/>
        <v>0</v>
      </c>
      <c r="AH92" s="817">
        <f t="shared" si="14"/>
        <v>0</v>
      </c>
      <c r="AI92" s="817">
        <f t="shared" si="14"/>
        <v>864000</v>
      </c>
    </row>
    <row r="93" spans="1:35" ht="12" customHeight="1" x14ac:dyDescent="0.2">
      <c r="A93" s="1013" t="s">
        <v>53</v>
      </c>
      <c r="B93" s="1044" t="s">
        <v>215</v>
      </c>
      <c r="C93" s="818">
        <f t="shared" ref="C93:C94" si="15">SUM(D93:AI93)</f>
        <v>60141028</v>
      </c>
      <c r="D93" s="1045"/>
      <c r="E93" s="1045"/>
      <c r="F93" s="1045"/>
      <c r="G93" s="1045">
        <v>22666742</v>
      </c>
      <c r="H93" s="1045"/>
      <c r="I93" s="1045">
        <f>33641286-7000000</f>
        <v>26641286</v>
      </c>
      <c r="J93" s="1045"/>
      <c r="K93" s="1045"/>
      <c r="L93" s="1045">
        <v>10833000</v>
      </c>
      <c r="M93" s="1045"/>
      <c r="N93" s="1045"/>
      <c r="O93" s="1045"/>
      <c r="P93" s="1045"/>
      <c r="Q93" s="1045"/>
      <c r="R93" s="1045"/>
      <c r="S93" s="1045"/>
      <c r="T93" s="1045"/>
      <c r="U93" s="1045"/>
      <c r="V93" s="1045"/>
      <c r="W93" s="1045"/>
      <c r="X93" s="1045"/>
      <c r="Y93" s="1045"/>
      <c r="Z93" s="1045"/>
      <c r="AA93" s="1045"/>
      <c r="AB93" s="1045"/>
      <c r="AC93" s="1045"/>
      <c r="AD93" s="1045"/>
      <c r="AE93" s="1045"/>
      <c r="AF93" s="1045"/>
      <c r="AG93" s="1045"/>
      <c r="AH93" s="1045"/>
      <c r="AI93" s="1045"/>
    </row>
    <row r="94" spans="1:35" ht="12" customHeight="1" x14ac:dyDescent="0.2">
      <c r="A94" s="1016" t="s">
        <v>55</v>
      </c>
      <c r="B94" s="1046" t="s">
        <v>216</v>
      </c>
      <c r="C94" s="818">
        <f t="shared" si="15"/>
        <v>11358111</v>
      </c>
      <c r="D94" s="815">
        <f t="shared" ref="D94:F94" si="16">D93*0.27</f>
        <v>0</v>
      </c>
      <c r="E94" s="815">
        <f t="shared" si="16"/>
        <v>0</v>
      </c>
      <c r="F94" s="815">
        <f t="shared" si="16"/>
        <v>0</v>
      </c>
      <c r="G94" s="815">
        <v>4472514</v>
      </c>
      <c r="H94" s="815">
        <f t="shared" ref="H94:AI94" si="17">H93*0.27</f>
        <v>0</v>
      </c>
      <c r="I94" s="815">
        <v>6560051</v>
      </c>
      <c r="J94" s="815">
        <f t="shared" si="17"/>
        <v>0</v>
      </c>
      <c r="K94" s="815">
        <f t="shared" si="17"/>
        <v>0</v>
      </c>
      <c r="L94" s="815">
        <v>325546</v>
      </c>
      <c r="M94" s="815">
        <f t="shared" si="17"/>
        <v>0</v>
      </c>
      <c r="N94" s="815">
        <f t="shared" si="17"/>
        <v>0</v>
      </c>
      <c r="O94" s="815">
        <f t="shared" si="17"/>
        <v>0</v>
      </c>
      <c r="P94" s="815"/>
      <c r="Q94" s="815">
        <f t="shared" si="17"/>
        <v>0</v>
      </c>
      <c r="R94" s="815">
        <f t="shared" si="17"/>
        <v>0</v>
      </c>
      <c r="S94" s="815">
        <f t="shared" si="17"/>
        <v>0</v>
      </c>
      <c r="T94" s="815">
        <f t="shared" si="17"/>
        <v>0</v>
      </c>
      <c r="U94" s="815">
        <f t="shared" si="17"/>
        <v>0</v>
      </c>
      <c r="V94" s="815">
        <f t="shared" si="17"/>
        <v>0</v>
      </c>
      <c r="W94" s="815"/>
      <c r="X94" s="815">
        <f t="shared" si="17"/>
        <v>0</v>
      </c>
      <c r="Y94" s="815">
        <f t="shared" si="17"/>
        <v>0</v>
      </c>
      <c r="Z94" s="815">
        <f t="shared" si="17"/>
        <v>0</v>
      </c>
      <c r="AA94" s="815">
        <f t="shared" si="17"/>
        <v>0</v>
      </c>
      <c r="AB94" s="815">
        <f t="shared" si="17"/>
        <v>0</v>
      </c>
      <c r="AC94" s="815">
        <f t="shared" si="17"/>
        <v>0</v>
      </c>
      <c r="AD94" s="815">
        <f t="shared" si="17"/>
        <v>0</v>
      </c>
      <c r="AE94" s="815">
        <f t="shared" si="17"/>
        <v>0</v>
      </c>
      <c r="AF94" s="815">
        <f t="shared" si="17"/>
        <v>0</v>
      </c>
      <c r="AG94" s="815">
        <f t="shared" si="17"/>
        <v>0</v>
      </c>
      <c r="AH94" s="815">
        <f t="shared" si="17"/>
        <v>0</v>
      </c>
      <c r="AI94" s="815">
        <f t="shared" si="17"/>
        <v>0</v>
      </c>
    </row>
    <row r="95" spans="1:35" ht="12" customHeight="1" x14ac:dyDescent="0.2">
      <c r="A95" s="1016" t="s">
        <v>57</v>
      </c>
      <c r="B95" s="1046" t="s">
        <v>217</v>
      </c>
      <c r="C95" s="818">
        <f>SUM(D95:AI95)</f>
        <v>373142446</v>
      </c>
      <c r="D95" s="1047">
        <v>48177450</v>
      </c>
      <c r="E95" s="1047"/>
      <c r="F95" s="1047">
        <f>127000000-515000+16793000+2044397-9454</f>
        <v>145312943</v>
      </c>
      <c r="G95" s="1047">
        <v>635000</v>
      </c>
      <c r="H95" s="1047">
        <v>11073612</v>
      </c>
      <c r="I95" s="1047">
        <f>34029129-664000</f>
        <v>33365129</v>
      </c>
      <c r="J95" s="1047"/>
      <c r="K95" s="1047"/>
      <c r="L95" s="1047">
        <v>16276532</v>
      </c>
      <c r="M95" s="1047">
        <v>15697200</v>
      </c>
      <c r="N95" s="1047">
        <v>6350000</v>
      </c>
      <c r="O95" s="1047">
        <v>1560000</v>
      </c>
      <c r="P95" s="1047">
        <v>6240000</v>
      </c>
      <c r="Q95" s="1047"/>
      <c r="R95" s="1047"/>
      <c r="S95" s="1047">
        <v>3175000</v>
      </c>
      <c r="T95" s="1047"/>
      <c r="U95" s="1047"/>
      <c r="V95" s="1047">
        <v>5446980</v>
      </c>
      <c r="W95" s="1047"/>
      <c r="X95" s="1047">
        <v>762000</v>
      </c>
      <c r="Y95" s="1047">
        <v>990600</v>
      </c>
      <c r="Z95" s="1047"/>
      <c r="AA95" s="1047"/>
      <c r="AB95" s="1047">
        <v>76327000</v>
      </c>
      <c r="AC95" s="1047">
        <v>254000</v>
      </c>
      <c r="AD95" s="1047">
        <v>635000</v>
      </c>
      <c r="AE95" s="1047"/>
      <c r="AF95" s="1047"/>
      <c r="AG95" s="1047"/>
      <c r="AH95" s="1047"/>
      <c r="AI95" s="1047">
        <v>864000</v>
      </c>
    </row>
    <row r="96" spans="1:35" ht="12" customHeight="1" x14ac:dyDescent="0.2">
      <c r="A96" s="1016" t="s">
        <v>59</v>
      </c>
      <c r="B96" s="1046" t="s">
        <v>218</v>
      </c>
      <c r="C96" s="818">
        <f t="shared" ref="C96:C144" si="18">SUM(D96:AI96)</f>
        <v>9562495</v>
      </c>
      <c r="D96" s="1048"/>
      <c r="E96" s="1048"/>
      <c r="F96" s="1048">
        <v>217705</v>
      </c>
      <c r="G96" s="1048"/>
      <c r="H96" s="1048"/>
      <c r="I96" s="1048"/>
      <c r="J96" s="1048"/>
      <c r="K96" s="1048"/>
      <c r="L96" s="1048"/>
      <c r="M96" s="1048"/>
      <c r="N96" s="1048"/>
      <c r="O96" s="1048"/>
      <c r="P96" s="1048"/>
      <c r="Q96" s="1048"/>
      <c r="R96" s="1048"/>
      <c r="S96" s="1048"/>
      <c r="T96" s="1048">
        <f>9700000-655210</f>
        <v>9044790</v>
      </c>
      <c r="U96" s="1048">
        <v>300000</v>
      </c>
      <c r="V96" s="1048"/>
      <c r="W96" s="1048"/>
      <c r="X96" s="1048"/>
      <c r="Y96" s="1048"/>
      <c r="Z96" s="1048"/>
      <c r="AA96" s="1048"/>
      <c r="AB96" s="1048"/>
      <c r="AC96" s="1048"/>
      <c r="AD96" s="1048"/>
      <c r="AE96" s="1048"/>
      <c r="AF96" s="1048"/>
      <c r="AG96" s="1048"/>
      <c r="AH96" s="1048"/>
      <c r="AI96" s="1048"/>
    </row>
    <row r="97" spans="1:35" ht="12" customHeight="1" x14ac:dyDescent="0.2">
      <c r="A97" s="1016" t="s">
        <v>219</v>
      </c>
      <c r="B97" s="366" t="s">
        <v>220</v>
      </c>
      <c r="C97" s="818">
        <f t="shared" si="18"/>
        <v>85883361</v>
      </c>
      <c r="D97" s="818">
        <f t="shared" ref="D97:AI97" si="19">SUM(D98:D107)</f>
        <v>0</v>
      </c>
      <c r="E97" s="818">
        <f>21096461-424500</f>
        <v>20671961</v>
      </c>
      <c r="F97" s="818">
        <f t="shared" si="19"/>
        <v>0</v>
      </c>
      <c r="G97" s="818">
        <f t="shared" si="19"/>
        <v>0</v>
      </c>
      <c r="H97" s="818">
        <f t="shared" si="19"/>
        <v>0</v>
      </c>
      <c r="I97" s="818">
        <f t="shared" si="19"/>
        <v>0</v>
      </c>
      <c r="J97" s="818">
        <v>515000</v>
      </c>
      <c r="K97" s="818">
        <f t="shared" si="19"/>
        <v>0</v>
      </c>
      <c r="L97" s="818">
        <v>43300400</v>
      </c>
      <c r="M97" s="818"/>
      <c r="N97" s="818">
        <f t="shared" si="19"/>
        <v>0</v>
      </c>
      <c r="O97" s="818">
        <f t="shared" si="19"/>
        <v>0</v>
      </c>
      <c r="P97" s="818"/>
      <c r="Q97" s="818">
        <f t="shared" si="19"/>
        <v>0</v>
      </c>
      <c r="R97" s="818">
        <v>10000000</v>
      </c>
      <c r="S97" s="818">
        <f t="shared" si="19"/>
        <v>0</v>
      </c>
      <c r="T97" s="818">
        <v>1100000</v>
      </c>
      <c r="U97" s="818"/>
      <c r="V97" s="818">
        <f t="shared" si="19"/>
        <v>0</v>
      </c>
      <c r="W97" s="818"/>
      <c r="X97" s="818">
        <f t="shared" si="19"/>
        <v>0</v>
      </c>
      <c r="Y97" s="818">
        <f t="shared" si="19"/>
        <v>0</v>
      </c>
      <c r="Z97" s="818">
        <f t="shared" si="19"/>
        <v>0</v>
      </c>
      <c r="AA97" s="818">
        <f t="shared" si="19"/>
        <v>0</v>
      </c>
      <c r="AB97" s="818">
        <f t="shared" si="19"/>
        <v>0</v>
      </c>
      <c r="AC97" s="818">
        <f t="shared" si="19"/>
        <v>0</v>
      </c>
      <c r="AD97" s="818">
        <f t="shared" si="19"/>
        <v>0</v>
      </c>
      <c r="AE97" s="818">
        <v>10296000</v>
      </c>
      <c r="AF97" s="818">
        <f t="shared" si="19"/>
        <v>0</v>
      </c>
      <c r="AG97" s="818">
        <f t="shared" si="19"/>
        <v>0</v>
      </c>
      <c r="AH97" s="818"/>
      <c r="AI97" s="818">
        <f t="shared" si="19"/>
        <v>0</v>
      </c>
    </row>
    <row r="98" spans="1:35" ht="12" customHeight="1" x14ac:dyDescent="0.2">
      <c r="A98" s="1016" t="s">
        <v>63</v>
      </c>
      <c r="B98" s="1046" t="s">
        <v>221</v>
      </c>
      <c r="C98" s="818">
        <f t="shared" si="18"/>
        <v>0</v>
      </c>
      <c r="D98" s="1048"/>
      <c r="E98" s="1048"/>
      <c r="F98" s="1048"/>
      <c r="G98" s="1048"/>
      <c r="H98" s="1048"/>
      <c r="I98" s="1048"/>
      <c r="J98" s="1048"/>
      <c r="K98" s="1048"/>
      <c r="L98" s="1048"/>
      <c r="M98" s="1048"/>
      <c r="N98" s="1048"/>
      <c r="O98" s="1048"/>
      <c r="P98" s="1048"/>
      <c r="Q98" s="1048"/>
      <c r="R98" s="1048"/>
      <c r="S98" s="1048"/>
      <c r="T98" s="1048"/>
      <c r="U98" s="1048"/>
      <c r="V98" s="1048"/>
      <c r="W98" s="1048"/>
      <c r="X98" s="1048"/>
      <c r="Y98" s="1048"/>
      <c r="Z98" s="1048"/>
      <c r="AA98" s="1048"/>
      <c r="AB98" s="1048"/>
      <c r="AC98" s="1048"/>
      <c r="AD98" s="1048"/>
      <c r="AE98" s="1048"/>
      <c r="AF98" s="1048"/>
      <c r="AG98" s="1048"/>
      <c r="AH98" s="818"/>
      <c r="AI98" s="1048"/>
    </row>
    <row r="99" spans="1:35" ht="12" customHeight="1" x14ac:dyDescent="0.2">
      <c r="A99" s="1016" t="s">
        <v>222</v>
      </c>
      <c r="B99" s="1049" t="s">
        <v>223</v>
      </c>
      <c r="C99" s="818">
        <f t="shared" si="18"/>
        <v>0</v>
      </c>
      <c r="D99" s="1048"/>
      <c r="E99" s="1048"/>
      <c r="F99" s="1048"/>
      <c r="G99" s="1048"/>
      <c r="H99" s="1048"/>
      <c r="I99" s="1048"/>
      <c r="J99" s="1048"/>
      <c r="K99" s="1048"/>
      <c r="L99" s="1048"/>
      <c r="M99" s="1048"/>
      <c r="N99" s="1048"/>
      <c r="O99" s="1048"/>
      <c r="P99" s="1048"/>
      <c r="Q99" s="1048"/>
      <c r="R99" s="1048"/>
      <c r="S99" s="1048"/>
      <c r="T99" s="1048"/>
      <c r="U99" s="1048"/>
      <c r="V99" s="1048"/>
      <c r="W99" s="1048"/>
      <c r="X99" s="1048"/>
      <c r="Y99" s="1048"/>
      <c r="Z99" s="1048"/>
      <c r="AA99" s="1048"/>
      <c r="AB99" s="1048"/>
      <c r="AC99" s="1048"/>
      <c r="AD99" s="1048"/>
      <c r="AE99" s="1048"/>
      <c r="AF99" s="1048"/>
      <c r="AG99" s="1048"/>
      <c r="AH99" s="1048"/>
      <c r="AI99" s="1048"/>
    </row>
    <row r="100" spans="1:35" ht="12" customHeight="1" x14ac:dyDescent="0.2">
      <c r="A100" s="1016" t="s">
        <v>224</v>
      </c>
      <c r="B100" s="1050" t="s">
        <v>225</v>
      </c>
      <c r="C100" s="818">
        <f t="shared" si="18"/>
        <v>0</v>
      </c>
      <c r="D100" s="1048"/>
      <c r="E100" s="1048"/>
      <c r="F100" s="1048"/>
      <c r="G100" s="1048"/>
      <c r="H100" s="1048"/>
      <c r="I100" s="1048"/>
      <c r="J100" s="1048"/>
      <c r="K100" s="1048"/>
      <c r="L100" s="1048"/>
      <c r="M100" s="1048"/>
      <c r="N100" s="1048"/>
      <c r="O100" s="1048"/>
      <c r="P100" s="1048"/>
      <c r="Q100" s="1048"/>
      <c r="R100" s="1048"/>
      <c r="S100" s="1048"/>
      <c r="T100" s="1048"/>
      <c r="U100" s="1048"/>
      <c r="V100" s="1048"/>
      <c r="W100" s="1048"/>
      <c r="X100" s="1048"/>
      <c r="Y100" s="1048"/>
      <c r="Z100" s="1048"/>
      <c r="AA100" s="1048"/>
      <c r="AB100" s="1048"/>
      <c r="AC100" s="1048"/>
      <c r="AD100" s="1048"/>
      <c r="AE100" s="1048"/>
      <c r="AF100" s="1048"/>
      <c r="AG100" s="1048"/>
      <c r="AH100" s="1048"/>
      <c r="AI100" s="1048"/>
    </row>
    <row r="101" spans="1:35" x14ac:dyDescent="0.2">
      <c r="A101" s="1016" t="s">
        <v>226</v>
      </c>
      <c r="B101" s="1050" t="s">
        <v>227</v>
      </c>
      <c r="C101" s="818">
        <f t="shared" si="18"/>
        <v>0</v>
      </c>
      <c r="D101" s="1048"/>
      <c r="E101" s="1048"/>
      <c r="F101" s="1048"/>
      <c r="G101" s="1048"/>
      <c r="H101" s="1048"/>
      <c r="I101" s="1048"/>
      <c r="J101" s="1048"/>
      <c r="K101" s="1048"/>
      <c r="L101" s="1048"/>
      <c r="M101" s="1048"/>
      <c r="N101" s="1048"/>
      <c r="O101" s="1048"/>
      <c r="P101" s="1048"/>
      <c r="Q101" s="1048"/>
      <c r="R101" s="1048"/>
      <c r="S101" s="1048"/>
      <c r="T101" s="1048"/>
      <c r="U101" s="1048"/>
      <c r="V101" s="1048"/>
      <c r="W101" s="1048"/>
      <c r="X101" s="1048"/>
      <c r="Y101" s="1048"/>
      <c r="Z101" s="1048"/>
      <c r="AA101" s="1048"/>
      <c r="AB101" s="1048"/>
      <c r="AC101" s="1048"/>
      <c r="AD101" s="1048"/>
      <c r="AE101" s="1048"/>
      <c r="AF101" s="1048"/>
      <c r="AG101" s="1048"/>
      <c r="AH101" s="1048"/>
      <c r="AI101" s="1048"/>
    </row>
    <row r="102" spans="1:35" ht="12" customHeight="1" x14ac:dyDescent="0.2">
      <c r="A102" s="1016" t="s">
        <v>228</v>
      </c>
      <c r="B102" s="1049" t="s">
        <v>229</v>
      </c>
      <c r="C102" s="818"/>
      <c r="D102" s="1048"/>
      <c r="E102" s="1048"/>
      <c r="F102" s="1048"/>
      <c r="G102" s="1048"/>
      <c r="H102" s="1048"/>
      <c r="I102" s="1048"/>
      <c r="J102" s="1048"/>
      <c r="K102" s="1048"/>
      <c r="L102" s="1048"/>
      <c r="M102" s="1048"/>
      <c r="N102" s="1048"/>
      <c r="O102" s="1048"/>
      <c r="P102" s="1048"/>
      <c r="Q102" s="1048"/>
      <c r="R102" s="1048"/>
      <c r="S102" s="1048"/>
      <c r="T102" s="1048"/>
      <c r="U102" s="1048"/>
      <c r="V102" s="1048"/>
      <c r="W102" s="1048"/>
      <c r="X102" s="1048"/>
      <c r="Y102" s="1048"/>
      <c r="Z102" s="1048"/>
      <c r="AA102" s="1048"/>
      <c r="AB102" s="1048"/>
      <c r="AC102" s="1048"/>
      <c r="AD102" s="1048"/>
      <c r="AE102" s="1048"/>
      <c r="AF102" s="1048"/>
      <c r="AG102" s="1048"/>
      <c r="AH102" s="1048"/>
      <c r="AI102" s="1048"/>
    </row>
    <row r="103" spans="1:35" ht="12" customHeight="1" x14ac:dyDescent="0.2">
      <c r="A103" s="1016" t="s">
        <v>230</v>
      </c>
      <c r="B103" s="1049" t="s">
        <v>231</v>
      </c>
      <c r="C103" s="818">
        <f t="shared" si="18"/>
        <v>0</v>
      </c>
      <c r="D103" s="1048"/>
      <c r="E103" s="1048"/>
      <c r="F103" s="1048"/>
      <c r="G103" s="1048"/>
      <c r="H103" s="1048"/>
      <c r="I103" s="1048"/>
      <c r="J103" s="1048"/>
      <c r="K103" s="1048"/>
      <c r="L103" s="1048"/>
      <c r="M103" s="1048"/>
      <c r="N103" s="1048"/>
      <c r="O103" s="1048"/>
      <c r="P103" s="1048"/>
      <c r="Q103" s="1048"/>
      <c r="R103" s="1048"/>
      <c r="S103" s="1048"/>
      <c r="T103" s="1048"/>
      <c r="U103" s="1048"/>
      <c r="V103" s="1048"/>
      <c r="W103" s="1048"/>
      <c r="X103" s="1048"/>
      <c r="Y103" s="1048"/>
      <c r="Z103" s="1048"/>
      <c r="AA103" s="1048"/>
      <c r="AB103" s="1048"/>
      <c r="AC103" s="1048"/>
      <c r="AD103" s="1048"/>
      <c r="AE103" s="1048"/>
      <c r="AF103" s="1048"/>
      <c r="AG103" s="1048"/>
      <c r="AH103" s="1048"/>
      <c r="AI103" s="1048"/>
    </row>
    <row r="104" spans="1:35" x14ac:dyDescent="0.2">
      <c r="A104" s="1016" t="s">
        <v>232</v>
      </c>
      <c r="B104" s="1050" t="s">
        <v>233</v>
      </c>
      <c r="C104" s="818">
        <f t="shared" si="18"/>
        <v>0</v>
      </c>
      <c r="D104" s="1048"/>
      <c r="E104" s="1048"/>
      <c r="F104" s="1048"/>
      <c r="G104" s="1048"/>
      <c r="H104" s="1048"/>
      <c r="I104" s="1048"/>
      <c r="J104" s="1048"/>
      <c r="K104" s="1048"/>
      <c r="L104" s="1048"/>
      <c r="M104" s="1048"/>
      <c r="N104" s="1048"/>
      <c r="O104" s="1048"/>
      <c r="P104" s="1048"/>
      <c r="Q104" s="1048"/>
      <c r="R104" s="1048"/>
      <c r="S104" s="1048"/>
      <c r="T104" s="1048"/>
      <c r="U104" s="1048"/>
      <c r="V104" s="1048"/>
      <c r="W104" s="1048"/>
      <c r="X104" s="1048"/>
      <c r="Y104" s="1048"/>
      <c r="Z104" s="1048"/>
      <c r="AA104" s="1048"/>
      <c r="AB104" s="1048"/>
      <c r="AC104" s="1048"/>
      <c r="AD104" s="1048"/>
      <c r="AE104" s="1048"/>
      <c r="AF104" s="1048"/>
      <c r="AG104" s="1048"/>
      <c r="AH104" s="1048"/>
      <c r="AI104" s="1048"/>
    </row>
    <row r="105" spans="1:35" ht="12" customHeight="1" x14ac:dyDescent="0.2">
      <c r="A105" s="1051" t="s">
        <v>234</v>
      </c>
      <c r="B105" s="1052" t="s">
        <v>235</v>
      </c>
      <c r="C105" s="818">
        <f t="shared" si="18"/>
        <v>0</v>
      </c>
      <c r="D105" s="1048"/>
      <c r="E105" s="1048"/>
      <c r="F105" s="1048"/>
      <c r="G105" s="1048"/>
      <c r="H105" s="1048"/>
      <c r="I105" s="1048"/>
      <c r="J105" s="1048"/>
      <c r="K105" s="1048"/>
      <c r="L105" s="1048"/>
      <c r="M105" s="1048"/>
      <c r="N105" s="1048"/>
      <c r="O105" s="1048"/>
      <c r="P105" s="1048"/>
      <c r="Q105" s="1048"/>
      <c r="R105" s="1048"/>
      <c r="S105" s="1048"/>
      <c r="T105" s="1048"/>
      <c r="U105" s="1048"/>
      <c r="V105" s="1048"/>
      <c r="W105" s="1048"/>
      <c r="X105" s="1048"/>
      <c r="Y105" s="1048"/>
      <c r="Z105" s="1048"/>
      <c r="AA105" s="1048"/>
      <c r="AB105" s="1048"/>
      <c r="AC105" s="1048"/>
      <c r="AD105" s="1048"/>
      <c r="AE105" s="1048"/>
      <c r="AF105" s="1048"/>
      <c r="AG105" s="1048"/>
      <c r="AH105" s="1048"/>
      <c r="AI105" s="1048"/>
    </row>
    <row r="106" spans="1:35" ht="12" customHeight="1" x14ac:dyDescent="0.2">
      <c r="A106" s="1016" t="s">
        <v>236</v>
      </c>
      <c r="B106" s="1052" t="s">
        <v>237</v>
      </c>
      <c r="C106" s="818">
        <f t="shared" si="18"/>
        <v>0</v>
      </c>
      <c r="D106" s="1048"/>
      <c r="E106" s="1048"/>
      <c r="F106" s="1048"/>
      <c r="G106" s="1048"/>
      <c r="H106" s="1048"/>
      <c r="I106" s="1048"/>
      <c r="J106" s="1048"/>
      <c r="K106" s="1048"/>
      <c r="L106" s="1048"/>
      <c r="M106" s="1048"/>
      <c r="N106" s="1048"/>
      <c r="O106" s="1048"/>
      <c r="P106" s="1048"/>
      <c r="Q106" s="1048"/>
      <c r="R106" s="1048"/>
      <c r="S106" s="1048"/>
      <c r="T106" s="1048"/>
      <c r="U106" s="1048"/>
      <c r="V106" s="1048"/>
      <c r="W106" s="1048"/>
      <c r="X106" s="1048"/>
      <c r="Y106" s="1048"/>
      <c r="Z106" s="1048"/>
      <c r="AA106" s="1048"/>
      <c r="AB106" s="1048"/>
      <c r="AC106" s="1048"/>
      <c r="AD106" s="1048"/>
      <c r="AE106" s="1048"/>
      <c r="AF106" s="1048"/>
      <c r="AG106" s="1048"/>
      <c r="AH106" s="1048"/>
      <c r="AI106" s="1048"/>
    </row>
    <row r="107" spans="1:35" ht="12" customHeight="1" thickBot="1" x14ac:dyDescent="0.25">
      <c r="A107" s="1053" t="s">
        <v>238</v>
      </c>
      <c r="B107" s="1054" t="s">
        <v>239</v>
      </c>
      <c r="C107" s="818">
        <f t="shared" si="18"/>
        <v>0</v>
      </c>
      <c r="D107" s="1055"/>
      <c r="E107" s="1055"/>
      <c r="F107" s="1055"/>
      <c r="G107" s="1055"/>
      <c r="H107" s="1055"/>
      <c r="I107" s="1055"/>
      <c r="J107" s="1055"/>
      <c r="K107" s="1055"/>
      <c r="L107" s="1055"/>
      <c r="M107" s="1055"/>
      <c r="N107" s="1055"/>
      <c r="O107" s="1055"/>
      <c r="P107" s="1055"/>
      <c r="Q107" s="1055"/>
      <c r="R107" s="1055"/>
      <c r="S107" s="1055"/>
      <c r="T107" s="1055"/>
      <c r="U107" s="1055"/>
      <c r="V107" s="1055"/>
      <c r="W107" s="1055"/>
      <c r="X107" s="1055"/>
      <c r="Y107" s="1055"/>
      <c r="Z107" s="1055"/>
      <c r="AA107" s="1055"/>
      <c r="AB107" s="1055"/>
      <c r="AC107" s="1055"/>
      <c r="AD107" s="1055"/>
      <c r="AE107" s="1055"/>
      <c r="AF107" s="1055"/>
      <c r="AG107" s="1055"/>
      <c r="AH107" s="1055"/>
      <c r="AI107" s="1055"/>
    </row>
    <row r="108" spans="1:35" ht="12" customHeight="1" thickBot="1" x14ac:dyDescent="0.25">
      <c r="A108" s="1011" t="s">
        <v>65</v>
      </c>
      <c r="B108" s="1043" t="s">
        <v>289</v>
      </c>
      <c r="C108" s="1012">
        <f>SUM(C109:C121)</f>
        <v>186571375</v>
      </c>
      <c r="D108" s="817">
        <f t="shared" ref="D108:AI108" si="20">+D109+D111+D113</f>
        <v>0</v>
      </c>
      <c r="E108" s="817">
        <f t="shared" si="20"/>
        <v>0</v>
      </c>
      <c r="F108" s="817">
        <f t="shared" si="20"/>
        <v>174767926</v>
      </c>
      <c r="G108" s="817">
        <f t="shared" si="20"/>
        <v>0</v>
      </c>
      <c r="H108" s="817">
        <f t="shared" si="20"/>
        <v>0</v>
      </c>
      <c r="I108" s="817">
        <f t="shared" si="20"/>
        <v>11803449</v>
      </c>
      <c r="J108" s="817">
        <f t="shared" si="20"/>
        <v>0</v>
      </c>
      <c r="K108" s="817">
        <f t="shared" si="20"/>
        <v>0</v>
      </c>
      <c r="L108" s="817"/>
      <c r="M108" s="817">
        <f t="shared" si="20"/>
        <v>0</v>
      </c>
      <c r="N108" s="817">
        <f t="shared" si="20"/>
        <v>0</v>
      </c>
      <c r="O108" s="817">
        <f t="shared" si="20"/>
        <v>0</v>
      </c>
      <c r="P108" s="817"/>
      <c r="Q108" s="817">
        <f t="shared" si="20"/>
        <v>0</v>
      </c>
      <c r="R108" s="817">
        <f t="shared" si="20"/>
        <v>0</v>
      </c>
      <c r="S108" s="817">
        <f t="shared" si="20"/>
        <v>0</v>
      </c>
      <c r="T108" s="817">
        <f t="shared" si="20"/>
        <v>0</v>
      </c>
      <c r="U108" s="817">
        <f t="shared" si="20"/>
        <v>0</v>
      </c>
      <c r="V108" s="817">
        <f t="shared" si="20"/>
        <v>0</v>
      </c>
      <c r="W108" s="817"/>
      <c r="X108" s="817">
        <f t="shared" si="20"/>
        <v>0</v>
      </c>
      <c r="Y108" s="817">
        <f t="shared" si="20"/>
        <v>0</v>
      </c>
      <c r="Z108" s="817">
        <f t="shared" si="20"/>
        <v>0</v>
      </c>
      <c r="AA108" s="817">
        <f t="shared" si="20"/>
        <v>0</v>
      </c>
      <c r="AB108" s="817">
        <f t="shared" si="20"/>
        <v>0</v>
      </c>
      <c r="AC108" s="817">
        <f t="shared" si="20"/>
        <v>0</v>
      </c>
      <c r="AD108" s="817">
        <f t="shared" si="20"/>
        <v>0</v>
      </c>
      <c r="AE108" s="817">
        <f t="shared" si="20"/>
        <v>0</v>
      </c>
      <c r="AF108" s="817">
        <f t="shared" si="20"/>
        <v>0</v>
      </c>
      <c r="AG108" s="817">
        <f t="shared" si="20"/>
        <v>0</v>
      </c>
      <c r="AH108" s="817">
        <f t="shared" si="20"/>
        <v>0</v>
      </c>
      <c r="AI108" s="817">
        <f t="shared" si="20"/>
        <v>0</v>
      </c>
    </row>
    <row r="109" spans="1:35" ht="12" customHeight="1" x14ac:dyDescent="0.2">
      <c r="A109" s="1013" t="s">
        <v>67</v>
      </c>
      <c r="B109" s="1046" t="s">
        <v>241</v>
      </c>
      <c r="C109" s="1021">
        <f>SUM(F109)</f>
        <v>52403782</v>
      </c>
      <c r="D109" s="1045"/>
      <c r="E109" s="1045"/>
      <c r="F109" s="400">
        <f>89547345+3962400-21000000+7196910-2137945-25164928</f>
        <v>52403782</v>
      </c>
      <c r="G109" s="1045"/>
      <c r="H109" s="1045"/>
      <c r="I109" s="1045"/>
      <c r="J109" s="1045"/>
      <c r="K109" s="1045"/>
      <c r="L109" s="1045"/>
      <c r="M109" s="1045"/>
      <c r="N109" s="1045"/>
      <c r="O109" s="1045"/>
      <c r="P109" s="1045"/>
      <c r="Q109" s="1045"/>
      <c r="R109" s="1045"/>
      <c r="S109" s="1045"/>
      <c r="T109" s="1045"/>
      <c r="U109" s="1045"/>
      <c r="V109" s="1045"/>
      <c r="W109" s="1045"/>
      <c r="X109" s="1045"/>
      <c r="Y109" s="1045"/>
      <c r="Z109" s="1045"/>
      <c r="AA109" s="1045"/>
      <c r="AB109" s="1045"/>
      <c r="AC109" s="1045"/>
      <c r="AD109" s="1045"/>
      <c r="AE109" s="1045"/>
      <c r="AF109" s="1045"/>
      <c r="AG109" s="1045"/>
      <c r="AH109" s="1045"/>
      <c r="AI109" s="1045"/>
    </row>
    <row r="110" spans="1:35" ht="12" customHeight="1" x14ac:dyDescent="0.2">
      <c r="A110" s="1013" t="s">
        <v>69</v>
      </c>
      <c r="B110" s="1056" t="s">
        <v>242</v>
      </c>
      <c r="C110" s="818">
        <f t="shared" si="18"/>
        <v>0</v>
      </c>
      <c r="D110" s="1048"/>
      <c r="E110" s="1048"/>
      <c r="F110" s="1048"/>
      <c r="G110" s="1048"/>
      <c r="H110" s="1048"/>
      <c r="I110" s="1048"/>
      <c r="J110" s="1048"/>
      <c r="K110" s="1048"/>
      <c r="L110" s="1048"/>
      <c r="M110" s="1048"/>
      <c r="N110" s="1048"/>
      <c r="O110" s="1048"/>
      <c r="P110" s="1048"/>
      <c r="Q110" s="1048"/>
      <c r="R110" s="1048"/>
      <c r="S110" s="1048"/>
      <c r="T110" s="1048"/>
      <c r="U110" s="1048"/>
      <c r="V110" s="1048"/>
      <c r="W110" s="1048"/>
      <c r="X110" s="1048"/>
      <c r="Y110" s="1048"/>
      <c r="Z110" s="1048"/>
      <c r="AA110" s="1048"/>
      <c r="AB110" s="1048"/>
      <c r="AC110" s="1048"/>
      <c r="AD110" s="1048"/>
      <c r="AE110" s="1048"/>
      <c r="AF110" s="1048"/>
      <c r="AG110" s="1048"/>
      <c r="AH110" s="1048"/>
      <c r="AI110" s="1048"/>
    </row>
    <row r="111" spans="1:35" x14ac:dyDescent="0.2">
      <c r="A111" s="1013" t="s">
        <v>71</v>
      </c>
      <c r="B111" s="1056" t="s">
        <v>243</v>
      </c>
      <c r="C111" s="818">
        <f t="shared" si="18"/>
        <v>122364144</v>
      </c>
      <c r="D111" s="1048"/>
      <c r="E111" s="1048"/>
      <c r="F111" s="399">
        <f>46500000+31018890+44845254</f>
        <v>122364144</v>
      </c>
      <c r="G111" s="1048"/>
      <c r="H111" s="1048"/>
      <c r="I111" s="1048"/>
      <c r="J111" s="1048"/>
      <c r="K111" s="1048"/>
      <c r="L111" s="1048"/>
      <c r="M111" s="1048"/>
      <c r="N111" s="1048"/>
      <c r="O111" s="1048"/>
      <c r="P111" s="1048"/>
      <c r="Q111" s="1048"/>
      <c r="R111" s="1048"/>
      <c r="S111" s="1048"/>
      <c r="T111" s="1048"/>
      <c r="U111" s="1048"/>
      <c r="V111" s="1048"/>
      <c r="W111" s="1048"/>
      <c r="X111" s="1048"/>
      <c r="Y111" s="1048"/>
      <c r="Z111" s="1048"/>
      <c r="AA111" s="1048"/>
      <c r="AB111" s="1048"/>
      <c r="AC111" s="1048"/>
      <c r="AD111" s="1048"/>
      <c r="AE111" s="1048"/>
      <c r="AF111" s="1048"/>
      <c r="AG111" s="1048"/>
      <c r="AH111" s="1048"/>
      <c r="AI111" s="1048"/>
    </row>
    <row r="112" spans="1:35" ht="12" customHeight="1" x14ac:dyDescent="0.2">
      <c r="A112" s="1013" t="s">
        <v>73</v>
      </c>
      <c r="B112" s="1056" t="s">
        <v>244</v>
      </c>
      <c r="C112" s="818">
        <f t="shared" si="18"/>
        <v>0</v>
      </c>
      <c r="D112" s="1048"/>
      <c r="E112" s="1048"/>
      <c r="F112" s="1048"/>
      <c r="G112" s="1048"/>
      <c r="H112" s="1048"/>
      <c r="I112" s="1048"/>
      <c r="J112" s="1048"/>
      <c r="K112" s="1048"/>
      <c r="L112" s="1048"/>
      <c r="M112" s="1048"/>
      <c r="N112" s="1048"/>
      <c r="O112" s="1048"/>
      <c r="P112" s="1048"/>
      <c r="Q112" s="1048"/>
      <c r="R112" s="1048"/>
      <c r="S112" s="1048"/>
      <c r="T112" s="1048"/>
      <c r="U112" s="1048"/>
      <c r="V112" s="1048"/>
      <c r="W112" s="1048"/>
      <c r="X112" s="1048"/>
      <c r="Y112" s="1048"/>
      <c r="Z112" s="1048"/>
      <c r="AA112" s="1048"/>
      <c r="AB112" s="1048"/>
      <c r="AC112" s="1048"/>
      <c r="AD112" s="1048"/>
      <c r="AE112" s="1048"/>
      <c r="AF112" s="1048"/>
      <c r="AG112" s="1048"/>
      <c r="AH112" s="1048"/>
      <c r="AI112" s="1048"/>
    </row>
    <row r="113" spans="1:35" ht="12" customHeight="1" x14ac:dyDescent="0.2">
      <c r="A113" s="1013" t="s">
        <v>75</v>
      </c>
      <c r="B113" s="1057" t="s">
        <v>245</v>
      </c>
      <c r="C113" s="818">
        <f t="shared" si="18"/>
        <v>11803449</v>
      </c>
      <c r="D113" s="1048"/>
      <c r="E113" s="1048"/>
      <c r="F113" s="1048"/>
      <c r="G113" s="1048"/>
      <c r="H113" s="1048"/>
      <c r="I113" s="399">
        <f>32783467+599500-21579518</f>
        <v>11803449</v>
      </c>
      <c r="J113" s="1048"/>
      <c r="K113" s="1048"/>
      <c r="L113" s="1048"/>
      <c r="M113" s="1048"/>
      <c r="N113" s="1048"/>
      <c r="O113" s="1048"/>
      <c r="P113" s="1048"/>
      <c r="Q113" s="1048"/>
      <c r="R113" s="1048"/>
      <c r="S113" s="1048"/>
      <c r="T113" s="1048"/>
      <c r="U113" s="1048"/>
      <c r="V113" s="1048"/>
      <c r="W113" s="1048"/>
      <c r="X113" s="1048"/>
      <c r="Y113" s="1048"/>
      <c r="Z113" s="1048"/>
      <c r="AA113" s="1048"/>
      <c r="AB113" s="1048"/>
      <c r="AC113" s="1048"/>
      <c r="AD113" s="1048"/>
      <c r="AE113" s="1048"/>
      <c r="AF113" s="1048"/>
      <c r="AG113" s="1048"/>
      <c r="AH113" s="1048"/>
      <c r="AI113" s="1048"/>
    </row>
    <row r="114" spans="1:35" ht="21.75" customHeight="1" x14ac:dyDescent="0.2">
      <c r="A114" s="1013" t="s">
        <v>77</v>
      </c>
      <c r="B114" s="1058" t="s">
        <v>246</v>
      </c>
      <c r="C114" s="818">
        <f t="shared" si="18"/>
        <v>0</v>
      </c>
      <c r="D114" s="1048"/>
      <c r="E114" s="1048"/>
      <c r="F114" s="1048"/>
      <c r="G114" s="1048"/>
      <c r="H114" s="1048"/>
      <c r="I114" s="1048"/>
      <c r="J114" s="1048"/>
      <c r="K114" s="1048"/>
      <c r="L114" s="1048"/>
      <c r="M114" s="1048"/>
      <c r="N114" s="1048"/>
      <c r="O114" s="1048"/>
      <c r="P114" s="1048"/>
      <c r="Q114" s="1048"/>
      <c r="R114" s="1048"/>
      <c r="S114" s="1048"/>
      <c r="T114" s="1048"/>
      <c r="U114" s="1048"/>
      <c r="V114" s="1048"/>
      <c r="W114" s="1048"/>
      <c r="X114" s="1048"/>
      <c r="Y114" s="1048"/>
      <c r="Z114" s="1048"/>
      <c r="AA114" s="1048"/>
      <c r="AB114" s="1048"/>
      <c r="AC114" s="1048"/>
      <c r="AD114" s="1048"/>
      <c r="AE114" s="1048"/>
      <c r="AF114" s="1048"/>
      <c r="AG114" s="1048"/>
      <c r="AH114" s="1048"/>
      <c r="AI114" s="1048"/>
    </row>
    <row r="115" spans="1:35" ht="24" customHeight="1" x14ac:dyDescent="0.2">
      <c r="A115" s="1013" t="s">
        <v>247</v>
      </c>
      <c r="B115" s="1059" t="s">
        <v>248</v>
      </c>
      <c r="C115" s="818">
        <f t="shared" si="18"/>
        <v>0</v>
      </c>
      <c r="D115" s="1048"/>
      <c r="E115" s="1048"/>
      <c r="F115" s="1048"/>
      <c r="G115" s="1048"/>
      <c r="H115" s="1048"/>
      <c r="I115" s="1048"/>
      <c r="J115" s="1048"/>
      <c r="K115" s="1048"/>
      <c r="L115" s="1048"/>
      <c r="M115" s="1048"/>
      <c r="N115" s="1048"/>
      <c r="O115" s="1048"/>
      <c r="P115" s="1048"/>
      <c r="Q115" s="1048"/>
      <c r="R115" s="1048"/>
      <c r="S115" s="1048"/>
      <c r="T115" s="1048"/>
      <c r="U115" s="1048"/>
      <c r="V115" s="1048"/>
      <c r="W115" s="1048"/>
      <c r="X115" s="1048"/>
      <c r="Y115" s="1048"/>
      <c r="Z115" s="1048"/>
      <c r="AA115" s="1048"/>
      <c r="AB115" s="1048"/>
      <c r="AC115" s="1048"/>
      <c r="AD115" s="1048"/>
      <c r="AE115" s="1048"/>
      <c r="AF115" s="1048"/>
      <c r="AG115" s="1048"/>
      <c r="AH115" s="1048"/>
      <c r="AI115" s="1048"/>
    </row>
    <row r="116" spans="1:35" x14ac:dyDescent="0.2">
      <c r="A116" s="1013" t="s">
        <v>249</v>
      </c>
      <c r="B116" s="1050" t="s">
        <v>227</v>
      </c>
      <c r="C116" s="818">
        <f t="shared" si="18"/>
        <v>0</v>
      </c>
      <c r="D116" s="1048"/>
      <c r="E116" s="1048"/>
      <c r="F116" s="1048"/>
      <c r="G116" s="1048"/>
      <c r="H116" s="1048"/>
      <c r="I116" s="1048"/>
      <c r="J116" s="1048"/>
      <c r="K116" s="1048"/>
      <c r="L116" s="1048"/>
      <c r="M116" s="1048"/>
      <c r="N116" s="1048"/>
      <c r="O116" s="1048"/>
      <c r="P116" s="1048"/>
      <c r="Q116" s="1048"/>
      <c r="R116" s="1048"/>
      <c r="S116" s="1048"/>
      <c r="T116" s="1048"/>
      <c r="U116" s="1048"/>
      <c r="V116" s="1048"/>
      <c r="W116" s="1048"/>
      <c r="X116" s="1048"/>
      <c r="Y116" s="1048"/>
      <c r="Z116" s="1048"/>
      <c r="AA116" s="1048"/>
      <c r="AB116" s="1048"/>
      <c r="AC116" s="1048"/>
      <c r="AD116" s="1048"/>
      <c r="AE116" s="1048"/>
      <c r="AF116" s="1048"/>
      <c r="AG116" s="1048"/>
      <c r="AH116" s="1048"/>
      <c r="AI116" s="1048"/>
    </row>
    <row r="117" spans="1:35" ht="12" customHeight="1" x14ac:dyDescent="0.2">
      <c r="A117" s="1013" t="s">
        <v>250</v>
      </c>
      <c r="B117" s="1050" t="s">
        <v>251</v>
      </c>
      <c r="C117" s="818">
        <f t="shared" si="18"/>
        <v>0</v>
      </c>
      <c r="D117" s="1048"/>
      <c r="E117" s="1048"/>
      <c r="F117" s="1048"/>
      <c r="G117" s="1048"/>
      <c r="H117" s="1048"/>
      <c r="I117" s="1048"/>
      <c r="J117" s="1048"/>
      <c r="K117" s="1048"/>
      <c r="L117" s="1048"/>
      <c r="M117" s="1048"/>
      <c r="N117" s="1048"/>
      <c r="O117" s="1048"/>
      <c r="P117" s="1048"/>
      <c r="Q117" s="1048"/>
      <c r="R117" s="1048"/>
      <c r="S117" s="1048"/>
      <c r="T117" s="1048"/>
      <c r="U117" s="1048"/>
      <c r="V117" s="1048"/>
      <c r="W117" s="1048"/>
      <c r="X117" s="1048"/>
      <c r="Y117" s="1048"/>
      <c r="Z117" s="1048"/>
      <c r="AA117" s="1048"/>
      <c r="AB117" s="1048"/>
      <c r="AC117" s="1048"/>
      <c r="AD117" s="1048"/>
      <c r="AE117" s="1048"/>
      <c r="AF117" s="1048"/>
      <c r="AG117" s="1048"/>
      <c r="AH117" s="1048"/>
      <c r="AI117" s="1048"/>
    </row>
    <row r="118" spans="1:35" ht="12" customHeight="1" x14ac:dyDescent="0.2">
      <c r="A118" s="1013" t="s">
        <v>252</v>
      </c>
      <c r="B118" s="1050" t="s">
        <v>253</v>
      </c>
      <c r="C118" s="818">
        <f t="shared" si="18"/>
        <v>0</v>
      </c>
      <c r="D118" s="1048"/>
      <c r="E118" s="1048"/>
      <c r="F118" s="1048"/>
      <c r="G118" s="1048"/>
      <c r="H118" s="1048"/>
      <c r="I118" s="1048"/>
      <c r="J118" s="1048"/>
      <c r="K118" s="1048"/>
      <c r="L118" s="1048"/>
      <c r="M118" s="1048"/>
      <c r="N118" s="1048"/>
      <c r="O118" s="1048"/>
      <c r="P118" s="1048"/>
      <c r="Q118" s="1048"/>
      <c r="R118" s="1048"/>
      <c r="S118" s="1048"/>
      <c r="T118" s="1048"/>
      <c r="U118" s="1048"/>
      <c r="V118" s="1048"/>
      <c r="W118" s="1048"/>
      <c r="X118" s="1048"/>
      <c r="Y118" s="1048"/>
      <c r="Z118" s="1048"/>
      <c r="AA118" s="1048"/>
      <c r="AB118" s="1048"/>
      <c r="AC118" s="1048"/>
      <c r="AD118" s="1048"/>
      <c r="AE118" s="1048"/>
      <c r="AF118" s="1048"/>
      <c r="AG118" s="1048"/>
      <c r="AH118" s="1048"/>
      <c r="AI118" s="1048"/>
    </row>
    <row r="119" spans="1:35" s="1061" customFormat="1" x14ac:dyDescent="0.25">
      <c r="A119" s="1013" t="s">
        <v>254</v>
      </c>
      <c r="B119" s="1050" t="s">
        <v>233</v>
      </c>
      <c r="C119" s="818">
        <f t="shared" si="18"/>
        <v>0</v>
      </c>
      <c r="D119" s="1060"/>
      <c r="E119" s="1060"/>
      <c r="F119" s="1060"/>
      <c r="G119" s="1060"/>
      <c r="H119" s="1060"/>
      <c r="I119" s="1060"/>
      <c r="J119" s="1060"/>
      <c r="K119" s="1060"/>
      <c r="L119" s="1060"/>
      <c r="M119" s="1060"/>
      <c r="N119" s="1060"/>
      <c r="O119" s="1060"/>
      <c r="P119" s="1060"/>
      <c r="Q119" s="1060"/>
      <c r="R119" s="1060"/>
      <c r="S119" s="1060"/>
      <c r="T119" s="1060"/>
      <c r="U119" s="1060"/>
      <c r="V119" s="1060"/>
      <c r="W119" s="1060"/>
      <c r="X119" s="1060"/>
      <c r="Y119" s="1060"/>
      <c r="Z119" s="1060"/>
      <c r="AA119" s="1060"/>
      <c r="AB119" s="1060"/>
      <c r="AC119" s="1060"/>
      <c r="AD119" s="1060"/>
      <c r="AE119" s="1060"/>
      <c r="AF119" s="1060"/>
      <c r="AG119" s="1060"/>
      <c r="AH119" s="1060"/>
      <c r="AI119" s="1060"/>
    </row>
    <row r="120" spans="1:35" ht="12" customHeight="1" x14ac:dyDescent="0.2">
      <c r="A120" s="1013" t="s">
        <v>255</v>
      </c>
      <c r="B120" s="1050" t="s">
        <v>256</v>
      </c>
      <c r="C120" s="818">
        <f t="shared" si="18"/>
        <v>0</v>
      </c>
      <c r="D120" s="1048"/>
      <c r="E120" s="1048"/>
      <c r="F120" s="1048"/>
      <c r="G120" s="1048"/>
      <c r="H120" s="1048"/>
      <c r="I120" s="1048"/>
      <c r="J120" s="1048"/>
      <c r="K120" s="1048"/>
      <c r="L120" s="1048"/>
      <c r="M120" s="1048"/>
      <c r="N120" s="1048"/>
      <c r="O120" s="1048"/>
      <c r="P120" s="1048"/>
      <c r="Q120" s="1048"/>
      <c r="R120" s="1048"/>
      <c r="S120" s="1048"/>
      <c r="T120" s="1048"/>
      <c r="U120" s="1048"/>
      <c r="V120" s="1048"/>
      <c r="W120" s="1048"/>
      <c r="X120" s="1048"/>
      <c r="Y120" s="1048"/>
      <c r="Z120" s="1048"/>
      <c r="AA120" s="1048"/>
      <c r="AB120" s="1048"/>
      <c r="AC120" s="1048"/>
      <c r="AD120" s="1048"/>
      <c r="AE120" s="1048"/>
      <c r="AF120" s="1048"/>
      <c r="AG120" s="1048"/>
      <c r="AH120" s="1048"/>
      <c r="AI120" s="1048"/>
    </row>
    <row r="121" spans="1:35" ht="12" customHeight="1" thickBot="1" x14ac:dyDescent="0.25">
      <c r="A121" s="1051" t="s">
        <v>257</v>
      </c>
      <c r="B121" s="1050" t="s">
        <v>258</v>
      </c>
      <c r="C121" s="818">
        <f t="shared" si="18"/>
        <v>0</v>
      </c>
      <c r="D121" s="1055"/>
      <c r="E121" s="1055"/>
      <c r="F121" s="1055"/>
      <c r="G121" s="1055"/>
      <c r="H121" s="1055"/>
      <c r="I121" s="1055"/>
      <c r="J121" s="1055"/>
      <c r="K121" s="1055"/>
      <c r="L121" s="1055"/>
      <c r="M121" s="1055"/>
      <c r="N121" s="1055"/>
      <c r="O121" s="1055"/>
      <c r="P121" s="1055"/>
      <c r="Q121" s="1055"/>
      <c r="R121" s="1055"/>
      <c r="S121" s="1055"/>
      <c r="T121" s="1055"/>
      <c r="U121" s="1055"/>
      <c r="V121" s="1055"/>
      <c r="W121" s="1055"/>
      <c r="X121" s="1055"/>
      <c r="Y121" s="1055"/>
      <c r="Z121" s="1055"/>
      <c r="AA121" s="1055"/>
      <c r="AB121" s="1055"/>
      <c r="AC121" s="1055"/>
      <c r="AD121" s="1055"/>
      <c r="AE121" s="1055"/>
      <c r="AF121" s="1055"/>
      <c r="AG121" s="1055"/>
      <c r="AH121" s="1055"/>
      <c r="AI121" s="1055"/>
    </row>
    <row r="122" spans="1:35" ht="12" customHeight="1" thickBot="1" x14ac:dyDescent="0.25">
      <c r="A122" s="1011" t="s">
        <v>79</v>
      </c>
      <c r="B122" s="1062" t="s">
        <v>259</v>
      </c>
      <c r="C122" s="1012">
        <f t="shared" si="18"/>
        <v>0</v>
      </c>
      <c r="D122" s="817">
        <f t="shared" ref="D122:AI122" si="21">+D123+D124</f>
        <v>0</v>
      </c>
      <c r="E122" s="817">
        <f t="shared" si="21"/>
        <v>0</v>
      </c>
      <c r="F122" s="817">
        <f t="shared" si="21"/>
        <v>0</v>
      </c>
      <c r="G122" s="817">
        <f t="shared" si="21"/>
        <v>0</v>
      </c>
      <c r="H122" s="817">
        <f t="shared" si="21"/>
        <v>0</v>
      </c>
      <c r="I122" s="817">
        <f t="shared" si="21"/>
        <v>0</v>
      </c>
      <c r="J122" s="817">
        <f t="shared" si="21"/>
        <v>0</v>
      </c>
      <c r="K122" s="817">
        <f t="shared" si="21"/>
        <v>0</v>
      </c>
      <c r="L122" s="817"/>
      <c r="M122" s="817">
        <f t="shared" si="21"/>
        <v>0</v>
      </c>
      <c r="N122" s="817">
        <f t="shared" si="21"/>
        <v>0</v>
      </c>
      <c r="O122" s="817">
        <f t="shared" si="21"/>
        <v>0</v>
      </c>
      <c r="P122" s="817"/>
      <c r="Q122" s="817">
        <f t="shared" si="21"/>
        <v>0</v>
      </c>
      <c r="R122" s="817">
        <f t="shared" si="21"/>
        <v>0</v>
      </c>
      <c r="S122" s="817">
        <f t="shared" si="21"/>
        <v>0</v>
      </c>
      <c r="T122" s="817">
        <f t="shared" si="21"/>
        <v>0</v>
      </c>
      <c r="U122" s="817">
        <f t="shared" si="21"/>
        <v>0</v>
      </c>
      <c r="V122" s="817">
        <f t="shared" si="21"/>
        <v>0</v>
      </c>
      <c r="W122" s="817"/>
      <c r="X122" s="817">
        <f t="shared" si="21"/>
        <v>0</v>
      </c>
      <c r="Y122" s="817">
        <f t="shared" si="21"/>
        <v>0</v>
      </c>
      <c r="Z122" s="817">
        <f t="shared" si="21"/>
        <v>0</v>
      </c>
      <c r="AA122" s="817">
        <f t="shared" si="21"/>
        <v>0</v>
      </c>
      <c r="AB122" s="817">
        <f t="shared" si="21"/>
        <v>0</v>
      </c>
      <c r="AC122" s="817">
        <f t="shared" si="21"/>
        <v>0</v>
      </c>
      <c r="AD122" s="817">
        <f t="shared" si="21"/>
        <v>0</v>
      </c>
      <c r="AE122" s="817">
        <f t="shared" si="21"/>
        <v>0</v>
      </c>
      <c r="AF122" s="817">
        <f t="shared" si="21"/>
        <v>0</v>
      </c>
      <c r="AG122" s="817">
        <f t="shared" si="21"/>
        <v>0</v>
      </c>
      <c r="AH122" s="817">
        <f t="shared" si="21"/>
        <v>0</v>
      </c>
      <c r="AI122" s="817">
        <f t="shared" si="21"/>
        <v>0</v>
      </c>
    </row>
    <row r="123" spans="1:35" ht="12" customHeight="1" x14ac:dyDescent="0.2">
      <c r="A123" s="1013" t="s">
        <v>81</v>
      </c>
      <c r="B123" s="1044" t="s">
        <v>260</v>
      </c>
      <c r="C123" s="1021">
        <f t="shared" si="18"/>
        <v>0</v>
      </c>
      <c r="D123" s="1045"/>
      <c r="E123" s="1045"/>
      <c r="F123" s="1045"/>
      <c r="G123" s="1045"/>
      <c r="H123" s="1045"/>
      <c r="I123" s="1045"/>
      <c r="J123" s="1045"/>
      <c r="K123" s="1045"/>
      <c r="L123" s="1045"/>
      <c r="M123" s="1045"/>
      <c r="N123" s="1045"/>
      <c r="O123" s="1045"/>
      <c r="P123" s="1045"/>
      <c r="Q123" s="1045"/>
      <c r="R123" s="1045"/>
      <c r="S123" s="1045"/>
      <c r="T123" s="1045"/>
      <c r="U123" s="1045"/>
      <c r="V123" s="1045"/>
      <c r="W123" s="1045"/>
      <c r="X123" s="1045"/>
      <c r="Y123" s="1045"/>
      <c r="Z123" s="1045"/>
      <c r="AA123" s="1045"/>
      <c r="AB123" s="1045"/>
      <c r="AC123" s="1045"/>
      <c r="AD123" s="1045"/>
      <c r="AE123" s="1045"/>
      <c r="AF123" s="1045"/>
      <c r="AG123" s="1045"/>
      <c r="AH123" s="1045"/>
      <c r="AI123" s="1045"/>
    </row>
    <row r="124" spans="1:35" ht="12" customHeight="1" thickBot="1" x14ac:dyDescent="0.25">
      <c r="A124" s="1019" t="s">
        <v>83</v>
      </c>
      <c r="B124" s="1056" t="s">
        <v>261</v>
      </c>
      <c r="C124" s="818">
        <f t="shared" si="18"/>
        <v>0</v>
      </c>
      <c r="D124" s="1055"/>
      <c r="E124" s="1055"/>
      <c r="F124" s="1055"/>
      <c r="G124" s="1055"/>
      <c r="H124" s="1055"/>
      <c r="I124" s="1055"/>
      <c r="J124" s="1055"/>
      <c r="K124" s="1055"/>
      <c r="L124" s="1055"/>
      <c r="M124" s="1055"/>
      <c r="N124" s="1055"/>
      <c r="O124" s="1055"/>
      <c r="P124" s="1055"/>
      <c r="Q124" s="1055"/>
      <c r="R124" s="1055"/>
      <c r="S124" s="1055"/>
      <c r="T124" s="1055"/>
      <c r="U124" s="1055"/>
      <c r="V124" s="1055"/>
      <c r="W124" s="1055"/>
      <c r="X124" s="1055"/>
      <c r="Y124" s="1055"/>
      <c r="Z124" s="1055"/>
      <c r="AA124" s="1055"/>
      <c r="AB124" s="1055"/>
      <c r="AC124" s="1055"/>
      <c r="AD124" s="1055"/>
      <c r="AE124" s="1055"/>
      <c r="AF124" s="1055"/>
      <c r="AG124" s="1055"/>
      <c r="AH124" s="1055"/>
      <c r="AI124" s="1055"/>
    </row>
    <row r="125" spans="1:35" ht="12" customHeight="1" thickBot="1" x14ac:dyDescent="0.25">
      <c r="A125" s="1011" t="s">
        <v>262</v>
      </c>
      <c r="B125" s="1062" t="s">
        <v>263</v>
      </c>
      <c r="C125" s="1012">
        <f>C122+C108+C92</f>
        <v>726658816</v>
      </c>
      <c r="D125" s="817">
        <f t="shared" ref="D125:AI125" si="22">+D92+D108+D122</f>
        <v>48177450</v>
      </c>
      <c r="E125" s="817">
        <f t="shared" si="22"/>
        <v>20671961</v>
      </c>
      <c r="F125" s="817">
        <f t="shared" si="22"/>
        <v>320298574</v>
      </c>
      <c r="G125" s="817">
        <f t="shared" si="22"/>
        <v>27774256</v>
      </c>
      <c r="H125" s="817">
        <f t="shared" si="22"/>
        <v>11073612</v>
      </c>
      <c r="I125" s="817">
        <f t="shared" si="22"/>
        <v>78369915</v>
      </c>
      <c r="J125" s="817">
        <f t="shared" si="22"/>
        <v>515000</v>
      </c>
      <c r="K125" s="817">
        <f t="shared" si="22"/>
        <v>0</v>
      </c>
      <c r="L125" s="817"/>
      <c r="M125" s="817">
        <f t="shared" si="22"/>
        <v>15697200</v>
      </c>
      <c r="N125" s="817">
        <f t="shared" si="22"/>
        <v>6350000</v>
      </c>
      <c r="O125" s="817">
        <f t="shared" si="22"/>
        <v>1560000</v>
      </c>
      <c r="P125" s="817"/>
      <c r="Q125" s="817">
        <f t="shared" si="22"/>
        <v>0</v>
      </c>
      <c r="R125" s="817">
        <f t="shared" si="22"/>
        <v>10000000</v>
      </c>
      <c r="S125" s="817">
        <f t="shared" si="22"/>
        <v>3175000</v>
      </c>
      <c r="T125" s="817">
        <f t="shared" si="22"/>
        <v>10144790</v>
      </c>
      <c r="U125" s="817">
        <f t="shared" si="22"/>
        <v>300000</v>
      </c>
      <c r="V125" s="817">
        <f t="shared" si="22"/>
        <v>5446980</v>
      </c>
      <c r="W125" s="817"/>
      <c r="X125" s="817">
        <f t="shared" si="22"/>
        <v>762000</v>
      </c>
      <c r="Y125" s="817">
        <f t="shared" si="22"/>
        <v>990600</v>
      </c>
      <c r="Z125" s="817">
        <f t="shared" si="22"/>
        <v>0</v>
      </c>
      <c r="AA125" s="817">
        <f t="shared" si="22"/>
        <v>0</v>
      </c>
      <c r="AB125" s="817">
        <f t="shared" si="22"/>
        <v>76327000</v>
      </c>
      <c r="AC125" s="817">
        <f t="shared" si="22"/>
        <v>254000</v>
      </c>
      <c r="AD125" s="817">
        <f t="shared" si="22"/>
        <v>635000</v>
      </c>
      <c r="AE125" s="817">
        <f t="shared" si="22"/>
        <v>10296000</v>
      </c>
      <c r="AF125" s="817">
        <f t="shared" si="22"/>
        <v>0</v>
      </c>
      <c r="AG125" s="817">
        <f t="shared" si="22"/>
        <v>0</v>
      </c>
      <c r="AH125" s="817">
        <f t="shared" si="22"/>
        <v>0</v>
      </c>
      <c r="AI125" s="817">
        <f t="shared" si="22"/>
        <v>864000</v>
      </c>
    </row>
    <row r="126" spans="1:35" ht="12" customHeight="1" thickBot="1" x14ac:dyDescent="0.25">
      <c r="A126" s="1011" t="s">
        <v>107</v>
      </c>
      <c r="B126" s="1062" t="s">
        <v>264</v>
      </c>
      <c r="C126" s="1012">
        <f t="shared" si="18"/>
        <v>96193309</v>
      </c>
      <c r="D126" s="817">
        <f t="shared" ref="D126:AD126" si="23">+D127+D128+D129</f>
        <v>0</v>
      </c>
      <c r="E126" s="817">
        <f t="shared" si="23"/>
        <v>0</v>
      </c>
      <c r="F126" s="817">
        <f t="shared" si="23"/>
        <v>0</v>
      </c>
      <c r="G126" s="817">
        <f t="shared" si="23"/>
        <v>0</v>
      </c>
      <c r="H126" s="817">
        <f t="shared" si="23"/>
        <v>0</v>
      </c>
      <c r="I126" s="817">
        <f t="shared" si="23"/>
        <v>0</v>
      </c>
      <c r="J126" s="817">
        <f t="shared" si="23"/>
        <v>0</v>
      </c>
      <c r="K126" s="817">
        <f t="shared" si="23"/>
        <v>0</v>
      </c>
      <c r="L126" s="817"/>
      <c r="M126" s="817">
        <f t="shared" si="23"/>
        <v>0</v>
      </c>
      <c r="N126" s="817">
        <f t="shared" si="23"/>
        <v>0</v>
      </c>
      <c r="O126" s="817">
        <f t="shared" si="23"/>
        <v>0</v>
      </c>
      <c r="P126" s="817"/>
      <c r="Q126" s="817">
        <f t="shared" si="23"/>
        <v>0</v>
      </c>
      <c r="R126" s="817">
        <f t="shared" si="23"/>
        <v>0</v>
      </c>
      <c r="S126" s="817">
        <f t="shared" si="23"/>
        <v>0</v>
      </c>
      <c r="T126" s="817">
        <f t="shared" si="23"/>
        <v>0</v>
      </c>
      <c r="U126" s="817">
        <f t="shared" si="23"/>
        <v>0</v>
      </c>
      <c r="V126" s="817">
        <f t="shared" si="23"/>
        <v>0</v>
      </c>
      <c r="W126" s="817"/>
      <c r="X126" s="817">
        <f t="shared" si="23"/>
        <v>0</v>
      </c>
      <c r="Y126" s="817">
        <f t="shared" si="23"/>
        <v>0</v>
      </c>
      <c r="Z126" s="817">
        <f t="shared" si="23"/>
        <v>0</v>
      </c>
      <c r="AA126" s="817">
        <f t="shared" si="23"/>
        <v>0</v>
      </c>
      <c r="AB126" s="817">
        <f t="shared" si="23"/>
        <v>0</v>
      </c>
      <c r="AC126" s="817">
        <f t="shared" si="23"/>
        <v>0</v>
      </c>
      <c r="AD126" s="817">
        <f t="shared" si="23"/>
        <v>0</v>
      </c>
      <c r="AE126" s="817">
        <f>+AE127+AE128+AE129</f>
        <v>0</v>
      </c>
      <c r="AF126" s="817">
        <f t="shared" ref="AF126:AI126" si="24">+AF127+AF128+AF129</f>
        <v>0</v>
      </c>
      <c r="AG126" s="817">
        <f t="shared" si="24"/>
        <v>96193309</v>
      </c>
      <c r="AH126" s="817">
        <f t="shared" si="24"/>
        <v>0</v>
      </c>
      <c r="AI126" s="817">
        <f t="shared" si="24"/>
        <v>0</v>
      </c>
    </row>
    <row r="127" spans="1:35" ht="12" customHeight="1" x14ac:dyDescent="0.2">
      <c r="A127" s="1013" t="s">
        <v>109</v>
      </c>
      <c r="B127" s="1044" t="s">
        <v>265</v>
      </c>
      <c r="C127" s="1021">
        <f t="shared" si="18"/>
        <v>96193309</v>
      </c>
      <c r="D127" s="1045"/>
      <c r="E127" s="1045"/>
      <c r="F127" s="1045"/>
      <c r="G127" s="1045"/>
      <c r="H127" s="1045"/>
      <c r="I127" s="1045"/>
      <c r="J127" s="1045"/>
      <c r="K127" s="1045"/>
      <c r="L127" s="1045"/>
      <c r="M127" s="1045"/>
      <c r="N127" s="1045"/>
      <c r="O127" s="1045"/>
      <c r="P127" s="1045"/>
      <c r="Q127" s="1045"/>
      <c r="R127" s="1045"/>
      <c r="S127" s="1045"/>
      <c r="T127" s="1045"/>
      <c r="U127" s="1045"/>
      <c r="V127" s="1045"/>
      <c r="W127" s="1045"/>
      <c r="X127" s="1045"/>
      <c r="Y127" s="1045"/>
      <c r="Z127" s="1045"/>
      <c r="AA127" s="1045"/>
      <c r="AB127" s="1045"/>
      <c r="AC127" s="1045"/>
      <c r="AD127" s="1045"/>
      <c r="AE127" s="1045"/>
      <c r="AF127" s="1045"/>
      <c r="AG127" s="819">
        <v>96193309</v>
      </c>
      <c r="AH127" s="1045"/>
      <c r="AI127" s="1045"/>
    </row>
    <row r="128" spans="1:35" ht="12" customHeight="1" x14ac:dyDescent="0.2">
      <c r="A128" s="1013" t="s">
        <v>111</v>
      </c>
      <c r="B128" s="1044" t="s">
        <v>266</v>
      </c>
      <c r="C128" s="818">
        <f t="shared" si="18"/>
        <v>0</v>
      </c>
      <c r="D128" s="1048"/>
      <c r="E128" s="1048"/>
      <c r="F128" s="1048"/>
      <c r="G128" s="1048"/>
      <c r="H128" s="1048"/>
      <c r="I128" s="1048"/>
      <c r="J128" s="1048"/>
      <c r="K128" s="1048"/>
      <c r="L128" s="1048"/>
      <c r="M128" s="1048"/>
      <c r="N128" s="1048"/>
      <c r="O128" s="1048"/>
      <c r="P128" s="1048"/>
      <c r="Q128" s="1048"/>
      <c r="R128" s="1048"/>
      <c r="S128" s="1048"/>
      <c r="T128" s="1048"/>
      <c r="U128" s="1048"/>
      <c r="V128" s="1048"/>
      <c r="W128" s="1048"/>
      <c r="X128" s="1048"/>
      <c r="Y128" s="1048"/>
      <c r="Z128" s="1048"/>
      <c r="AA128" s="1048"/>
      <c r="AB128" s="1048"/>
      <c r="AC128" s="1048"/>
      <c r="AD128" s="1048"/>
      <c r="AE128" s="1048"/>
      <c r="AF128" s="1048"/>
      <c r="AG128" s="1048"/>
      <c r="AH128" s="1048"/>
      <c r="AI128" s="1048"/>
    </row>
    <row r="129" spans="1:35" ht="12" customHeight="1" thickBot="1" x14ac:dyDescent="0.25">
      <c r="A129" s="1051" t="s">
        <v>113</v>
      </c>
      <c r="B129" s="366" t="s">
        <v>267</v>
      </c>
      <c r="C129" s="818">
        <f t="shared" si="18"/>
        <v>0</v>
      </c>
      <c r="D129" s="1055"/>
      <c r="E129" s="1055"/>
      <c r="F129" s="1055"/>
      <c r="G129" s="1055"/>
      <c r="H129" s="1055"/>
      <c r="I129" s="1055"/>
      <c r="J129" s="1055"/>
      <c r="K129" s="1055"/>
      <c r="L129" s="1055"/>
      <c r="M129" s="1055"/>
      <c r="N129" s="1055"/>
      <c r="O129" s="1055"/>
      <c r="P129" s="1055"/>
      <c r="Q129" s="1055"/>
      <c r="R129" s="1055"/>
      <c r="S129" s="1055"/>
      <c r="T129" s="1055"/>
      <c r="U129" s="1055"/>
      <c r="V129" s="1055"/>
      <c r="W129" s="1055"/>
      <c r="X129" s="1055"/>
      <c r="Y129" s="1055"/>
      <c r="Z129" s="1055"/>
      <c r="AA129" s="1055"/>
      <c r="AB129" s="1055"/>
      <c r="AC129" s="1055"/>
      <c r="AD129" s="1055"/>
      <c r="AE129" s="1055"/>
      <c r="AF129" s="1055"/>
      <c r="AG129" s="1055"/>
      <c r="AH129" s="1055"/>
      <c r="AI129" s="1055"/>
    </row>
    <row r="130" spans="1:35" ht="12" customHeight="1" thickBot="1" x14ac:dyDescent="0.25">
      <c r="A130" s="1011" t="s">
        <v>129</v>
      </c>
      <c r="B130" s="1062" t="s">
        <v>268</v>
      </c>
      <c r="C130" s="1026">
        <f t="shared" si="18"/>
        <v>0</v>
      </c>
      <c r="D130" s="1063"/>
      <c r="E130" s="1063"/>
      <c r="F130" s="1063"/>
      <c r="G130" s="1063"/>
      <c r="H130" s="1063"/>
      <c r="I130" s="1063"/>
      <c r="J130" s="1063"/>
      <c r="K130" s="1063"/>
      <c r="L130" s="1063"/>
      <c r="M130" s="1063"/>
      <c r="N130" s="1063"/>
      <c r="O130" s="1063"/>
      <c r="P130" s="1063"/>
      <c r="Q130" s="1063"/>
      <c r="R130" s="1063"/>
      <c r="S130" s="1063"/>
      <c r="T130" s="1063"/>
      <c r="U130" s="1063"/>
      <c r="V130" s="1063"/>
      <c r="W130" s="1063"/>
      <c r="X130" s="1063"/>
      <c r="Y130" s="1063"/>
      <c r="Z130" s="1063"/>
      <c r="AA130" s="1063"/>
      <c r="AB130" s="1063"/>
      <c r="AC130" s="1063"/>
      <c r="AD130" s="1063"/>
      <c r="AE130" s="1063"/>
      <c r="AF130" s="1063"/>
      <c r="AG130" s="1063"/>
      <c r="AH130" s="1063"/>
      <c r="AI130" s="1063"/>
    </row>
    <row r="131" spans="1:35" ht="12" customHeight="1" x14ac:dyDescent="0.2">
      <c r="A131" s="1013" t="s">
        <v>131</v>
      </c>
      <c r="B131" s="1044" t="s">
        <v>269</v>
      </c>
      <c r="C131" s="1021">
        <f t="shared" si="18"/>
        <v>0</v>
      </c>
      <c r="D131" s="1045"/>
      <c r="E131" s="1045"/>
      <c r="F131" s="1045"/>
      <c r="G131" s="1045"/>
      <c r="H131" s="1045"/>
      <c r="I131" s="1045"/>
      <c r="J131" s="1045"/>
      <c r="K131" s="1045"/>
      <c r="L131" s="1045"/>
      <c r="M131" s="1045"/>
      <c r="N131" s="1045"/>
      <c r="O131" s="1045"/>
      <c r="P131" s="1045"/>
      <c r="Q131" s="1045"/>
      <c r="R131" s="1045"/>
      <c r="S131" s="1045"/>
      <c r="T131" s="1045"/>
      <c r="U131" s="1045"/>
      <c r="V131" s="1045"/>
      <c r="W131" s="1045"/>
      <c r="X131" s="1045"/>
      <c r="Y131" s="1045"/>
      <c r="Z131" s="1045"/>
      <c r="AA131" s="1045"/>
      <c r="AB131" s="1045"/>
      <c r="AC131" s="1045"/>
      <c r="AD131" s="1045"/>
      <c r="AE131" s="1045"/>
      <c r="AF131" s="1045"/>
      <c r="AG131" s="1045"/>
      <c r="AH131" s="1045"/>
      <c r="AI131" s="1045"/>
    </row>
    <row r="132" spans="1:35" ht="12" customHeight="1" x14ac:dyDescent="0.2">
      <c r="A132" s="1013" t="s">
        <v>133</v>
      </c>
      <c r="B132" s="1044" t="s">
        <v>270</v>
      </c>
      <c r="C132" s="818">
        <f t="shared" si="18"/>
        <v>0</v>
      </c>
      <c r="D132" s="1048"/>
      <c r="E132" s="1048"/>
      <c r="F132" s="1048"/>
      <c r="G132" s="1048"/>
      <c r="H132" s="1048"/>
      <c r="I132" s="1048"/>
      <c r="J132" s="1048"/>
      <c r="K132" s="1048"/>
      <c r="L132" s="1048"/>
      <c r="M132" s="1048"/>
      <c r="N132" s="1048"/>
      <c r="O132" s="1048"/>
      <c r="P132" s="1048"/>
      <c r="Q132" s="1048"/>
      <c r="R132" s="1048"/>
      <c r="S132" s="1048"/>
      <c r="T132" s="1048"/>
      <c r="U132" s="1048"/>
      <c r="V132" s="1048"/>
      <c r="W132" s="1048"/>
      <c r="X132" s="1048"/>
      <c r="Y132" s="1048"/>
      <c r="Z132" s="1048"/>
      <c r="AA132" s="1048"/>
      <c r="AB132" s="1048"/>
      <c r="AC132" s="1048"/>
      <c r="AD132" s="1048"/>
      <c r="AE132" s="1048"/>
      <c r="AF132" s="1048"/>
      <c r="AG132" s="1048"/>
      <c r="AH132" s="1048"/>
      <c r="AI132" s="1048"/>
    </row>
    <row r="133" spans="1:35" ht="12" customHeight="1" x14ac:dyDescent="0.2">
      <c r="A133" s="1013" t="s">
        <v>135</v>
      </c>
      <c r="B133" s="1044" t="s">
        <v>271</v>
      </c>
      <c r="C133" s="818">
        <f t="shared" si="18"/>
        <v>0</v>
      </c>
      <c r="D133" s="1048"/>
      <c r="E133" s="1048"/>
      <c r="F133" s="1048"/>
      <c r="G133" s="1048"/>
      <c r="H133" s="1048"/>
      <c r="I133" s="1048"/>
      <c r="J133" s="1048"/>
      <c r="K133" s="1048"/>
      <c r="L133" s="1048"/>
      <c r="M133" s="1048"/>
      <c r="N133" s="1048"/>
      <c r="O133" s="1048"/>
      <c r="P133" s="1048"/>
      <c r="Q133" s="1048"/>
      <c r="R133" s="1048"/>
      <c r="S133" s="1048"/>
      <c r="T133" s="1048"/>
      <c r="U133" s="1048"/>
      <c r="V133" s="1048"/>
      <c r="W133" s="1048"/>
      <c r="X133" s="1048"/>
      <c r="Y133" s="1048"/>
      <c r="Z133" s="1048"/>
      <c r="AA133" s="1048"/>
      <c r="AB133" s="1048"/>
      <c r="AC133" s="1048"/>
      <c r="AD133" s="1048"/>
      <c r="AE133" s="1048"/>
      <c r="AF133" s="1048"/>
      <c r="AG133" s="1048"/>
      <c r="AH133" s="1048"/>
      <c r="AI133" s="1048"/>
    </row>
    <row r="134" spans="1:35" ht="12" customHeight="1" thickBot="1" x14ac:dyDescent="0.25">
      <c r="A134" s="1051" t="s">
        <v>137</v>
      </c>
      <c r="B134" s="366" t="s">
        <v>272</v>
      </c>
      <c r="C134" s="818">
        <f t="shared" si="18"/>
        <v>0</v>
      </c>
      <c r="D134" s="1055"/>
      <c r="E134" s="1055"/>
      <c r="F134" s="1055"/>
      <c r="G134" s="1055"/>
      <c r="H134" s="1055"/>
      <c r="I134" s="1055"/>
      <c r="J134" s="1055"/>
      <c r="K134" s="1055"/>
      <c r="L134" s="1055"/>
      <c r="M134" s="1055"/>
      <c r="N134" s="1055"/>
      <c r="O134" s="1055"/>
      <c r="P134" s="1055"/>
      <c r="Q134" s="1055"/>
      <c r="R134" s="1055"/>
      <c r="S134" s="1055"/>
      <c r="T134" s="1055"/>
      <c r="U134" s="1055"/>
      <c r="V134" s="1055"/>
      <c r="W134" s="1055"/>
      <c r="X134" s="1055"/>
      <c r="Y134" s="1055"/>
      <c r="Z134" s="1055"/>
      <c r="AA134" s="1055"/>
      <c r="AB134" s="1055"/>
      <c r="AC134" s="1055"/>
      <c r="AD134" s="1055"/>
      <c r="AE134" s="1055"/>
      <c r="AF134" s="1055"/>
      <c r="AG134" s="1055"/>
      <c r="AH134" s="1055"/>
      <c r="AI134" s="1055"/>
    </row>
    <row r="135" spans="1:35" ht="12" customHeight="1" thickBot="1" x14ac:dyDescent="0.25">
      <c r="A135" s="1011" t="s">
        <v>273</v>
      </c>
      <c r="B135" s="1062" t="s">
        <v>274</v>
      </c>
      <c r="C135" s="1012">
        <f>SUM(C136:C139)</f>
        <v>987564176</v>
      </c>
      <c r="D135" s="816">
        <f t="shared" ref="D135:AI135" si="25">+D136+D137+D138+D139</f>
        <v>0</v>
      </c>
      <c r="E135" s="816">
        <f t="shared" si="25"/>
        <v>0</v>
      </c>
      <c r="F135" s="816">
        <f t="shared" si="25"/>
        <v>0</v>
      </c>
      <c r="G135" s="816">
        <f t="shared" si="25"/>
        <v>0</v>
      </c>
      <c r="H135" s="816">
        <f t="shared" si="25"/>
        <v>0</v>
      </c>
      <c r="I135" s="816">
        <f t="shared" si="25"/>
        <v>0</v>
      </c>
      <c r="J135" s="816">
        <f t="shared" si="25"/>
        <v>0</v>
      </c>
      <c r="K135" s="816">
        <f t="shared" si="25"/>
        <v>0</v>
      </c>
      <c r="L135" s="816"/>
      <c r="M135" s="816">
        <f t="shared" si="25"/>
        <v>0</v>
      </c>
      <c r="N135" s="816">
        <f t="shared" si="25"/>
        <v>0</v>
      </c>
      <c r="O135" s="816">
        <f t="shared" si="25"/>
        <v>0</v>
      </c>
      <c r="P135" s="816"/>
      <c r="Q135" s="816">
        <f t="shared" si="25"/>
        <v>0</v>
      </c>
      <c r="R135" s="816">
        <f t="shared" si="25"/>
        <v>0</v>
      </c>
      <c r="S135" s="816">
        <f t="shared" si="25"/>
        <v>0</v>
      </c>
      <c r="T135" s="816">
        <f t="shared" si="25"/>
        <v>0</v>
      </c>
      <c r="U135" s="816">
        <f t="shared" si="25"/>
        <v>0</v>
      </c>
      <c r="V135" s="816">
        <f t="shared" si="25"/>
        <v>0</v>
      </c>
      <c r="W135" s="816"/>
      <c r="X135" s="816">
        <f t="shared" si="25"/>
        <v>0</v>
      </c>
      <c r="Y135" s="816">
        <f t="shared" si="25"/>
        <v>0</v>
      </c>
      <c r="Z135" s="816">
        <f t="shared" si="25"/>
        <v>0</v>
      </c>
      <c r="AA135" s="816">
        <f t="shared" si="25"/>
        <v>0</v>
      </c>
      <c r="AB135" s="816">
        <f t="shared" si="25"/>
        <v>0</v>
      </c>
      <c r="AC135" s="816">
        <f t="shared" si="25"/>
        <v>0</v>
      </c>
      <c r="AD135" s="816">
        <f t="shared" si="25"/>
        <v>0</v>
      </c>
      <c r="AE135" s="816">
        <f t="shared" si="25"/>
        <v>0</v>
      </c>
      <c r="AF135" s="816">
        <f t="shared" si="25"/>
        <v>972206827</v>
      </c>
      <c r="AG135" s="816">
        <f t="shared" si="25"/>
        <v>4120937</v>
      </c>
      <c r="AH135" s="816">
        <f t="shared" si="25"/>
        <v>11236412</v>
      </c>
      <c r="AI135" s="816">
        <f t="shared" si="25"/>
        <v>0</v>
      </c>
    </row>
    <row r="136" spans="1:35" ht="12" customHeight="1" x14ac:dyDescent="0.2">
      <c r="A136" s="1013" t="s">
        <v>143</v>
      </c>
      <c r="B136" s="1044" t="s">
        <v>275</v>
      </c>
      <c r="C136" s="1021">
        <f t="shared" si="18"/>
        <v>0</v>
      </c>
      <c r="D136" s="1045"/>
      <c r="E136" s="1045"/>
      <c r="F136" s="1045"/>
      <c r="G136" s="1045"/>
      <c r="H136" s="1045"/>
      <c r="I136" s="1045"/>
      <c r="J136" s="1045"/>
      <c r="K136" s="1045"/>
      <c r="L136" s="1045"/>
      <c r="M136" s="1045"/>
      <c r="N136" s="1045"/>
      <c r="O136" s="1045"/>
      <c r="P136" s="1045"/>
      <c r="Q136" s="1045"/>
      <c r="R136" s="1045"/>
      <c r="S136" s="1045"/>
      <c r="T136" s="1045"/>
      <c r="U136" s="1045"/>
      <c r="V136" s="1045"/>
      <c r="W136" s="1045"/>
      <c r="X136" s="1045"/>
      <c r="Y136" s="1045"/>
      <c r="Z136" s="1045"/>
      <c r="AA136" s="1045"/>
      <c r="AB136" s="1045"/>
      <c r="AC136" s="1045"/>
      <c r="AD136" s="1045"/>
      <c r="AE136" s="1045"/>
      <c r="AF136" s="1045"/>
      <c r="AG136" s="1045"/>
      <c r="AH136" s="1045"/>
      <c r="AI136" s="1045"/>
    </row>
    <row r="137" spans="1:35" ht="12" customHeight="1" x14ac:dyDescent="0.2">
      <c r="A137" s="1013" t="s">
        <v>145</v>
      </c>
      <c r="B137" s="1044" t="s">
        <v>276</v>
      </c>
      <c r="C137" s="818">
        <f t="shared" si="18"/>
        <v>11236412</v>
      </c>
      <c r="D137" s="1048"/>
      <c r="E137" s="1048"/>
      <c r="F137" s="1048"/>
      <c r="G137" s="1048"/>
      <c r="H137" s="1048"/>
      <c r="I137" s="1048"/>
      <c r="J137" s="1048"/>
      <c r="K137" s="1048"/>
      <c r="L137" s="1048"/>
      <c r="M137" s="1048"/>
      <c r="N137" s="1048"/>
      <c r="O137" s="1048"/>
      <c r="P137" s="1048"/>
      <c r="Q137" s="1048"/>
      <c r="R137" s="1048"/>
      <c r="S137" s="1048"/>
      <c r="T137" s="1048"/>
      <c r="U137" s="1048"/>
      <c r="V137" s="1048"/>
      <c r="W137" s="1048"/>
      <c r="X137" s="1048"/>
      <c r="Y137" s="1048"/>
      <c r="Z137" s="1048"/>
      <c r="AA137" s="1048"/>
      <c r="AB137" s="1048"/>
      <c r="AC137" s="1048"/>
      <c r="AD137" s="1048"/>
      <c r="AE137" s="1048"/>
      <c r="AF137" s="1048"/>
      <c r="AG137" s="1048"/>
      <c r="AH137" s="399">
        <v>11236412</v>
      </c>
      <c r="AI137" s="1048"/>
    </row>
    <row r="138" spans="1:35" ht="12" customHeight="1" x14ac:dyDescent="0.2">
      <c r="A138" s="1013" t="s">
        <v>147</v>
      </c>
      <c r="B138" s="1044" t="s">
        <v>1793</v>
      </c>
      <c r="C138" s="818">
        <f t="shared" si="18"/>
        <v>972206827</v>
      </c>
      <c r="D138" s="1048"/>
      <c r="E138" s="1048"/>
      <c r="F138" s="1048"/>
      <c r="G138" s="1048"/>
      <c r="H138" s="1048"/>
      <c r="I138" s="1048"/>
      <c r="J138" s="1048"/>
      <c r="K138" s="1048"/>
      <c r="L138" s="1048"/>
      <c r="M138" s="1048"/>
      <c r="N138" s="1048"/>
      <c r="O138" s="1048"/>
      <c r="P138" s="1048"/>
      <c r="Q138" s="1048"/>
      <c r="R138" s="1048"/>
      <c r="S138" s="1048"/>
      <c r="T138" s="1048"/>
      <c r="U138" s="1048"/>
      <c r="V138" s="1048"/>
      <c r="W138" s="1048"/>
      <c r="X138" s="1048"/>
      <c r="Y138" s="1048"/>
      <c r="Z138" s="1048"/>
      <c r="AA138" s="1048"/>
      <c r="AB138" s="1048"/>
      <c r="AC138" s="1048"/>
      <c r="AD138" s="1048"/>
      <c r="AE138" s="1048"/>
      <c r="AF138" s="815">
        <f>930688315+41518512</f>
        <v>972206827</v>
      </c>
      <c r="AG138" s="1048"/>
      <c r="AH138" s="1048"/>
      <c r="AI138" s="1048"/>
    </row>
    <row r="139" spans="1:35" ht="12" customHeight="1" thickBot="1" x14ac:dyDescent="0.25">
      <c r="A139" s="1051" t="s">
        <v>149</v>
      </c>
      <c r="B139" s="366" t="s">
        <v>278</v>
      </c>
      <c r="C139" s="818">
        <f t="shared" si="18"/>
        <v>4120937</v>
      </c>
      <c r="D139" s="1055"/>
      <c r="E139" s="1055"/>
      <c r="F139" s="1055"/>
      <c r="G139" s="1055"/>
      <c r="H139" s="1055"/>
      <c r="I139" s="1055"/>
      <c r="J139" s="1055"/>
      <c r="K139" s="1055"/>
      <c r="L139" s="1055"/>
      <c r="M139" s="1055"/>
      <c r="N139" s="1055"/>
      <c r="O139" s="1055"/>
      <c r="P139" s="1055"/>
      <c r="Q139" s="1055"/>
      <c r="R139" s="1055"/>
      <c r="S139" s="1055"/>
      <c r="T139" s="1055"/>
      <c r="U139" s="1055"/>
      <c r="V139" s="1055"/>
      <c r="W139" s="1055"/>
      <c r="X139" s="1055"/>
      <c r="Y139" s="1055"/>
      <c r="Z139" s="1055"/>
      <c r="AA139" s="1055"/>
      <c r="AB139" s="1055"/>
      <c r="AC139" s="1055"/>
      <c r="AD139" s="1055"/>
      <c r="AE139" s="1055"/>
      <c r="AF139" s="1055"/>
      <c r="AG139" s="1055">
        <f>2148538+1972399</f>
        <v>4120937</v>
      </c>
      <c r="AH139" s="1055"/>
      <c r="AI139" s="1055"/>
    </row>
    <row r="140" spans="1:35" ht="15" customHeight="1" thickBot="1" x14ac:dyDescent="0.25">
      <c r="A140" s="1011" t="s">
        <v>151</v>
      </c>
      <c r="B140" s="1062" t="s">
        <v>279</v>
      </c>
      <c r="C140" s="1026">
        <f t="shared" si="18"/>
        <v>0</v>
      </c>
      <c r="D140" s="1064"/>
      <c r="E140" s="1064"/>
      <c r="F140" s="1064"/>
      <c r="G140" s="1064"/>
      <c r="H140" s="1063"/>
      <c r="I140" s="1063"/>
      <c r="J140" s="1063"/>
      <c r="K140" s="1063"/>
      <c r="L140" s="1063"/>
      <c r="M140" s="1063"/>
      <c r="N140" s="1063"/>
      <c r="O140" s="1063"/>
      <c r="P140" s="1063"/>
      <c r="Q140" s="1063"/>
      <c r="R140" s="1063"/>
      <c r="S140" s="1063"/>
      <c r="T140" s="1063"/>
      <c r="U140" s="1063"/>
      <c r="V140" s="1063"/>
      <c r="W140" s="1063"/>
      <c r="X140" s="1063"/>
      <c r="Y140" s="1063"/>
      <c r="Z140" s="1063"/>
      <c r="AA140" s="1063"/>
      <c r="AB140" s="1063"/>
      <c r="AC140" s="1063"/>
      <c r="AD140" s="1063"/>
      <c r="AE140" s="1063"/>
      <c r="AF140" s="1063"/>
      <c r="AG140" s="1063"/>
      <c r="AH140" s="1063"/>
      <c r="AI140" s="1063"/>
    </row>
    <row r="141" spans="1:35" s="407" customFormat="1" ht="12.9" customHeight="1" x14ac:dyDescent="0.2">
      <c r="A141" s="1013" t="s">
        <v>153</v>
      </c>
      <c r="B141" s="1044" t="s">
        <v>280</v>
      </c>
      <c r="C141" s="1021">
        <f t="shared" si="18"/>
        <v>0</v>
      </c>
      <c r="D141" s="1015"/>
      <c r="E141" s="1015"/>
      <c r="F141" s="1015"/>
      <c r="G141" s="1015"/>
      <c r="H141" s="1015"/>
      <c r="I141" s="1015"/>
      <c r="J141" s="1015"/>
      <c r="K141" s="1015"/>
      <c r="L141" s="1015"/>
      <c r="M141" s="1015"/>
      <c r="N141" s="1015"/>
      <c r="O141" s="1015"/>
      <c r="P141" s="1015"/>
      <c r="Q141" s="1015"/>
      <c r="R141" s="1015"/>
      <c r="S141" s="1015"/>
      <c r="T141" s="1015"/>
      <c r="U141" s="1015"/>
      <c r="V141" s="1015"/>
      <c r="W141" s="1015"/>
      <c r="X141" s="1015"/>
      <c r="Y141" s="1015"/>
      <c r="Z141" s="1015"/>
      <c r="AA141" s="1015"/>
      <c r="AB141" s="1015"/>
      <c r="AC141" s="1015"/>
      <c r="AD141" s="1015"/>
      <c r="AE141" s="1015"/>
      <c r="AF141" s="1015"/>
      <c r="AG141" s="1015"/>
      <c r="AH141" s="1015"/>
      <c r="AI141" s="1015"/>
    </row>
    <row r="142" spans="1:35" ht="12.75" customHeight="1" x14ac:dyDescent="0.2">
      <c r="A142" s="1013" t="s">
        <v>155</v>
      </c>
      <c r="B142" s="1044" t="s">
        <v>281</v>
      </c>
      <c r="C142" s="818">
        <f t="shared" si="18"/>
        <v>0</v>
      </c>
      <c r="D142" s="1048"/>
      <c r="E142" s="1048"/>
      <c r="F142" s="1048"/>
      <c r="G142" s="1048"/>
      <c r="H142" s="1048"/>
      <c r="I142" s="1048"/>
      <c r="J142" s="1048"/>
      <c r="K142" s="1048"/>
      <c r="L142" s="1048"/>
      <c r="M142" s="1048"/>
      <c r="N142" s="1048"/>
      <c r="O142" s="1048"/>
      <c r="P142" s="1048"/>
      <c r="Q142" s="1048"/>
      <c r="R142" s="1048"/>
      <c r="S142" s="1048"/>
      <c r="T142" s="1048"/>
      <c r="U142" s="1048"/>
      <c r="V142" s="1048"/>
      <c r="W142" s="1048"/>
      <c r="X142" s="1048"/>
      <c r="Y142" s="1048"/>
      <c r="Z142" s="1048"/>
      <c r="AA142" s="1048"/>
      <c r="AB142" s="1048"/>
      <c r="AC142" s="1048"/>
      <c r="AD142" s="1048"/>
      <c r="AE142" s="1048"/>
      <c r="AF142" s="1048"/>
      <c r="AG142" s="1048"/>
      <c r="AH142" s="1048"/>
      <c r="AI142" s="1048"/>
    </row>
    <row r="143" spans="1:35" ht="12.75" customHeight="1" x14ac:dyDescent="0.2">
      <c r="A143" s="1013" t="s">
        <v>157</v>
      </c>
      <c r="B143" s="1044" t="s">
        <v>282</v>
      </c>
      <c r="C143" s="818">
        <f t="shared" si="18"/>
        <v>0</v>
      </c>
      <c r="D143" s="1048"/>
      <c r="E143" s="1048"/>
      <c r="F143" s="1048"/>
      <c r="G143" s="1048"/>
      <c r="H143" s="1048"/>
      <c r="I143" s="1048"/>
      <c r="J143" s="1048"/>
      <c r="K143" s="1048"/>
      <c r="L143" s="1048"/>
      <c r="M143" s="1048"/>
      <c r="N143" s="1048"/>
      <c r="O143" s="1048"/>
      <c r="P143" s="1048"/>
      <c r="Q143" s="1048"/>
      <c r="R143" s="1048"/>
      <c r="S143" s="1048"/>
      <c r="T143" s="1048"/>
      <c r="U143" s="1048"/>
      <c r="V143" s="1048"/>
      <c r="W143" s="1048"/>
      <c r="X143" s="1048"/>
      <c r="Y143" s="1048"/>
      <c r="Z143" s="1048"/>
      <c r="AA143" s="1048"/>
      <c r="AB143" s="1048"/>
      <c r="AC143" s="1048"/>
      <c r="AD143" s="1048"/>
      <c r="AE143" s="1048"/>
      <c r="AF143" s="1048"/>
      <c r="AG143" s="1048"/>
      <c r="AH143" s="1048"/>
      <c r="AI143" s="1048"/>
    </row>
    <row r="144" spans="1:35" ht="12.75" customHeight="1" thickBot="1" x14ac:dyDescent="0.25">
      <c r="A144" s="1013" t="s">
        <v>159</v>
      </c>
      <c r="B144" s="1044" t="s">
        <v>283</v>
      </c>
      <c r="C144" s="818">
        <f t="shared" si="18"/>
        <v>0</v>
      </c>
      <c r="D144" s="1055"/>
      <c r="E144" s="1055"/>
      <c r="F144" s="1055"/>
      <c r="G144" s="1055"/>
      <c r="H144" s="1055"/>
      <c r="I144" s="1055"/>
      <c r="J144" s="1055"/>
      <c r="K144" s="1055"/>
      <c r="L144" s="1055"/>
      <c r="M144" s="1055"/>
      <c r="N144" s="1055"/>
      <c r="O144" s="1055"/>
      <c r="P144" s="1055"/>
      <c r="Q144" s="1055"/>
      <c r="R144" s="1055"/>
      <c r="S144" s="1055"/>
      <c r="T144" s="1055"/>
      <c r="U144" s="1055"/>
      <c r="V144" s="1055"/>
      <c r="W144" s="1055"/>
      <c r="X144" s="1055"/>
      <c r="Y144" s="1055"/>
      <c r="Z144" s="1055"/>
      <c r="AA144" s="1055"/>
      <c r="AB144" s="1055"/>
      <c r="AC144" s="1055"/>
      <c r="AD144" s="1055"/>
      <c r="AE144" s="1055"/>
      <c r="AF144" s="1055"/>
      <c r="AG144" s="1055"/>
      <c r="AH144" s="1055"/>
      <c r="AI144" s="1055"/>
    </row>
    <row r="145" spans="1:35" ht="10.8" thickBot="1" x14ac:dyDescent="0.25">
      <c r="A145" s="1011" t="s">
        <v>161</v>
      </c>
      <c r="B145" s="1062" t="s">
        <v>284</v>
      </c>
      <c r="C145" s="1012">
        <f>C140+C135+C130+C126</f>
        <v>1083757485</v>
      </c>
      <c r="D145" s="1065">
        <f t="shared" ref="D145:AI145" si="26">+D126+D130+D135+D140</f>
        <v>0</v>
      </c>
      <c r="E145" s="1065">
        <f t="shared" si="26"/>
        <v>0</v>
      </c>
      <c r="F145" s="1065">
        <f t="shared" si="26"/>
        <v>0</v>
      </c>
      <c r="G145" s="1065">
        <f t="shared" si="26"/>
        <v>0</v>
      </c>
      <c r="H145" s="1065">
        <f t="shared" si="26"/>
        <v>0</v>
      </c>
      <c r="I145" s="1065">
        <f t="shared" si="26"/>
        <v>0</v>
      </c>
      <c r="J145" s="1065">
        <f t="shared" si="26"/>
        <v>0</v>
      </c>
      <c r="K145" s="1065">
        <f t="shared" si="26"/>
        <v>0</v>
      </c>
      <c r="L145" s="1065"/>
      <c r="M145" s="1065">
        <f t="shared" si="26"/>
        <v>0</v>
      </c>
      <c r="N145" s="1065">
        <f t="shared" si="26"/>
        <v>0</v>
      </c>
      <c r="O145" s="1065">
        <f t="shared" si="26"/>
        <v>0</v>
      </c>
      <c r="P145" s="1065"/>
      <c r="Q145" s="1065">
        <f t="shared" si="26"/>
        <v>0</v>
      </c>
      <c r="R145" s="1065">
        <f t="shared" si="26"/>
        <v>0</v>
      </c>
      <c r="S145" s="1065">
        <f t="shared" si="26"/>
        <v>0</v>
      </c>
      <c r="T145" s="1065">
        <f t="shared" si="26"/>
        <v>0</v>
      </c>
      <c r="U145" s="1065">
        <f t="shared" si="26"/>
        <v>0</v>
      </c>
      <c r="V145" s="1065">
        <f t="shared" si="26"/>
        <v>0</v>
      </c>
      <c r="W145" s="1065"/>
      <c r="X145" s="1065">
        <f t="shared" si="26"/>
        <v>0</v>
      </c>
      <c r="Y145" s="1065">
        <f t="shared" si="26"/>
        <v>0</v>
      </c>
      <c r="Z145" s="1065">
        <f t="shared" si="26"/>
        <v>0</v>
      </c>
      <c r="AA145" s="1065">
        <f t="shared" si="26"/>
        <v>0</v>
      </c>
      <c r="AB145" s="1065">
        <f t="shared" si="26"/>
        <v>0</v>
      </c>
      <c r="AC145" s="1065">
        <f t="shared" si="26"/>
        <v>0</v>
      </c>
      <c r="AD145" s="1065">
        <f t="shared" si="26"/>
        <v>0</v>
      </c>
      <c r="AE145" s="1065">
        <f t="shared" si="26"/>
        <v>0</v>
      </c>
      <c r="AF145" s="1065">
        <f t="shared" si="26"/>
        <v>972206827</v>
      </c>
      <c r="AG145" s="1065">
        <f t="shared" si="26"/>
        <v>100314246</v>
      </c>
      <c r="AH145" s="1065">
        <f t="shared" si="26"/>
        <v>11236412</v>
      </c>
      <c r="AI145" s="1065">
        <f t="shared" si="26"/>
        <v>0</v>
      </c>
    </row>
    <row r="146" spans="1:35" ht="10.8" thickBot="1" x14ac:dyDescent="0.25">
      <c r="A146" s="1066" t="s">
        <v>285</v>
      </c>
      <c r="B146" s="1067" t="s">
        <v>286</v>
      </c>
      <c r="C146" s="1012">
        <f>C145+C125</f>
        <v>1810416301</v>
      </c>
      <c r="D146" s="1065">
        <f t="shared" ref="D146:AI146" si="27">+D125+D145</f>
        <v>48177450</v>
      </c>
      <c r="E146" s="1065">
        <f t="shared" si="27"/>
        <v>20671961</v>
      </c>
      <c r="F146" s="1065">
        <f t="shared" si="27"/>
        <v>320298574</v>
      </c>
      <c r="G146" s="1065">
        <f t="shared" si="27"/>
        <v>27774256</v>
      </c>
      <c r="H146" s="1065">
        <f t="shared" si="27"/>
        <v>11073612</v>
      </c>
      <c r="I146" s="1065">
        <f t="shared" si="27"/>
        <v>78369915</v>
      </c>
      <c r="J146" s="1065">
        <f t="shared" si="27"/>
        <v>515000</v>
      </c>
      <c r="K146" s="1065">
        <f t="shared" si="27"/>
        <v>0</v>
      </c>
      <c r="L146" s="1065"/>
      <c r="M146" s="1065">
        <f t="shared" si="27"/>
        <v>15697200</v>
      </c>
      <c r="N146" s="1065">
        <f t="shared" si="27"/>
        <v>6350000</v>
      </c>
      <c r="O146" s="1065">
        <f t="shared" si="27"/>
        <v>1560000</v>
      </c>
      <c r="P146" s="1065"/>
      <c r="Q146" s="1065">
        <f t="shared" si="27"/>
        <v>0</v>
      </c>
      <c r="R146" s="1065">
        <f t="shared" si="27"/>
        <v>10000000</v>
      </c>
      <c r="S146" s="1065">
        <f t="shared" si="27"/>
        <v>3175000</v>
      </c>
      <c r="T146" s="1065">
        <f t="shared" si="27"/>
        <v>10144790</v>
      </c>
      <c r="U146" s="1065">
        <f t="shared" si="27"/>
        <v>300000</v>
      </c>
      <c r="V146" s="1065">
        <f t="shared" si="27"/>
        <v>5446980</v>
      </c>
      <c r="W146" s="1065"/>
      <c r="X146" s="1065">
        <f t="shared" si="27"/>
        <v>762000</v>
      </c>
      <c r="Y146" s="1065">
        <f t="shared" si="27"/>
        <v>990600</v>
      </c>
      <c r="Z146" s="1065">
        <f t="shared" si="27"/>
        <v>0</v>
      </c>
      <c r="AA146" s="1065">
        <f t="shared" si="27"/>
        <v>0</v>
      </c>
      <c r="AB146" s="1065">
        <f t="shared" si="27"/>
        <v>76327000</v>
      </c>
      <c r="AC146" s="1065">
        <f t="shared" si="27"/>
        <v>254000</v>
      </c>
      <c r="AD146" s="1065">
        <f t="shared" si="27"/>
        <v>635000</v>
      </c>
      <c r="AE146" s="1065">
        <f t="shared" si="27"/>
        <v>10296000</v>
      </c>
      <c r="AF146" s="1065">
        <f t="shared" si="27"/>
        <v>972206827</v>
      </c>
      <c r="AG146" s="1065">
        <f t="shared" si="27"/>
        <v>100314246</v>
      </c>
      <c r="AH146" s="1065">
        <f t="shared" si="27"/>
        <v>11236412</v>
      </c>
      <c r="AI146" s="1065">
        <f t="shared" si="27"/>
        <v>864000</v>
      </c>
    </row>
    <row r="148" spans="1:35" ht="7.5" customHeight="1" x14ac:dyDescent="0.2"/>
    <row r="150" spans="1:35" ht="12.75" customHeight="1" x14ac:dyDescent="0.2"/>
    <row r="151" spans="1:35" ht="12.75" customHeight="1" x14ac:dyDescent="0.2"/>
    <row r="152" spans="1:35" ht="12.75" customHeight="1" x14ac:dyDescent="0.2"/>
    <row r="153" spans="1:35" ht="12.75" customHeight="1" x14ac:dyDescent="0.2"/>
    <row r="154" spans="1:35" ht="12.75" customHeight="1" x14ac:dyDescent="0.2"/>
    <row r="155" spans="1:35" ht="12.75" customHeight="1" x14ac:dyDescent="0.2"/>
    <row r="156" spans="1:35" ht="12.75" customHeight="1" x14ac:dyDescent="0.2"/>
    <row r="157" spans="1:35" ht="12.75" customHeight="1" x14ac:dyDescent="0.2"/>
  </sheetData>
  <mergeCells count="2">
    <mergeCell ref="A3:C3"/>
    <mergeCell ref="A88:C88"/>
  </mergeCells>
  <pageMargins left="0.70866141732283472" right="0.70866141732283472" top="0.74803149606299213" bottom="0.74803149606299213" header="0.31496062992125984" footer="0.31496062992125984"/>
  <pageSetup paperSize="8" scale="70" orientation="landscape" r:id="rId1"/>
  <headerFooter>
    <oddHeader xml:space="preserve">&amp;C&amp;"Times New Roman CE,Dőlt"7-8. melléklet a 2/2020  (II.28.) önkormányzati rendelethez&amp;R7-8. melléklet a 2/2020. (II.28.) önkormányzati rendelethez
</oddHeader>
  </headerFooter>
  <rowBreaks count="1" manualBreakCount="1">
    <brk id="86" max="34" man="1"/>
  </row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H162"/>
  <sheetViews>
    <sheetView view="pageLayout" topLeftCell="E88" zoomScaleNormal="100" zoomScaleSheetLayoutView="100" workbookViewId="0">
      <selection activeCell="G105" sqref="G105"/>
    </sheetView>
  </sheetViews>
  <sheetFormatPr defaultColWidth="9.33203125" defaultRowHeight="12" x14ac:dyDescent="0.25"/>
  <cols>
    <col min="1" max="1" width="9.44140625" style="820" customWidth="1"/>
    <col min="2" max="2" width="60.77734375" style="820" customWidth="1"/>
    <col min="3" max="3" width="15.77734375" style="1162" customWidth="1"/>
    <col min="4" max="4" width="22.33203125" style="1163" customWidth="1"/>
    <col min="5" max="5" width="15.109375" style="820" customWidth="1"/>
    <col min="6" max="7" width="18.6640625" style="820" customWidth="1"/>
    <col min="8" max="8" width="16.33203125" style="1001" customWidth="1"/>
    <col min="9" max="16384" width="9.33203125" style="820"/>
  </cols>
  <sheetData>
    <row r="1" spans="1:8" x14ac:dyDescent="0.25">
      <c r="B1" s="1161"/>
    </row>
    <row r="3" spans="1:8" ht="15.9" customHeight="1" x14ac:dyDescent="0.3">
      <c r="A3" s="1670" t="s">
        <v>39</v>
      </c>
      <c r="B3" s="1670"/>
      <c r="C3" s="1670"/>
      <c r="D3" s="1669"/>
      <c r="E3" s="1669"/>
      <c r="F3" s="1669"/>
      <c r="G3" s="1669"/>
      <c r="H3" s="1669"/>
    </row>
    <row r="4" spans="1:8" ht="15.9" customHeight="1" thickBot="1" x14ac:dyDescent="0.3">
      <c r="A4" s="42" t="s">
        <v>2117</v>
      </c>
      <c r="B4" s="42"/>
      <c r="C4" s="1164"/>
      <c r="H4" s="1147" t="s">
        <v>1690</v>
      </c>
    </row>
    <row r="5" spans="1:8" s="1165" customFormat="1" ht="16.5" customHeight="1" thickBot="1" x14ac:dyDescent="0.3">
      <c r="A5" s="1671" t="s">
        <v>588</v>
      </c>
      <c r="B5" s="1671" t="s">
        <v>42</v>
      </c>
      <c r="C5" s="1671" t="s">
        <v>1949</v>
      </c>
      <c r="D5" s="1672" t="s">
        <v>2022</v>
      </c>
      <c r="E5" s="1672" t="s">
        <v>1956</v>
      </c>
      <c r="F5" s="1672" t="s">
        <v>2006</v>
      </c>
      <c r="G5" s="1672" t="s">
        <v>2023</v>
      </c>
      <c r="H5" s="1672" t="s">
        <v>1978</v>
      </c>
    </row>
    <row r="6" spans="1:8" s="1165" customFormat="1" ht="38.25" customHeight="1" thickBot="1" x14ac:dyDescent="0.3">
      <c r="A6" s="1671"/>
      <c r="B6" s="1671"/>
      <c r="C6" s="1671"/>
      <c r="D6" s="1673"/>
      <c r="E6" s="1673"/>
      <c r="F6" s="1673"/>
      <c r="G6" s="1673"/>
      <c r="H6" s="1674"/>
    </row>
    <row r="7" spans="1:8" s="1165" customFormat="1" ht="12" customHeight="1" thickBot="1" x14ac:dyDescent="0.3">
      <c r="A7" s="1166" t="s">
        <v>46</v>
      </c>
      <c r="B7" s="1166" t="s">
        <v>47</v>
      </c>
      <c r="C7" s="1166" t="s">
        <v>294</v>
      </c>
      <c r="D7" s="1167" t="s">
        <v>295</v>
      </c>
      <c r="E7" s="1168" t="s">
        <v>296</v>
      </c>
      <c r="F7" s="1168" t="s">
        <v>297</v>
      </c>
      <c r="G7" s="1166" t="s">
        <v>399</v>
      </c>
      <c r="H7" s="1166" t="s">
        <v>400</v>
      </c>
    </row>
    <row r="8" spans="1:8" s="1170" customFormat="1" ht="12" customHeight="1" thickBot="1" x14ac:dyDescent="0.3">
      <c r="A8" s="1169" t="s">
        <v>51</v>
      </c>
      <c r="B8" s="1169" t="s">
        <v>52</v>
      </c>
      <c r="C8" s="824">
        <f>SUM(C9:C14)</f>
        <v>0</v>
      </c>
      <c r="D8" s="824">
        <f t="shared" ref="D8:H8" si="0">SUM(D9:D14)</f>
        <v>0</v>
      </c>
      <c r="E8" s="824">
        <f t="shared" si="0"/>
        <v>0</v>
      </c>
      <c r="F8" s="824">
        <f t="shared" si="0"/>
        <v>0</v>
      </c>
      <c r="G8" s="824"/>
      <c r="H8" s="824">
        <f t="shared" si="0"/>
        <v>0</v>
      </c>
    </row>
    <row r="9" spans="1:8" s="1170" customFormat="1" ht="12" customHeight="1" x14ac:dyDescent="0.25">
      <c r="A9" s="1171" t="s">
        <v>53</v>
      </c>
      <c r="B9" s="1172" t="s">
        <v>54</v>
      </c>
      <c r="C9" s="825"/>
      <c r="D9" s="1173"/>
      <c r="E9" s="1174"/>
      <c r="F9" s="1174"/>
      <c r="G9" s="1174"/>
      <c r="H9" s="1133"/>
    </row>
    <row r="10" spans="1:8" s="1170" customFormat="1" ht="12" customHeight="1" x14ac:dyDescent="0.25">
      <c r="A10" s="1175" t="s">
        <v>55</v>
      </c>
      <c r="B10" s="1176" t="s">
        <v>56</v>
      </c>
      <c r="C10" s="1177"/>
      <c r="D10" s="1178"/>
      <c r="E10" s="1179"/>
      <c r="F10" s="1179"/>
      <c r="G10" s="1179"/>
      <c r="H10" s="1135"/>
    </row>
    <row r="11" spans="1:8" s="1170" customFormat="1" ht="12" customHeight="1" x14ac:dyDescent="0.25">
      <c r="A11" s="1175" t="s">
        <v>57</v>
      </c>
      <c r="B11" s="1176" t="s">
        <v>58</v>
      </c>
      <c r="C11" s="1177"/>
      <c r="D11" s="1178"/>
      <c r="E11" s="1179"/>
      <c r="F11" s="1179"/>
      <c r="G11" s="1179"/>
      <c r="H11" s="1135"/>
    </row>
    <row r="12" spans="1:8" s="1170" customFormat="1" ht="12" customHeight="1" x14ac:dyDescent="0.25">
      <c r="A12" s="1175" t="s">
        <v>59</v>
      </c>
      <c r="B12" s="1176" t="s">
        <v>60</v>
      </c>
      <c r="C12" s="1177"/>
      <c r="D12" s="1178"/>
      <c r="E12" s="1179"/>
      <c r="F12" s="1179"/>
      <c r="G12" s="1179"/>
      <c r="H12" s="1135"/>
    </row>
    <row r="13" spans="1:8" s="1170" customFormat="1" ht="12" customHeight="1" x14ac:dyDescent="0.25">
      <c r="A13" s="1175" t="s">
        <v>61</v>
      </c>
      <c r="B13" s="1176" t="s">
        <v>287</v>
      </c>
      <c r="C13" s="1177"/>
      <c r="D13" s="1178"/>
      <c r="E13" s="1179"/>
      <c r="F13" s="1179"/>
      <c r="G13" s="1179"/>
      <c r="H13" s="1135"/>
    </row>
    <row r="14" spans="1:8" s="1170" customFormat="1" ht="12" customHeight="1" thickBot="1" x14ac:dyDescent="0.3">
      <c r="A14" s="1180" t="s">
        <v>63</v>
      </c>
      <c r="B14" s="1181" t="s">
        <v>64</v>
      </c>
      <c r="C14" s="1182"/>
      <c r="D14" s="1178"/>
      <c r="E14" s="1179"/>
      <c r="F14" s="1179"/>
      <c r="G14" s="1183"/>
      <c r="H14" s="1151"/>
    </row>
    <row r="15" spans="1:8" s="1170" customFormat="1" ht="12" customHeight="1" thickBot="1" x14ac:dyDescent="0.3">
      <c r="A15" s="1169" t="s">
        <v>65</v>
      </c>
      <c r="B15" s="1184" t="s">
        <v>66</v>
      </c>
      <c r="C15" s="824">
        <f>SUM(D15:H15)</f>
        <v>4761011</v>
      </c>
      <c r="D15" s="824">
        <f t="shared" ref="D15:H15" si="1">SUM(D16:D20)</f>
        <v>0</v>
      </c>
      <c r="E15" s="824">
        <f t="shared" si="1"/>
        <v>0</v>
      </c>
      <c r="F15" s="824">
        <f t="shared" si="1"/>
        <v>0</v>
      </c>
      <c r="G15" s="824">
        <f>SUM(G16:G21)</f>
        <v>4761011</v>
      </c>
      <c r="H15" s="817">
        <f t="shared" si="1"/>
        <v>0</v>
      </c>
    </row>
    <row r="16" spans="1:8" s="1170" customFormat="1" ht="12" customHeight="1" x14ac:dyDescent="0.25">
      <c r="A16" s="1171" t="s">
        <v>67</v>
      </c>
      <c r="B16" s="1172" t="s">
        <v>68</v>
      </c>
      <c r="C16" s="825"/>
      <c r="D16" s="1178"/>
      <c r="E16" s="1179"/>
      <c r="F16" s="1179"/>
      <c r="G16" s="1174"/>
      <c r="H16" s="1133"/>
    </row>
    <row r="17" spans="1:8" s="1170" customFormat="1" ht="12" customHeight="1" x14ac:dyDescent="0.25">
      <c r="A17" s="1175" t="s">
        <v>69</v>
      </c>
      <c r="B17" s="1176" t="s">
        <v>70</v>
      </c>
      <c r="C17" s="1177"/>
      <c r="D17" s="1178"/>
      <c r="E17" s="1179"/>
      <c r="F17" s="1179"/>
      <c r="G17" s="1179"/>
      <c r="H17" s="1135"/>
    </row>
    <row r="18" spans="1:8" s="1170" customFormat="1" ht="12" customHeight="1" x14ac:dyDescent="0.25">
      <c r="A18" s="1175" t="s">
        <v>71</v>
      </c>
      <c r="B18" s="1176" t="s">
        <v>72</v>
      </c>
      <c r="C18" s="1177"/>
      <c r="D18" s="1178"/>
      <c r="E18" s="1179"/>
      <c r="F18" s="1179"/>
      <c r="G18" s="1179"/>
      <c r="H18" s="1135"/>
    </row>
    <row r="19" spans="1:8" s="1170" customFormat="1" ht="12" customHeight="1" x14ac:dyDescent="0.25">
      <c r="A19" s="1175" t="s">
        <v>73</v>
      </c>
      <c r="B19" s="1176" t="s">
        <v>74</v>
      </c>
      <c r="C19" s="1177"/>
      <c r="D19" s="1178"/>
      <c r="E19" s="1179"/>
      <c r="F19" s="1179"/>
      <c r="G19" s="1179"/>
      <c r="H19" s="1135"/>
    </row>
    <row r="20" spans="1:8" s="1170" customFormat="1" ht="12" customHeight="1" x14ac:dyDescent="0.25">
      <c r="A20" s="1175" t="s">
        <v>75</v>
      </c>
      <c r="B20" s="1176" t="s">
        <v>76</v>
      </c>
      <c r="C20" s="1177">
        <v>4666483</v>
      </c>
      <c r="D20" s="1178"/>
      <c r="E20" s="1179"/>
      <c r="F20" s="1179"/>
      <c r="G20" s="1179">
        <v>4761011</v>
      </c>
      <c r="H20" s="1135"/>
    </row>
    <row r="21" spans="1:8" s="1170" customFormat="1" ht="12" customHeight="1" thickBot="1" x14ac:dyDescent="0.3">
      <c r="A21" s="1180" t="s">
        <v>77</v>
      </c>
      <c r="B21" s="1181" t="s">
        <v>78</v>
      </c>
      <c r="C21" s="1182"/>
      <c r="D21" s="1178"/>
      <c r="E21" s="1179"/>
      <c r="F21" s="1179"/>
      <c r="G21" s="1183"/>
      <c r="H21" s="1151"/>
    </row>
    <row r="22" spans="1:8" s="1170" customFormat="1" ht="12" customHeight="1" thickBot="1" x14ac:dyDescent="0.3">
      <c r="A22" s="1169" t="s">
        <v>79</v>
      </c>
      <c r="B22" s="1169" t="s">
        <v>80</v>
      </c>
      <c r="C22" s="824">
        <f>SUM(C23:C27)</f>
        <v>0</v>
      </c>
      <c r="D22" s="824">
        <f t="shared" ref="D22:H22" si="2">SUM(D23:D27)</f>
        <v>0</v>
      </c>
      <c r="E22" s="824">
        <f t="shared" si="2"/>
        <v>0</v>
      </c>
      <c r="F22" s="824">
        <f t="shared" si="2"/>
        <v>0</v>
      </c>
      <c r="G22" s="824"/>
      <c r="H22" s="817">
        <f t="shared" si="2"/>
        <v>0</v>
      </c>
    </row>
    <row r="23" spans="1:8" s="1170" customFormat="1" ht="12" customHeight="1" x14ac:dyDescent="0.25">
      <c r="A23" s="1171" t="s">
        <v>81</v>
      </c>
      <c r="B23" s="1172" t="s">
        <v>82</v>
      </c>
      <c r="C23" s="825"/>
      <c r="D23" s="1178"/>
      <c r="E23" s="1179"/>
      <c r="F23" s="1179"/>
      <c r="G23" s="1174"/>
      <c r="H23" s="1133"/>
    </row>
    <row r="24" spans="1:8" s="1170" customFormat="1" ht="12" customHeight="1" x14ac:dyDescent="0.25">
      <c r="A24" s="1175" t="s">
        <v>83</v>
      </c>
      <c r="B24" s="1176" t="s">
        <v>84</v>
      </c>
      <c r="C24" s="1177"/>
      <c r="D24" s="1178"/>
      <c r="E24" s="1179"/>
      <c r="F24" s="1179"/>
      <c r="G24" s="1179"/>
      <c r="H24" s="1135"/>
    </row>
    <row r="25" spans="1:8" s="1170" customFormat="1" ht="12" customHeight="1" x14ac:dyDescent="0.25">
      <c r="A25" s="1175" t="s">
        <v>85</v>
      </c>
      <c r="B25" s="1176" t="s">
        <v>86</v>
      </c>
      <c r="C25" s="1177"/>
      <c r="D25" s="1178"/>
      <c r="E25" s="1179"/>
      <c r="F25" s="1179"/>
      <c r="G25" s="1179"/>
      <c r="H25" s="1135"/>
    </row>
    <row r="26" spans="1:8" s="1170" customFormat="1" ht="12" customHeight="1" x14ac:dyDescent="0.25">
      <c r="A26" s="1175" t="s">
        <v>87</v>
      </c>
      <c r="B26" s="1176" t="s">
        <v>88</v>
      </c>
      <c r="C26" s="1177"/>
      <c r="D26" s="1178"/>
      <c r="E26" s="1179"/>
      <c r="F26" s="1179"/>
      <c r="G26" s="1179"/>
      <c r="H26" s="1135"/>
    </row>
    <row r="27" spans="1:8" s="1170" customFormat="1" ht="12" customHeight="1" x14ac:dyDescent="0.25">
      <c r="A27" s="1175" t="s">
        <v>89</v>
      </c>
      <c r="B27" s="1176" t="s">
        <v>90</v>
      </c>
      <c r="C27" s="1177"/>
      <c r="D27" s="1178"/>
      <c r="E27" s="1179"/>
      <c r="F27" s="1179"/>
      <c r="G27" s="1179"/>
      <c r="H27" s="1135"/>
    </row>
    <row r="28" spans="1:8" s="1170" customFormat="1" ht="12" customHeight="1" thickBot="1" x14ac:dyDescent="0.3">
      <c r="A28" s="1180" t="s">
        <v>91</v>
      </c>
      <c r="B28" s="1181" t="s">
        <v>92</v>
      </c>
      <c r="C28" s="1182"/>
      <c r="D28" s="1178"/>
      <c r="E28" s="1179"/>
      <c r="F28" s="1179"/>
      <c r="G28" s="1183"/>
      <c r="H28" s="1151"/>
    </row>
    <row r="29" spans="1:8" s="1170" customFormat="1" ht="12" customHeight="1" thickBot="1" x14ac:dyDescent="0.3">
      <c r="A29" s="1169" t="s">
        <v>93</v>
      </c>
      <c r="B29" s="1169" t="s">
        <v>94</v>
      </c>
      <c r="C29" s="826">
        <f>+C30+C33+C34+C35</f>
        <v>0</v>
      </c>
      <c r="D29" s="826">
        <f t="shared" ref="D29:H29" si="3">+D30+D33+D34+D35</f>
        <v>0</v>
      </c>
      <c r="E29" s="826">
        <f t="shared" si="3"/>
        <v>0</v>
      </c>
      <c r="F29" s="826">
        <f t="shared" si="3"/>
        <v>0</v>
      </c>
      <c r="G29" s="826"/>
      <c r="H29" s="816">
        <f t="shared" si="3"/>
        <v>0</v>
      </c>
    </row>
    <row r="30" spans="1:8" s="1170" customFormat="1" ht="12" customHeight="1" x14ac:dyDescent="0.25">
      <c r="A30" s="1171" t="s">
        <v>95</v>
      </c>
      <c r="B30" s="1172" t="s">
        <v>96</v>
      </c>
      <c r="C30" s="1185">
        <f>+C31+C32</f>
        <v>0</v>
      </c>
      <c r="D30" s="1178"/>
      <c r="E30" s="1179"/>
      <c r="F30" s="1179"/>
      <c r="G30" s="1174"/>
      <c r="H30" s="1133"/>
    </row>
    <row r="31" spans="1:8" s="1170" customFormat="1" ht="12" customHeight="1" x14ac:dyDescent="0.25">
      <c r="A31" s="1175" t="s">
        <v>97</v>
      </c>
      <c r="B31" s="1176" t="s">
        <v>98</v>
      </c>
      <c r="C31" s="1177"/>
      <c r="D31" s="1178"/>
      <c r="E31" s="1179"/>
      <c r="F31" s="1179"/>
      <c r="G31" s="1179"/>
      <c r="H31" s="1135"/>
    </row>
    <row r="32" spans="1:8" s="1170" customFormat="1" ht="12" customHeight="1" x14ac:dyDescent="0.25">
      <c r="A32" s="1175" t="s">
        <v>99</v>
      </c>
      <c r="B32" s="1176" t="s">
        <v>100</v>
      </c>
      <c r="C32" s="1177"/>
      <c r="D32" s="1178"/>
      <c r="E32" s="1179"/>
      <c r="F32" s="1179"/>
      <c r="G32" s="1179"/>
      <c r="H32" s="1135"/>
    </row>
    <row r="33" spans="1:8" s="1170" customFormat="1" ht="12" customHeight="1" x14ac:dyDescent="0.25">
      <c r="A33" s="1175" t="s">
        <v>101</v>
      </c>
      <c r="B33" s="1176" t="s">
        <v>102</v>
      </c>
      <c r="C33" s="1177"/>
      <c r="D33" s="1178"/>
      <c r="E33" s="1179"/>
      <c r="F33" s="1179"/>
      <c r="G33" s="1179"/>
      <c r="H33" s="1135"/>
    </row>
    <row r="34" spans="1:8" s="1170" customFormat="1" ht="12" customHeight="1" x14ac:dyDescent="0.25">
      <c r="A34" s="1175" t="s">
        <v>103</v>
      </c>
      <c r="B34" s="1176" t="s">
        <v>104</v>
      </c>
      <c r="C34" s="1177"/>
      <c r="D34" s="1178"/>
      <c r="E34" s="1179"/>
      <c r="F34" s="1179"/>
      <c r="G34" s="1179"/>
      <c r="H34" s="1135"/>
    </row>
    <row r="35" spans="1:8" s="1170" customFormat="1" ht="12" customHeight="1" thickBot="1" x14ac:dyDescent="0.3">
      <c r="A35" s="1180" t="s">
        <v>105</v>
      </c>
      <c r="B35" s="1181" t="s">
        <v>106</v>
      </c>
      <c r="C35" s="1182"/>
      <c r="D35" s="1178"/>
      <c r="E35" s="1179"/>
      <c r="F35" s="1179"/>
      <c r="G35" s="1183"/>
      <c r="H35" s="1151"/>
    </row>
    <row r="36" spans="1:8" s="1170" customFormat="1" ht="12" customHeight="1" thickBot="1" x14ac:dyDescent="0.3">
      <c r="A36" s="1169" t="s">
        <v>107</v>
      </c>
      <c r="B36" s="1169" t="s">
        <v>108</v>
      </c>
      <c r="C36" s="824">
        <f>SUM(C37:C46)</f>
        <v>1048472</v>
      </c>
      <c r="D36" s="824">
        <f t="shared" ref="D36:H36" si="4">SUM(D37:D46)</f>
        <v>1048472</v>
      </c>
      <c r="E36" s="824">
        <f t="shared" si="4"/>
        <v>0</v>
      </c>
      <c r="F36" s="824">
        <f t="shared" si="4"/>
        <v>0</v>
      </c>
      <c r="G36" s="824"/>
      <c r="H36" s="817">
        <f t="shared" si="4"/>
        <v>0</v>
      </c>
    </row>
    <row r="37" spans="1:8" s="1170" customFormat="1" ht="12" customHeight="1" x14ac:dyDescent="0.25">
      <c r="A37" s="1171" t="s">
        <v>109</v>
      </c>
      <c r="B37" s="1172" t="s">
        <v>110</v>
      </c>
      <c r="C37" s="825"/>
      <c r="D37" s="1178"/>
      <c r="E37" s="1179"/>
      <c r="F37" s="1179"/>
      <c r="G37" s="1174"/>
      <c r="H37" s="1133"/>
    </row>
    <row r="38" spans="1:8" s="1170" customFormat="1" ht="12" customHeight="1" x14ac:dyDescent="0.25">
      <c r="A38" s="1175" t="s">
        <v>111</v>
      </c>
      <c r="B38" s="1176" t="s">
        <v>112</v>
      </c>
      <c r="C38" s="1177">
        <f>SUM(D38:H38)</f>
        <v>588638</v>
      </c>
      <c r="D38" s="1178">
        <v>588638</v>
      </c>
      <c r="E38" s="1179"/>
      <c r="F38" s="1179"/>
      <c r="G38" s="1179"/>
      <c r="H38" s="1135"/>
    </row>
    <row r="39" spans="1:8" s="1170" customFormat="1" ht="12" customHeight="1" x14ac:dyDescent="0.25">
      <c r="A39" s="1175" t="s">
        <v>113</v>
      </c>
      <c r="B39" s="1176" t="s">
        <v>114</v>
      </c>
      <c r="C39" s="1177">
        <f t="shared" ref="C39:C46" si="5">SUM(D39:H39)</f>
        <v>184834</v>
      </c>
      <c r="D39" s="399">
        <v>184834</v>
      </c>
      <c r="E39" s="1179"/>
      <c r="F39" s="1179"/>
      <c r="G39" s="1179"/>
      <c r="H39" s="1135"/>
    </row>
    <row r="40" spans="1:8" s="1170" customFormat="1" ht="12" customHeight="1" x14ac:dyDescent="0.25">
      <c r="A40" s="1175" t="s">
        <v>115</v>
      </c>
      <c r="B40" s="1176" t="s">
        <v>116</v>
      </c>
      <c r="C40" s="1177">
        <f t="shared" si="5"/>
        <v>0</v>
      </c>
      <c r="D40" s="1178"/>
      <c r="E40" s="1179"/>
      <c r="F40" s="1179"/>
      <c r="G40" s="1179"/>
      <c r="H40" s="1135"/>
    </row>
    <row r="41" spans="1:8" s="1170" customFormat="1" ht="12" customHeight="1" x14ac:dyDescent="0.25">
      <c r="A41" s="1175" t="s">
        <v>117</v>
      </c>
      <c r="B41" s="1176" t="s">
        <v>118</v>
      </c>
      <c r="C41" s="1177">
        <f t="shared" si="5"/>
        <v>0</v>
      </c>
      <c r="D41" s="1178"/>
      <c r="E41" s="1179"/>
      <c r="F41" s="1179"/>
      <c r="G41" s="1179"/>
      <c r="H41" s="1135"/>
    </row>
    <row r="42" spans="1:8" s="1170" customFormat="1" ht="12" customHeight="1" x14ac:dyDescent="0.25">
      <c r="A42" s="1175" t="s">
        <v>119</v>
      </c>
      <c r="B42" s="1176" t="s">
        <v>120</v>
      </c>
      <c r="C42" s="1177">
        <f t="shared" si="5"/>
        <v>243000</v>
      </c>
      <c r="D42" s="1178">
        <v>243000</v>
      </c>
      <c r="E42" s="1179"/>
      <c r="F42" s="1179"/>
      <c r="G42" s="1179"/>
      <c r="H42" s="1135"/>
    </row>
    <row r="43" spans="1:8" s="1170" customFormat="1" ht="12" customHeight="1" x14ac:dyDescent="0.25">
      <c r="A43" s="1175" t="s">
        <v>121</v>
      </c>
      <c r="B43" s="1176" t="s">
        <v>122</v>
      </c>
      <c r="C43" s="1177">
        <f t="shared" si="5"/>
        <v>0</v>
      </c>
      <c r="D43" s="1178"/>
      <c r="E43" s="1179"/>
      <c r="F43" s="1179"/>
      <c r="G43" s="1179"/>
      <c r="H43" s="1135"/>
    </row>
    <row r="44" spans="1:8" s="1170" customFormat="1" ht="12" customHeight="1" x14ac:dyDescent="0.25">
      <c r="A44" s="1175" t="s">
        <v>123</v>
      </c>
      <c r="B44" s="1176" t="s">
        <v>124</v>
      </c>
      <c r="C44" s="1177">
        <f t="shared" si="5"/>
        <v>1000</v>
      </c>
      <c r="D44" s="1178">
        <v>1000</v>
      </c>
      <c r="E44" s="1179"/>
      <c r="F44" s="1179"/>
      <c r="G44" s="1179"/>
      <c r="H44" s="1135"/>
    </row>
    <row r="45" spans="1:8" s="1170" customFormat="1" ht="12" customHeight="1" x14ac:dyDescent="0.25">
      <c r="A45" s="1175" t="s">
        <v>125</v>
      </c>
      <c r="B45" s="1176" t="s">
        <v>126</v>
      </c>
      <c r="C45" s="1177">
        <f t="shared" si="5"/>
        <v>0</v>
      </c>
      <c r="D45" s="1178"/>
      <c r="E45" s="1179"/>
      <c r="F45" s="1179"/>
      <c r="G45" s="1179"/>
      <c r="H45" s="1135"/>
    </row>
    <row r="46" spans="1:8" s="1170" customFormat="1" ht="12" customHeight="1" thickBot="1" x14ac:dyDescent="0.3">
      <c r="A46" s="1180" t="s">
        <v>127</v>
      </c>
      <c r="B46" s="1181" t="s">
        <v>128</v>
      </c>
      <c r="C46" s="1177">
        <f t="shared" si="5"/>
        <v>31000</v>
      </c>
      <c r="D46" s="1178">
        <v>31000</v>
      </c>
      <c r="E46" s="1179"/>
      <c r="F46" s="1179"/>
      <c r="G46" s="1183"/>
      <c r="H46" s="1151"/>
    </row>
    <row r="47" spans="1:8" s="1170" customFormat="1" ht="12" customHeight="1" thickBot="1" x14ac:dyDescent="0.3">
      <c r="A47" s="1169" t="s">
        <v>129</v>
      </c>
      <c r="B47" s="1169" t="s">
        <v>130</v>
      </c>
      <c r="C47" s="824">
        <f>SUM(C48:C52)</f>
        <v>0</v>
      </c>
      <c r="D47" s="824">
        <f t="shared" ref="D47:F47" si="6">SUM(D48:D52)</f>
        <v>0</v>
      </c>
      <c r="E47" s="824">
        <f t="shared" si="6"/>
        <v>0</v>
      </c>
      <c r="F47" s="824">
        <f t="shared" si="6"/>
        <v>0</v>
      </c>
      <c r="G47" s="824"/>
      <c r="H47" s="1152"/>
    </row>
    <row r="48" spans="1:8" s="1170" customFormat="1" ht="12" customHeight="1" x14ac:dyDescent="0.25">
      <c r="A48" s="1171" t="s">
        <v>131</v>
      </c>
      <c r="B48" s="1172" t="s">
        <v>132</v>
      </c>
      <c r="C48" s="1186"/>
      <c r="D48" s="1178"/>
      <c r="E48" s="1179"/>
      <c r="F48" s="1179"/>
      <c r="G48" s="1174"/>
      <c r="H48" s="1133"/>
    </row>
    <row r="49" spans="1:8" s="1170" customFormat="1" ht="12" customHeight="1" x14ac:dyDescent="0.25">
      <c r="A49" s="1175" t="s">
        <v>133</v>
      </c>
      <c r="B49" s="1176" t="s">
        <v>134</v>
      </c>
      <c r="C49" s="1187"/>
      <c r="D49" s="1178"/>
      <c r="E49" s="1179"/>
      <c r="F49" s="1179"/>
      <c r="G49" s="1179"/>
      <c r="H49" s="1135"/>
    </row>
    <row r="50" spans="1:8" s="1170" customFormat="1" ht="12" customHeight="1" x14ac:dyDescent="0.25">
      <c r="A50" s="1175" t="s">
        <v>135</v>
      </c>
      <c r="B50" s="1176" t="s">
        <v>136</v>
      </c>
      <c r="C50" s="1187"/>
      <c r="D50" s="1178"/>
      <c r="E50" s="1179"/>
      <c r="F50" s="1179"/>
      <c r="G50" s="1179"/>
      <c r="H50" s="1135"/>
    </row>
    <row r="51" spans="1:8" s="1170" customFormat="1" ht="12" customHeight="1" x14ac:dyDescent="0.25">
      <c r="A51" s="1175" t="s">
        <v>137</v>
      </c>
      <c r="B51" s="1176" t="s">
        <v>138</v>
      </c>
      <c r="C51" s="1187"/>
      <c r="D51" s="1178"/>
      <c r="E51" s="1179"/>
      <c r="F51" s="1179"/>
      <c r="G51" s="1179"/>
      <c r="H51" s="1135"/>
    </row>
    <row r="52" spans="1:8" s="1170" customFormat="1" ht="12" customHeight="1" thickBot="1" x14ac:dyDescent="0.3">
      <c r="A52" s="1180" t="s">
        <v>139</v>
      </c>
      <c r="B52" s="1181" t="s">
        <v>140</v>
      </c>
      <c r="C52" s="1188"/>
      <c r="D52" s="1178"/>
      <c r="E52" s="1179"/>
      <c r="F52" s="1179"/>
      <c r="G52" s="1183"/>
      <c r="H52" s="1151"/>
    </row>
    <row r="53" spans="1:8" s="1170" customFormat="1" ht="17.25" customHeight="1" thickBot="1" x14ac:dyDescent="0.3">
      <c r="A53" s="1169" t="s">
        <v>141</v>
      </c>
      <c r="B53" s="1169" t="s">
        <v>142</v>
      </c>
      <c r="C53" s="824">
        <f>SUM(C54:C56)</f>
        <v>0</v>
      </c>
      <c r="D53" s="824">
        <f t="shared" ref="D53:F53" si="7">SUM(D54:D56)</f>
        <v>0</v>
      </c>
      <c r="E53" s="824">
        <f t="shared" si="7"/>
        <v>0</v>
      </c>
      <c r="F53" s="824">
        <f t="shared" si="7"/>
        <v>0</v>
      </c>
      <c r="G53" s="824"/>
      <c r="H53" s="1152"/>
    </row>
    <row r="54" spans="1:8" s="1170" customFormat="1" ht="12" customHeight="1" x14ac:dyDescent="0.25">
      <c r="A54" s="1171" t="s">
        <v>143</v>
      </c>
      <c r="B54" s="1172" t="s">
        <v>144</v>
      </c>
      <c r="C54" s="825"/>
      <c r="D54" s="1178"/>
      <c r="E54" s="1179"/>
      <c r="F54" s="1179"/>
      <c r="G54" s="1174"/>
      <c r="H54" s="1133"/>
    </row>
    <row r="55" spans="1:8" s="1170" customFormat="1" ht="12" customHeight="1" x14ac:dyDescent="0.25">
      <c r="A55" s="1175" t="s">
        <v>145</v>
      </c>
      <c r="B55" s="1176" t="s">
        <v>146</v>
      </c>
      <c r="C55" s="1177"/>
      <c r="D55" s="1178"/>
      <c r="E55" s="1179"/>
      <c r="F55" s="1179"/>
      <c r="G55" s="1179"/>
      <c r="H55" s="1135"/>
    </row>
    <row r="56" spans="1:8" s="1170" customFormat="1" ht="12" customHeight="1" x14ac:dyDescent="0.25">
      <c r="A56" s="1175" t="s">
        <v>147</v>
      </c>
      <c r="B56" s="1176" t="s">
        <v>148</v>
      </c>
      <c r="C56" s="1177"/>
      <c r="D56" s="1178"/>
      <c r="E56" s="1179"/>
      <c r="F56" s="1179"/>
      <c r="G56" s="1179"/>
      <c r="H56" s="1135"/>
    </row>
    <row r="57" spans="1:8" s="1170" customFormat="1" ht="12" customHeight="1" thickBot="1" x14ac:dyDescent="0.3">
      <c r="A57" s="1180" t="s">
        <v>149</v>
      </c>
      <c r="B57" s="1181" t="s">
        <v>150</v>
      </c>
      <c r="C57" s="1182"/>
      <c r="D57" s="1178"/>
      <c r="E57" s="1179"/>
      <c r="F57" s="1179"/>
      <c r="G57" s="1183"/>
      <c r="H57" s="1151"/>
    </row>
    <row r="58" spans="1:8" s="1170" customFormat="1" ht="12" customHeight="1" thickBot="1" x14ac:dyDescent="0.3">
      <c r="A58" s="1169" t="s">
        <v>151</v>
      </c>
      <c r="B58" s="1184" t="s">
        <v>152</v>
      </c>
      <c r="C58" s="824">
        <f>SUM(C59:C61)</f>
        <v>0</v>
      </c>
      <c r="D58" s="824">
        <f t="shared" ref="D58:F58" si="8">SUM(D59:D61)</f>
        <v>0</v>
      </c>
      <c r="E58" s="824">
        <f t="shared" si="8"/>
        <v>0</v>
      </c>
      <c r="F58" s="824">
        <f t="shared" si="8"/>
        <v>0</v>
      </c>
      <c r="G58" s="824"/>
      <c r="H58" s="1152"/>
    </row>
    <row r="59" spans="1:8" s="1170" customFormat="1" ht="12" customHeight="1" x14ac:dyDescent="0.25">
      <c r="A59" s="1171" t="s">
        <v>153</v>
      </c>
      <c r="B59" s="1172" t="s">
        <v>154</v>
      </c>
      <c r="C59" s="1187"/>
      <c r="D59" s="1178"/>
      <c r="E59" s="1179"/>
      <c r="F59" s="1179"/>
      <c r="G59" s="1174"/>
      <c r="H59" s="1133"/>
    </row>
    <row r="60" spans="1:8" s="1170" customFormat="1" ht="12" customHeight="1" x14ac:dyDescent="0.25">
      <c r="A60" s="1175" t="s">
        <v>155</v>
      </c>
      <c r="B60" s="1176" t="s">
        <v>156</v>
      </c>
      <c r="C60" s="1187"/>
      <c r="D60" s="1178"/>
      <c r="E60" s="1179"/>
      <c r="F60" s="1179"/>
      <c r="G60" s="1179"/>
      <c r="H60" s="1135"/>
    </row>
    <row r="61" spans="1:8" s="1170" customFormat="1" ht="12" customHeight="1" x14ac:dyDescent="0.25">
      <c r="A61" s="1175" t="s">
        <v>157</v>
      </c>
      <c r="B61" s="1176" t="s">
        <v>158</v>
      </c>
      <c r="C61" s="1187"/>
      <c r="D61" s="1178"/>
      <c r="E61" s="1179"/>
      <c r="F61" s="1179"/>
      <c r="G61" s="1179"/>
      <c r="H61" s="1135"/>
    </row>
    <row r="62" spans="1:8" s="1170" customFormat="1" ht="12" customHeight="1" thickBot="1" x14ac:dyDescent="0.3">
      <c r="A62" s="1180" t="s">
        <v>159</v>
      </c>
      <c r="B62" s="1181" t="s">
        <v>160</v>
      </c>
      <c r="C62" s="1187"/>
      <c r="D62" s="1178"/>
      <c r="E62" s="1179"/>
      <c r="F62" s="1179"/>
      <c r="G62" s="1183"/>
      <c r="H62" s="1151"/>
    </row>
    <row r="63" spans="1:8" s="1170" customFormat="1" ht="12" customHeight="1" thickBot="1" x14ac:dyDescent="0.3">
      <c r="A63" s="1169" t="s">
        <v>161</v>
      </c>
      <c r="B63" s="1169" t="s">
        <v>162</v>
      </c>
      <c r="C63" s="826">
        <f>+C8+C15+C22+C29+C36+C47+C53+C58</f>
        <v>5809483</v>
      </c>
      <c r="D63" s="826">
        <f t="shared" ref="D63:H63" si="9">+D8+D15+D22+D29+D36+D47+D53+D58</f>
        <v>1048472</v>
      </c>
      <c r="E63" s="826">
        <f t="shared" si="9"/>
        <v>0</v>
      </c>
      <c r="F63" s="826">
        <f t="shared" si="9"/>
        <v>0</v>
      </c>
      <c r="G63" s="826"/>
      <c r="H63" s="816">
        <f t="shared" si="9"/>
        <v>0</v>
      </c>
    </row>
    <row r="64" spans="1:8" s="1170" customFormat="1" ht="12" customHeight="1" thickBot="1" x14ac:dyDescent="0.3">
      <c r="A64" s="1189" t="s">
        <v>163</v>
      </c>
      <c r="B64" s="1184" t="s">
        <v>164</v>
      </c>
      <c r="C64" s="824">
        <f>+C65+C66+C67</f>
        <v>0</v>
      </c>
      <c r="D64" s="1190"/>
      <c r="E64" s="1191"/>
      <c r="F64" s="1191"/>
      <c r="G64" s="1191"/>
      <c r="H64" s="1152"/>
    </row>
    <row r="65" spans="1:8" s="1170" customFormat="1" ht="12" customHeight="1" x14ac:dyDescent="0.25">
      <c r="A65" s="1171" t="s">
        <v>165</v>
      </c>
      <c r="B65" s="1172" t="s">
        <v>166</v>
      </c>
      <c r="C65" s="1187"/>
      <c r="D65" s="1173"/>
      <c r="E65" s="1174"/>
      <c r="F65" s="1174"/>
      <c r="G65" s="1174"/>
      <c r="H65" s="1133"/>
    </row>
    <row r="66" spans="1:8" s="1170" customFormat="1" ht="12" customHeight="1" x14ac:dyDescent="0.25">
      <c r="A66" s="1175" t="s">
        <v>167</v>
      </c>
      <c r="B66" s="1176" t="s">
        <v>168</v>
      </c>
      <c r="C66" s="1187"/>
      <c r="D66" s="1178"/>
      <c r="E66" s="1179"/>
      <c r="F66" s="1179"/>
      <c r="G66" s="1179"/>
      <c r="H66" s="1135"/>
    </row>
    <row r="67" spans="1:8" s="1170" customFormat="1" ht="12" customHeight="1" thickBot="1" x14ac:dyDescent="0.3">
      <c r="A67" s="1180" t="s">
        <v>169</v>
      </c>
      <c r="B67" s="1192" t="s">
        <v>170</v>
      </c>
      <c r="C67" s="1187"/>
      <c r="D67" s="1193"/>
      <c r="E67" s="1183"/>
      <c r="F67" s="1183"/>
      <c r="G67" s="1183"/>
      <c r="H67" s="1151"/>
    </row>
    <row r="68" spans="1:8" s="1170" customFormat="1" ht="12" customHeight="1" thickBot="1" x14ac:dyDescent="0.3">
      <c r="A68" s="1189" t="s">
        <v>171</v>
      </c>
      <c r="B68" s="1184" t="s">
        <v>172</v>
      </c>
      <c r="C68" s="824">
        <f>+C69+C70+C71+C72</f>
        <v>0</v>
      </c>
      <c r="D68" s="1190"/>
      <c r="E68" s="1191"/>
      <c r="F68" s="1191"/>
      <c r="G68" s="1191"/>
      <c r="H68" s="1152"/>
    </row>
    <row r="69" spans="1:8" s="1170" customFormat="1" ht="13.5" customHeight="1" x14ac:dyDescent="0.25">
      <c r="A69" s="1171" t="s">
        <v>173</v>
      </c>
      <c r="B69" s="1172" t="s">
        <v>174</v>
      </c>
      <c r="C69" s="1187"/>
      <c r="D69" s="1173"/>
      <c r="E69" s="1174"/>
      <c r="F69" s="1174"/>
      <c r="G69" s="1174"/>
      <c r="H69" s="1133"/>
    </row>
    <row r="70" spans="1:8" s="1170" customFormat="1" ht="12" customHeight="1" x14ac:dyDescent="0.25">
      <c r="A70" s="1175" t="s">
        <v>175</v>
      </c>
      <c r="B70" s="1176" t="s">
        <v>176</v>
      </c>
      <c r="C70" s="1187"/>
      <c r="D70" s="1178"/>
      <c r="E70" s="1179"/>
      <c r="F70" s="1179"/>
      <c r="G70" s="1179"/>
      <c r="H70" s="1135"/>
    </row>
    <row r="71" spans="1:8" s="1170" customFormat="1" ht="12" customHeight="1" x14ac:dyDescent="0.25">
      <c r="A71" s="1175" t="s">
        <v>177</v>
      </c>
      <c r="B71" s="1176" t="s">
        <v>178</v>
      </c>
      <c r="C71" s="1187"/>
      <c r="D71" s="1178"/>
      <c r="E71" s="1179"/>
      <c r="F71" s="1179"/>
      <c r="G71" s="1179"/>
      <c r="H71" s="1135"/>
    </row>
    <row r="72" spans="1:8" s="1170" customFormat="1" ht="12" customHeight="1" thickBot="1" x14ac:dyDescent="0.3">
      <c r="A72" s="1180" t="s">
        <v>179</v>
      </c>
      <c r="B72" s="1181" t="s">
        <v>180</v>
      </c>
      <c r="C72" s="1187"/>
      <c r="D72" s="1193"/>
      <c r="E72" s="1183"/>
      <c r="F72" s="1183"/>
      <c r="G72" s="1183"/>
      <c r="H72" s="1151"/>
    </row>
    <row r="73" spans="1:8" s="1170" customFormat="1" ht="12" customHeight="1" thickBot="1" x14ac:dyDescent="0.3">
      <c r="A73" s="1189" t="s">
        <v>181</v>
      </c>
      <c r="B73" s="1184" t="s">
        <v>182</v>
      </c>
      <c r="C73" s="824">
        <f>SUM(D73:H73)</f>
        <v>2110035</v>
      </c>
      <c r="D73" s="1190"/>
      <c r="E73" s="1191"/>
      <c r="F73" s="1191"/>
      <c r="G73" s="1191"/>
      <c r="H73" s="1194">
        <f>SUM(H74:H75)</f>
        <v>2110035</v>
      </c>
    </row>
    <row r="74" spans="1:8" s="1170" customFormat="1" ht="12" customHeight="1" thickBot="1" x14ac:dyDescent="0.3">
      <c r="A74" s="1171" t="s">
        <v>183</v>
      </c>
      <c r="B74" s="1172" t="s">
        <v>184</v>
      </c>
      <c r="C74" s="1195">
        <f>SUM(D74:H74)</f>
        <v>2110035</v>
      </c>
      <c r="D74" s="1173"/>
      <c r="E74" s="1174"/>
      <c r="F74" s="1174"/>
      <c r="G74" s="1174"/>
      <c r="H74" s="402">
        <v>2110035</v>
      </c>
    </row>
    <row r="75" spans="1:8" s="1170" customFormat="1" ht="12.6" thickBot="1" x14ac:dyDescent="0.3">
      <c r="A75" s="1180" t="s">
        <v>185</v>
      </c>
      <c r="B75" s="1181" t="s">
        <v>186</v>
      </c>
      <c r="C75" s="824"/>
      <c r="D75" s="1178"/>
      <c r="E75" s="1179"/>
      <c r="F75" s="1179"/>
      <c r="G75" s="1183"/>
      <c r="H75" s="1151"/>
    </row>
    <row r="76" spans="1:8" s="1170" customFormat="1" ht="12" customHeight="1" thickBot="1" x14ac:dyDescent="0.3">
      <c r="A76" s="1189" t="s">
        <v>187</v>
      </c>
      <c r="B76" s="1184" t="s">
        <v>188</v>
      </c>
      <c r="C76" s="824">
        <f>+C77+C78+C79</f>
        <v>410230058</v>
      </c>
      <c r="D76" s="824">
        <f t="shared" ref="D76:H76" si="10">+D77+D78+D79</f>
        <v>0</v>
      </c>
      <c r="E76" s="824">
        <f t="shared" si="10"/>
        <v>0</v>
      </c>
      <c r="F76" s="824">
        <f t="shared" si="10"/>
        <v>0</v>
      </c>
      <c r="G76" s="824"/>
      <c r="H76" s="824">
        <f t="shared" si="10"/>
        <v>410230058</v>
      </c>
    </row>
    <row r="77" spans="1:8" s="1170" customFormat="1" ht="12" customHeight="1" x14ac:dyDescent="0.25">
      <c r="A77" s="1171" t="s">
        <v>189</v>
      </c>
      <c r="B77" s="1172" t="s">
        <v>190</v>
      </c>
      <c r="C77" s="1187"/>
      <c r="D77" s="1178"/>
      <c r="E77" s="1179"/>
      <c r="F77" s="1179"/>
      <c r="G77" s="1174"/>
      <c r="H77" s="1133"/>
    </row>
    <row r="78" spans="1:8" s="1170" customFormat="1" ht="12" customHeight="1" x14ac:dyDescent="0.25">
      <c r="A78" s="1175" t="s">
        <v>191</v>
      </c>
      <c r="B78" s="1176" t="s">
        <v>192</v>
      </c>
      <c r="C78" s="1187"/>
      <c r="D78" s="1178"/>
      <c r="E78" s="1179"/>
      <c r="F78" s="1179"/>
      <c r="G78" s="1179"/>
      <c r="H78" s="1135"/>
    </row>
    <row r="79" spans="1:8" s="1170" customFormat="1" ht="12" customHeight="1" thickBot="1" x14ac:dyDescent="0.3">
      <c r="A79" s="1180" t="s">
        <v>193</v>
      </c>
      <c r="B79" s="1196" t="s">
        <v>1794</v>
      </c>
      <c r="C79" s="1187">
        <f>SUM(D79:H79)</f>
        <v>410230058</v>
      </c>
      <c r="D79" s="1187"/>
      <c r="E79" s="1187"/>
      <c r="F79" s="1187"/>
      <c r="G79" s="1187"/>
      <c r="H79" s="402">
        <f>368711546+41518512</f>
        <v>410230058</v>
      </c>
    </row>
    <row r="80" spans="1:8" s="1170" customFormat="1" ht="12" customHeight="1" thickBot="1" x14ac:dyDescent="0.3">
      <c r="A80" s="1189" t="s">
        <v>195</v>
      </c>
      <c r="B80" s="1184" t="s">
        <v>196</v>
      </c>
      <c r="C80" s="824">
        <f>+C81+C82+C83+C84</f>
        <v>0</v>
      </c>
      <c r="D80" s="824">
        <f t="shared" ref="D80:H80" si="11">+D81+D82+D83+D84</f>
        <v>0</v>
      </c>
      <c r="E80" s="824">
        <f t="shared" si="11"/>
        <v>0</v>
      </c>
      <c r="F80" s="824">
        <f t="shared" si="11"/>
        <v>0</v>
      </c>
      <c r="G80" s="824"/>
      <c r="H80" s="824">
        <f t="shared" si="11"/>
        <v>0</v>
      </c>
    </row>
    <row r="81" spans="1:8" s="1170" customFormat="1" ht="12" customHeight="1" x14ac:dyDescent="0.25">
      <c r="A81" s="1197" t="s">
        <v>197</v>
      </c>
      <c r="B81" s="1172" t="s">
        <v>198</v>
      </c>
      <c r="C81" s="1187"/>
      <c r="D81" s="1178"/>
      <c r="E81" s="1179"/>
      <c r="F81" s="1179"/>
      <c r="G81" s="1174"/>
      <c r="H81" s="1133"/>
    </row>
    <row r="82" spans="1:8" s="1170" customFormat="1" ht="12" customHeight="1" x14ac:dyDescent="0.25">
      <c r="A82" s="1198" t="s">
        <v>199</v>
      </c>
      <c r="B82" s="1176" t="s">
        <v>200</v>
      </c>
      <c r="C82" s="1187"/>
      <c r="D82" s="1178"/>
      <c r="E82" s="1179"/>
      <c r="F82" s="1179"/>
      <c r="G82" s="1179"/>
      <c r="H82" s="1135"/>
    </row>
    <row r="83" spans="1:8" s="1170" customFormat="1" ht="12" customHeight="1" x14ac:dyDescent="0.25">
      <c r="A83" s="1198" t="s">
        <v>201</v>
      </c>
      <c r="B83" s="1176" t="s">
        <v>202</v>
      </c>
      <c r="C83" s="1187"/>
      <c r="D83" s="1178"/>
      <c r="E83" s="1179"/>
      <c r="F83" s="1179"/>
      <c r="G83" s="1179"/>
      <c r="H83" s="1135"/>
    </row>
    <row r="84" spans="1:8" s="1170" customFormat="1" ht="12" customHeight="1" thickBot="1" x14ac:dyDescent="0.3">
      <c r="A84" s="1192" t="s">
        <v>203</v>
      </c>
      <c r="B84" s="1196" t="s">
        <v>204</v>
      </c>
      <c r="C84" s="1187"/>
      <c r="D84" s="1178"/>
      <c r="E84" s="1179"/>
      <c r="F84" s="1179"/>
      <c r="G84" s="1183"/>
      <c r="H84" s="1151"/>
    </row>
    <row r="85" spans="1:8" s="1170" customFormat="1" ht="12" customHeight="1" thickBot="1" x14ac:dyDescent="0.3">
      <c r="A85" s="1189" t="s">
        <v>205</v>
      </c>
      <c r="B85" s="1184" t="s">
        <v>206</v>
      </c>
      <c r="C85" s="827"/>
      <c r="D85" s="827"/>
      <c r="E85" s="827"/>
      <c r="F85" s="827"/>
      <c r="G85" s="827"/>
      <c r="H85" s="827"/>
    </row>
    <row r="86" spans="1:8" s="1170" customFormat="1" ht="12" customHeight="1" thickBot="1" x14ac:dyDescent="0.3">
      <c r="A86" s="1189" t="s">
        <v>207</v>
      </c>
      <c r="B86" s="1189" t="s">
        <v>208</v>
      </c>
      <c r="C86" s="826">
        <f>+C64+C68+C73+C76+C80+C85</f>
        <v>412340093</v>
      </c>
      <c r="D86" s="826">
        <f t="shared" ref="D86:H86" si="12">+D64+D68+D73+D76+D80+D85</f>
        <v>0</v>
      </c>
      <c r="E86" s="826">
        <f t="shared" si="12"/>
        <v>0</v>
      </c>
      <c r="F86" s="826">
        <f t="shared" si="12"/>
        <v>0</v>
      </c>
      <c r="G86" s="826"/>
      <c r="H86" s="826">
        <f t="shared" si="12"/>
        <v>412340093</v>
      </c>
    </row>
    <row r="87" spans="1:8" s="1170" customFormat="1" ht="12" customHeight="1" thickBot="1" x14ac:dyDescent="0.3">
      <c r="A87" s="1199" t="s">
        <v>209</v>
      </c>
      <c r="B87" s="1199" t="s">
        <v>210</v>
      </c>
      <c r="C87" s="826">
        <f>+C63+C86</f>
        <v>418149576</v>
      </c>
      <c r="D87" s="826">
        <f t="shared" ref="D87:H87" si="13">+D63+D86</f>
        <v>1048472</v>
      </c>
      <c r="E87" s="826">
        <f t="shared" si="13"/>
        <v>0</v>
      </c>
      <c r="F87" s="826">
        <f t="shared" si="13"/>
        <v>0</v>
      </c>
      <c r="G87" s="826"/>
      <c r="H87" s="826">
        <f t="shared" si="13"/>
        <v>412340093</v>
      </c>
    </row>
    <row r="88" spans="1:8" s="1170" customFormat="1" ht="12" customHeight="1" x14ac:dyDescent="0.25">
      <c r="A88" s="1200"/>
      <c r="B88" s="1200"/>
      <c r="C88" s="344"/>
      <c r="D88" s="1201"/>
      <c r="H88" s="407"/>
    </row>
    <row r="89" spans="1:8" ht="16.5" customHeight="1" x14ac:dyDescent="0.3">
      <c r="A89" s="1670" t="s">
        <v>211</v>
      </c>
      <c r="B89" s="1670"/>
      <c r="C89" s="1670"/>
      <c r="D89" s="1669"/>
      <c r="E89" s="1669"/>
      <c r="F89" s="1669"/>
      <c r="G89" s="1669"/>
      <c r="H89" s="1669"/>
    </row>
    <row r="90" spans="1:8" s="1203" customFormat="1" ht="16.5" customHeight="1" thickBot="1" x14ac:dyDescent="0.3">
      <c r="A90" s="43" t="s">
        <v>2118</v>
      </c>
      <c r="B90" s="43"/>
      <c r="C90" s="1164"/>
      <c r="D90" s="1202"/>
      <c r="H90" s="1147" t="s">
        <v>1689</v>
      </c>
    </row>
    <row r="91" spans="1:8" s="1165" customFormat="1" ht="16.5" customHeight="1" thickBot="1" x14ac:dyDescent="0.3">
      <c r="A91" s="1671" t="s">
        <v>588</v>
      </c>
      <c r="B91" s="1671" t="s">
        <v>213</v>
      </c>
      <c r="C91" s="1671" t="s">
        <v>1949</v>
      </c>
      <c r="D91" s="1672" t="s">
        <v>2022</v>
      </c>
      <c r="E91" s="1672" t="s">
        <v>1956</v>
      </c>
      <c r="F91" s="1672" t="s">
        <v>2006</v>
      </c>
      <c r="G91" s="1672" t="s">
        <v>2023</v>
      </c>
      <c r="H91" s="1672" t="s">
        <v>1978</v>
      </c>
    </row>
    <row r="92" spans="1:8" s="1165" customFormat="1" ht="38.25" customHeight="1" thickBot="1" x14ac:dyDescent="0.3">
      <c r="A92" s="1671"/>
      <c r="B92" s="1671"/>
      <c r="C92" s="1671"/>
      <c r="D92" s="1673"/>
      <c r="E92" s="1673"/>
      <c r="F92" s="1673"/>
      <c r="G92" s="1673"/>
      <c r="H92" s="1674"/>
    </row>
    <row r="93" spans="1:8" s="1170" customFormat="1" ht="12" customHeight="1" thickBot="1" x14ac:dyDescent="0.3">
      <c r="A93" s="1204" t="s">
        <v>46</v>
      </c>
      <c r="B93" s="1205" t="s">
        <v>47</v>
      </c>
      <c r="C93" s="1206" t="s">
        <v>48</v>
      </c>
      <c r="D93" s="1206" t="s">
        <v>49</v>
      </c>
      <c r="E93" s="1206" t="s">
        <v>50</v>
      </c>
      <c r="F93" s="1206" t="s">
        <v>294</v>
      </c>
      <c r="G93" s="1206"/>
      <c r="H93" s="1206" t="s">
        <v>295</v>
      </c>
    </row>
    <row r="94" spans="1:8" ht="12" customHeight="1" thickBot="1" x14ac:dyDescent="0.3">
      <c r="A94" s="1207" t="s">
        <v>51</v>
      </c>
      <c r="B94" s="1208" t="s">
        <v>2024</v>
      </c>
      <c r="C94" s="1209">
        <f>SUM(C95:C109)</f>
        <v>412662414</v>
      </c>
      <c r="D94" s="824">
        <f>SUM(D95:D99)</f>
        <v>329517237</v>
      </c>
      <c r="E94" s="824">
        <f t="shared" ref="E94:H94" si="14">SUM(E95:E99)</f>
        <v>11142112</v>
      </c>
      <c r="F94" s="824">
        <f t="shared" si="14"/>
        <v>66268277</v>
      </c>
      <c r="G94" s="824">
        <f t="shared" si="14"/>
        <v>4614241</v>
      </c>
      <c r="H94" s="824">
        <f t="shared" si="14"/>
        <v>1050935</v>
      </c>
    </row>
    <row r="95" spans="1:8" ht="12" customHeight="1" thickBot="1" x14ac:dyDescent="0.3">
      <c r="A95" s="1210" t="s">
        <v>53</v>
      </c>
      <c r="B95" s="1211" t="s">
        <v>215</v>
      </c>
      <c r="C95" s="1212">
        <f>SUM(D95:H95)</f>
        <v>259654927</v>
      </c>
      <c r="D95" s="1213">
        <f>189778410+10000000</f>
        <v>199778410</v>
      </c>
      <c r="E95" s="1213">
        <f>6021600+340000+2979000</f>
        <v>9340600</v>
      </c>
      <c r="F95" s="1213">
        <v>47106717</v>
      </c>
      <c r="G95" s="1213">
        <f>1420400+2008800</f>
        <v>3429200</v>
      </c>
      <c r="H95" s="1045"/>
    </row>
    <row r="96" spans="1:8" ht="12" customHeight="1" thickBot="1" x14ac:dyDescent="0.3">
      <c r="A96" s="1214" t="s">
        <v>55</v>
      </c>
      <c r="B96" s="1215" t="s">
        <v>216</v>
      </c>
      <c r="C96" s="1212">
        <f t="shared" ref="C96:C146" si="15">SUM(D96:H96)</f>
        <v>51823833</v>
      </c>
      <c r="D96" s="1216">
        <f>39696040</f>
        <v>39696040</v>
      </c>
      <c r="E96" s="1216">
        <f>1291512</f>
        <v>1291512</v>
      </c>
      <c r="F96" s="1216">
        <f>9185810+454750+521000</f>
        <v>10161560</v>
      </c>
      <c r="G96" s="1216">
        <v>674721</v>
      </c>
      <c r="H96" s="1048"/>
    </row>
    <row r="97" spans="1:8" ht="12" customHeight="1" thickBot="1" x14ac:dyDescent="0.3">
      <c r="A97" s="1214" t="s">
        <v>57</v>
      </c>
      <c r="B97" s="1215" t="s">
        <v>217</v>
      </c>
      <c r="C97" s="1212">
        <f t="shared" si="15"/>
        <v>100063107</v>
      </c>
      <c r="D97" s="1216">
        <f>32289680+58280797-253594-256726-17370</f>
        <v>90042787</v>
      </c>
      <c r="E97" s="1216">
        <v>510000</v>
      </c>
      <c r="F97" s="1216">
        <v>9000000</v>
      </c>
      <c r="G97" s="1216">
        <f>253594+256726</f>
        <v>510320</v>
      </c>
      <c r="H97" s="1048">
        <v>0</v>
      </c>
    </row>
    <row r="98" spans="1:8" ht="12" customHeight="1" thickBot="1" x14ac:dyDescent="0.3">
      <c r="A98" s="1214" t="s">
        <v>59</v>
      </c>
      <c r="B98" s="1217" t="s">
        <v>218</v>
      </c>
      <c r="C98" s="1212">
        <f t="shared" si="15"/>
        <v>0</v>
      </c>
      <c r="D98" s="1216"/>
      <c r="E98" s="1216"/>
      <c r="F98" s="1216"/>
      <c r="G98" s="1216"/>
      <c r="H98" s="1048"/>
    </row>
    <row r="99" spans="1:8" ht="12" customHeight="1" thickBot="1" x14ac:dyDescent="0.3">
      <c r="A99" s="1214" t="s">
        <v>219</v>
      </c>
      <c r="B99" s="1218" t="s">
        <v>220</v>
      </c>
      <c r="C99" s="1212">
        <f t="shared" si="15"/>
        <v>1050935</v>
      </c>
      <c r="D99" s="1216"/>
      <c r="E99" s="1216"/>
      <c r="F99" s="1216"/>
      <c r="G99" s="1216"/>
      <c r="H99" s="1048">
        <v>1050935</v>
      </c>
    </row>
    <row r="100" spans="1:8" ht="12" customHeight="1" thickBot="1" x14ac:dyDescent="0.3">
      <c r="A100" s="1214" t="s">
        <v>63</v>
      </c>
      <c r="B100" s="1215" t="s">
        <v>221</v>
      </c>
      <c r="C100" s="1212">
        <f t="shared" si="15"/>
        <v>0</v>
      </c>
      <c r="D100" s="1216"/>
      <c r="E100" s="1216"/>
      <c r="F100" s="1216"/>
      <c r="G100" s="1216"/>
      <c r="H100" s="1048"/>
    </row>
    <row r="101" spans="1:8" ht="12" customHeight="1" thickBot="1" x14ac:dyDescent="0.3">
      <c r="A101" s="1214" t="s">
        <v>222</v>
      </c>
      <c r="B101" s="1219" t="s">
        <v>223</v>
      </c>
      <c r="C101" s="1212">
        <f t="shared" si="15"/>
        <v>0</v>
      </c>
      <c r="D101" s="1216"/>
      <c r="E101" s="1216"/>
      <c r="F101" s="1216"/>
      <c r="G101" s="1216"/>
      <c r="H101" s="1048"/>
    </row>
    <row r="102" spans="1:8" ht="12" customHeight="1" thickBot="1" x14ac:dyDescent="0.3">
      <c r="A102" s="1214" t="s">
        <v>224</v>
      </c>
      <c r="B102" s="1220" t="s">
        <v>225</v>
      </c>
      <c r="C102" s="1212">
        <f t="shared" si="15"/>
        <v>0</v>
      </c>
      <c r="D102" s="1216"/>
      <c r="E102" s="1216"/>
      <c r="F102" s="1216"/>
      <c r="G102" s="1216"/>
      <c r="H102" s="1048"/>
    </row>
    <row r="103" spans="1:8" ht="12" customHeight="1" thickBot="1" x14ac:dyDescent="0.3">
      <c r="A103" s="1214" t="s">
        <v>226</v>
      </c>
      <c r="B103" s="1220" t="s">
        <v>227</v>
      </c>
      <c r="C103" s="1212">
        <f t="shared" si="15"/>
        <v>0</v>
      </c>
      <c r="D103" s="1216"/>
      <c r="E103" s="1216"/>
      <c r="F103" s="1216"/>
      <c r="G103" s="1216"/>
      <c r="H103" s="1048"/>
    </row>
    <row r="104" spans="1:8" ht="12" customHeight="1" thickBot="1" x14ac:dyDescent="0.3">
      <c r="A104" s="1214" t="s">
        <v>228</v>
      </c>
      <c r="B104" s="1219" t="s">
        <v>229</v>
      </c>
      <c r="C104" s="1212">
        <f t="shared" si="15"/>
        <v>69612</v>
      </c>
      <c r="D104" s="1216"/>
      <c r="E104" s="1216"/>
      <c r="F104" s="1216"/>
      <c r="G104" s="1216">
        <f>52242+17370</f>
        <v>69612</v>
      </c>
      <c r="H104" s="1048"/>
    </row>
    <row r="105" spans="1:8" ht="12" customHeight="1" thickBot="1" x14ac:dyDescent="0.3">
      <c r="A105" s="1214" t="s">
        <v>230</v>
      </c>
      <c r="B105" s="1219" t="s">
        <v>231</v>
      </c>
      <c r="C105" s="1212">
        <f t="shared" si="15"/>
        <v>0</v>
      </c>
      <c r="D105" s="1216"/>
      <c r="E105" s="1216"/>
      <c r="F105" s="1216"/>
      <c r="G105" s="1216"/>
      <c r="H105" s="1048"/>
    </row>
    <row r="106" spans="1:8" ht="12" customHeight="1" thickBot="1" x14ac:dyDescent="0.3">
      <c r="A106" s="1214" t="s">
        <v>232</v>
      </c>
      <c r="B106" s="1220" t="s">
        <v>233</v>
      </c>
      <c r="C106" s="1212">
        <f t="shared" si="15"/>
        <v>0</v>
      </c>
      <c r="D106" s="1216"/>
      <c r="E106" s="1216"/>
      <c r="F106" s="1216"/>
      <c r="G106" s="1216"/>
      <c r="H106" s="1048"/>
    </row>
    <row r="107" spans="1:8" ht="12" customHeight="1" thickBot="1" x14ac:dyDescent="0.3">
      <c r="A107" s="1221" t="s">
        <v>234</v>
      </c>
      <c r="B107" s="1222" t="s">
        <v>235</v>
      </c>
      <c r="C107" s="1212">
        <f t="shared" si="15"/>
        <v>0</v>
      </c>
      <c r="D107" s="1216"/>
      <c r="E107" s="1216"/>
      <c r="F107" s="1216"/>
      <c r="G107" s="1216"/>
      <c r="H107" s="1048"/>
    </row>
    <row r="108" spans="1:8" ht="12" customHeight="1" thickBot="1" x14ac:dyDescent="0.3">
      <c r="A108" s="1214" t="s">
        <v>236</v>
      </c>
      <c r="B108" s="1222" t="s">
        <v>237</v>
      </c>
      <c r="C108" s="1212">
        <f t="shared" si="15"/>
        <v>0</v>
      </c>
      <c r="D108" s="1216"/>
      <c r="E108" s="1216"/>
      <c r="F108" s="1216"/>
      <c r="G108" s="1216"/>
      <c r="H108" s="1048"/>
    </row>
    <row r="109" spans="1:8" ht="12" customHeight="1" thickBot="1" x14ac:dyDescent="0.3">
      <c r="A109" s="1223" t="s">
        <v>238</v>
      </c>
      <c r="B109" s="1224" t="s">
        <v>239</v>
      </c>
      <c r="C109" s="1212">
        <f t="shared" si="15"/>
        <v>0</v>
      </c>
      <c r="D109" s="1216"/>
      <c r="E109" s="1216"/>
      <c r="F109" s="1216"/>
      <c r="G109" s="1216"/>
      <c r="H109" s="1048"/>
    </row>
    <row r="110" spans="1:8" ht="12" customHeight="1" thickBot="1" x14ac:dyDescent="0.3">
      <c r="A110" s="1225" t="s">
        <v>65</v>
      </c>
      <c r="B110" s="1226" t="s">
        <v>2025</v>
      </c>
      <c r="C110" s="1212">
        <f>SUM(C111:C115)</f>
        <v>5487162</v>
      </c>
      <c r="D110" s="1227">
        <f t="shared" ref="D110:H110" si="16">+D111+D113+D115</f>
        <v>5487162</v>
      </c>
      <c r="E110" s="1227">
        <f t="shared" si="16"/>
        <v>0</v>
      </c>
      <c r="F110" s="1227">
        <f t="shared" si="16"/>
        <v>0</v>
      </c>
      <c r="G110" s="1227"/>
      <c r="H110" s="1227">
        <f t="shared" si="16"/>
        <v>0</v>
      </c>
    </row>
    <row r="111" spans="1:8" ht="12" customHeight="1" thickBot="1" x14ac:dyDescent="0.3">
      <c r="A111" s="1228" t="s">
        <v>67</v>
      </c>
      <c r="B111" s="1215" t="s">
        <v>241</v>
      </c>
      <c r="C111" s="1212">
        <f t="shared" si="15"/>
        <v>5487162</v>
      </c>
      <c r="D111" s="1216">
        <f>5473700+13462</f>
        <v>5487162</v>
      </c>
      <c r="E111" s="1216"/>
      <c r="F111" s="1216"/>
      <c r="G111" s="1216"/>
      <c r="H111" s="1048"/>
    </row>
    <row r="112" spans="1:8" ht="12" customHeight="1" thickBot="1" x14ac:dyDescent="0.3">
      <c r="A112" s="1228" t="s">
        <v>69</v>
      </c>
      <c r="B112" s="1229" t="s">
        <v>242</v>
      </c>
      <c r="C112" s="1212">
        <f t="shared" si="15"/>
        <v>0</v>
      </c>
      <c r="D112" s="1216"/>
      <c r="E112" s="1216"/>
      <c r="F112" s="1216"/>
      <c r="G112" s="1216"/>
      <c r="H112" s="1048"/>
    </row>
    <row r="113" spans="1:8" ht="12.6" thickBot="1" x14ac:dyDescent="0.3">
      <c r="A113" s="1228" t="s">
        <v>71</v>
      </c>
      <c r="B113" s="1229" t="s">
        <v>243</v>
      </c>
      <c r="C113" s="1212">
        <f t="shared" si="15"/>
        <v>0</v>
      </c>
      <c r="D113" s="1216"/>
      <c r="E113" s="1216"/>
      <c r="F113" s="1216"/>
      <c r="G113" s="1216"/>
      <c r="H113" s="1048"/>
    </row>
    <row r="114" spans="1:8" ht="12" customHeight="1" thickBot="1" x14ac:dyDescent="0.3">
      <c r="A114" s="1228" t="s">
        <v>73</v>
      </c>
      <c r="B114" s="1229" t="s">
        <v>244</v>
      </c>
      <c r="C114" s="1212">
        <f t="shared" si="15"/>
        <v>0</v>
      </c>
      <c r="D114" s="1216"/>
      <c r="E114" s="1216"/>
      <c r="F114" s="1216"/>
      <c r="G114" s="1216"/>
      <c r="H114" s="1048"/>
    </row>
    <row r="115" spans="1:8" ht="12" customHeight="1" thickBot="1" x14ac:dyDescent="0.3">
      <c r="A115" s="1228" t="s">
        <v>75</v>
      </c>
      <c r="B115" s="1230" t="s">
        <v>245</v>
      </c>
      <c r="C115" s="1212">
        <f t="shared" si="15"/>
        <v>0</v>
      </c>
      <c r="D115" s="1216"/>
      <c r="E115" s="1216"/>
      <c r="F115" s="1216"/>
      <c r="G115" s="1216"/>
      <c r="H115" s="1048"/>
    </row>
    <row r="116" spans="1:8" ht="21.75" customHeight="1" thickBot="1" x14ac:dyDescent="0.3">
      <c r="A116" s="1228" t="s">
        <v>77</v>
      </c>
      <c r="B116" s="1231" t="s">
        <v>246</v>
      </c>
      <c r="C116" s="1212">
        <f t="shared" si="15"/>
        <v>0</v>
      </c>
      <c r="D116" s="1216"/>
      <c r="E116" s="1216"/>
      <c r="F116" s="1216"/>
      <c r="G116" s="1216"/>
      <c r="H116" s="1048"/>
    </row>
    <row r="117" spans="1:8" ht="24" customHeight="1" thickBot="1" x14ac:dyDescent="0.3">
      <c r="A117" s="1228" t="s">
        <v>247</v>
      </c>
      <c r="B117" s="1232" t="s">
        <v>248</v>
      </c>
      <c r="C117" s="1212">
        <f t="shared" si="15"/>
        <v>0</v>
      </c>
      <c r="D117" s="1216"/>
      <c r="E117" s="1216"/>
      <c r="F117" s="1216"/>
      <c r="G117" s="1216"/>
      <c r="H117" s="1048"/>
    </row>
    <row r="118" spans="1:8" ht="12" customHeight="1" thickBot="1" x14ac:dyDescent="0.3">
      <c r="A118" s="1228" t="s">
        <v>249</v>
      </c>
      <c r="B118" s="1220" t="s">
        <v>227</v>
      </c>
      <c r="C118" s="1212">
        <f t="shared" si="15"/>
        <v>0</v>
      </c>
      <c r="D118" s="1216"/>
      <c r="E118" s="1216"/>
      <c r="F118" s="1216"/>
      <c r="G118" s="1216"/>
      <c r="H118" s="1048"/>
    </row>
    <row r="119" spans="1:8" ht="12" customHeight="1" thickBot="1" x14ac:dyDescent="0.3">
      <c r="A119" s="1228" t="s">
        <v>250</v>
      </c>
      <c r="B119" s="1220" t="s">
        <v>251</v>
      </c>
      <c r="C119" s="1212">
        <f t="shared" si="15"/>
        <v>0</v>
      </c>
      <c r="D119" s="1216"/>
      <c r="E119" s="1216"/>
      <c r="F119" s="1216"/>
      <c r="G119" s="1216"/>
      <c r="H119" s="1048"/>
    </row>
    <row r="120" spans="1:8" ht="12" customHeight="1" thickBot="1" x14ac:dyDescent="0.3">
      <c r="A120" s="1228" t="s">
        <v>252</v>
      </c>
      <c r="B120" s="1220" t="s">
        <v>253</v>
      </c>
      <c r="C120" s="1212">
        <f t="shared" si="15"/>
        <v>0</v>
      </c>
      <c r="D120" s="1216"/>
      <c r="E120" s="1216"/>
      <c r="F120" s="1216"/>
      <c r="G120" s="1216"/>
      <c r="H120" s="1048"/>
    </row>
    <row r="121" spans="1:8" s="1234" customFormat="1" ht="12" customHeight="1" thickBot="1" x14ac:dyDescent="0.3">
      <c r="A121" s="1228" t="s">
        <v>254</v>
      </c>
      <c r="B121" s="1220" t="s">
        <v>233</v>
      </c>
      <c r="C121" s="1212">
        <f t="shared" si="15"/>
        <v>0</v>
      </c>
      <c r="D121" s="1233"/>
      <c r="E121" s="1233"/>
      <c r="F121" s="1233"/>
      <c r="G121" s="1233"/>
      <c r="H121" s="1060"/>
    </row>
    <row r="122" spans="1:8" ht="12" customHeight="1" thickBot="1" x14ac:dyDescent="0.3">
      <c r="A122" s="1228" t="s">
        <v>255</v>
      </c>
      <c r="B122" s="1220" t="s">
        <v>256</v>
      </c>
      <c r="C122" s="1212">
        <f t="shared" si="15"/>
        <v>0</v>
      </c>
      <c r="D122" s="1216"/>
      <c r="E122" s="1216"/>
      <c r="F122" s="1216"/>
      <c r="G122" s="1216"/>
      <c r="H122" s="1048"/>
    </row>
    <row r="123" spans="1:8" ht="12" customHeight="1" thickBot="1" x14ac:dyDescent="0.3">
      <c r="A123" s="1221" t="s">
        <v>257</v>
      </c>
      <c r="B123" s="1220" t="s">
        <v>258</v>
      </c>
      <c r="C123" s="1212">
        <f t="shared" si="15"/>
        <v>0</v>
      </c>
      <c r="D123" s="1216"/>
      <c r="E123" s="1216"/>
      <c r="F123" s="1216"/>
      <c r="G123" s="1216"/>
      <c r="H123" s="1048"/>
    </row>
    <row r="124" spans="1:8" ht="12" customHeight="1" thickBot="1" x14ac:dyDescent="0.3">
      <c r="A124" s="1225" t="s">
        <v>79</v>
      </c>
      <c r="B124" s="1235" t="s">
        <v>259</v>
      </c>
      <c r="C124" s="1498">
        <f>SUM(C125:C126)</f>
        <v>0</v>
      </c>
      <c r="D124" s="1227">
        <f t="shared" ref="D124:H124" si="17">+D125+D126</f>
        <v>0</v>
      </c>
      <c r="E124" s="1227">
        <f t="shared" si="17"/>
        <v>0</v>
      </c>
      <c r="F124" s="1227">
        <f t="shared" si="17"/>
        <v>0</v>
      </c>
      <c r="G124" s="1227"/>
      <c r="H124" s="1227">
        <f t="shared" si="17"/>
        <v>0</v>
      </c>
    </row>
    <row r="125" spans="1:8" ht="12" customHeight="1" thickBot="1" x14ac:dyDescent="0.3">
      <c r="A125" s="1228" t="s">
        <v>81</v>
      </c>
      <c r="B125" s="1236" t="s">
        <v>260</v>
      </c>
      <c r="C125" s="1212">
        <f t="shared" si="15"/>
        <v>0</v>
      </c>
      <c r="D125" s="1216"/>
      <c r="E125" s="1216"/>
      <c r="F125" s="1216"/>
      <c r="G125" s="1216"/>
      <c r="H125" s="1048"/>
    </row>
    <row r="126" spans="1:8" ht="12" customHeight="1" thickBot="1" x14ac:dyDescent="0.3">
      <c r="A126" s="1237" t="s">
        <v>83</v>
      </c>
      <c r="B126" s="1229" t="s">
        <v>261</v>
      </c>
      <c r="C126" s="1212">
        <f t="shared" si="15"/>
        <v>0</v>
      </c>
      <c r="D126" s="1216"/>
      <c r="E126" s="1216"/>
      <c r="F126" s="1216"/>
      <c r="G126" s="1216"/>
      <c r="H126" s="1048"/>
    </row>
    <row r="127" spans="1:8" ht="12" customHeight="1" thickBot="1" x14ac:dyDescent="0.3">
      <c r="A127" s="1225" t="s">
        <v>262</v>
      </c>
      <c r="B127" s="1235" t="s">
        <v>263</v>
      </c>
      <c r="C127" s="1498">
        <f>C124+C110+C94</f>
        <v>418149576</v>
      </c>
      <c r="D127" s="1498">
        <f t="shared" ref="D127:H127" si="18">D124+D110+D94</f>
        <v>335004399</v>
      </c>
      <c r="E127" s="1498">
        <f t="shared" si="18"/>
        <v>11142112</v>
      </c>
      <c r="F127" s="1498">
        <f t="shared" si="18"/>
        <v>66268277</v>
      </c>
      <c r="G127" s="1498">
        <f t="shared" si="18"/>
        <v>4614241</v>
      </c>
      <c r="H127" s="1498">
        <f t="shared" si="18"/>
        <v>1050935</v>
      </c>
    </row>
    <row r="128" spans="1:8" ht="12" customHeight="1" thickBot="1" x14ac:dyDescent="0.3">
      <c r="A128" s="1225" t="s">
        <v>107</v>
      </c>
      <c r="B128" s="1235" t="s">
        <v>264</v>
      </c>
      <c r="C128" s="1212">
        <f t="shared" si="15"/>
        <v>0</v>
      </c>
      <c r="D128" s="1227">
        <f t="shared" ref="D128:H128" si="19">+D129+D130+D131</f>
        <v>0</v>
      </c>
      <c r="E128" s="1227">
        <f t="shared" si="19"/>
        <v>0</v>
      </c>
      <c r="F128" s="1227">
        <f t="shared" si="19"/>
        <v>0</v>
      </c>
      <c r="G128" s="1227"/>
      <c r="H128" s="1227">
        <f t="shared" si="19"/>
        <v>0</v>
      </c>
    </row>
    <row r="129" spans="1:8" ht="12" customHeight="1" thickBot="1" x14ac:dyDescent="0.3">
      <c r="A129" s="1228" t="s">
        <v>109</v>
      </c>
      <c r="B129" s="1236" t="s">
        <v>265</v>
      </c>
      <c r="C129" s="1212">
        <f t="shared" si="15"/>
        <v>0</v>
      </c>
      <c r="D129" s="1216"/>
      <c r="E129" s="1216"/>
      <c r="F129" s="1216"/>
      <c r="G129" s="1216"/>
      <c r="H129" s="1048"/>
    </row>
    <row r="130" spans="1:8" ht="12" customHeight="1" thickBot="1" x14ac:dyDescent="0.3">
      <c r="A130" s="1228" t="s">
        <v>111</v>
      </c>
      <c r="B130" s="1236" t="s">
        <v>266</v>
      </c>
      <c r="C130" s="1212">
        <f t="shared" si="15"/>
        <v>0</v>
      </c>
      <c r="D130" s="1216"/>
      <c r="E130" s="1216"/>
      <c r="F130" s="1216"/>
      <c r="G130" s="1216"/>
      <c r="H130" s="1048"/>
    </row>
    <row r="131" spans="1:8" ht="12" customHeight="1" thickBot="1" x14ac:dyDescent="0.3">
      <c r="A131" s="1221" t="s">
        <v>113</v>
      </c>
      <c r="B131" s="1238" t="s">
        <v>267</v>
      </c>
      <c r="C131" s="1212">
        <f t="shared" si="15"/>
        <v>0</v>
      </c>
      <c r="D131" s="1216"/>
      <c r="E131" s="1216"/>
      <c r="F131" s="1216"/>
      <c r="G131" s="1216"/>
      <c r="H131" s="1048"/>
    </row>
    <row r="132" spans="1:8" ht="12" customHeight="1" thickBot="1" x14ac:dyDescent="0.3">
      <c r="A132" s="1225" t="s">
        <v>129</v>
      </c>
      <c r="B132" s="1235" t="s">
        <v>268</v>
      </c>
      <c r="C132" s="1212">
        <f t="shared" si="15"/>
        <v>0</v>
      </c>
      <c r="D132" s="1227">
        <f t="shared" ref="D132:F132" si="20">+D133+D134+D136+D135</f>
        <v>0</v>
      </c>
      <c r="E132" s="1227">
        <f t="shared" si="20"/>
        <v>0</v>
      </c>
      <c r="F132" s="1227">
        <f t="shared" si="20"/>
        <v>0</v>
      </c>
      <c r="G132" s="1227"/>
      <c r="H132" s="1227">
        <f>+H133+H134+H136+H135</f>
        <v>0</v>
      </c>
    </row>
    <row r="133" spans="1:8" ht="12" customHeight="1" thickBot="1" x14ac:dyDescent="0.3">
      <c r="A133" s="1228" t="s">
        <v>131</v>
      </c>
      <c r="B133" s="1236" t="s">
        <v>269</v>
      </c>
      <c r="C133" s="1212">
        <f t="shared" si="15"/>
        <v>0</v>
      </c>
      <c r="D133" s="1216"/>
      <c r="E133" s="1216"/>
      <c r="F133" s="1216"/>
      <c r="G133" s="1216"/>
      <c r="H133" s="1048"/>
    </row>
    <row r="134" spans="1:8" ht="12" customHeight="1" thickBot="1" x14ac:dyDescent="0.3">
      <c r="A134" s="1228" t="s">
        <v>133</v>
      </c>
      <c r="B134" s="1236" t="s">
        <v>270</v>
      </c>
      <c r="C134" s="1212">
        <f t="shared" si="15"/>
        <v>0</v>
      </c>
      <c r="D134" s="1216"/>
      <c r="E134" s="1216"/>
      <c r="F134" s="1216"/>
      <c r="G134" s="1216"/>
      <c r="H134" s="1048"/>
    </row>
    <row r="135" spans="1:8" ht="12" customHeight="1" thickBot="1" x14ac:dyDescent="0.3">
      <c r="A135" s="1228" t="s">
        <v>135</v>
      </c>
      <c r="B135" s="1236" t="s">
        <v>271</v>
      </c>
      <c r="C135" s="1212">
        <f t="shared" si="15"/>
        <v>0</v>
      </c>
      <c r="D135" s="1216"/>
      <c r="E135" s="1216"/>
      <c r="F135" s="1216"/>
      <c r="G135" s="1216"/>
      <c r="H135" s="1048"/>
    </row>
    <row r="136" spans="1:8" ht="12" customHeight="1" thickBot="1" x14ac:dyDescent="0.3">
      <c r="A136" s="1221" t="s">
        <v>137</v>
      </c>
      <c r="B136" s="1238" t="s">
        <v>272</v>
      </c>
      <c r="C136" s="1212">
        <f t="shared" si="15"/>
        <v>0</v>
      </c>
      <c r="D136" s="1216"/>
      <c r="E136" s="1216"/>
      <c r="F136" s="1216"/>
      <c r="G136" s="1216"/>
      <c r="H136" s="1048"/>
    </row>
    <row r="137" spans="1:8" ht="12" customHeight="1" thickBot="1" x14ac:dyDescent="0.3">
      <c r="A137" s="1225" t="s">
        <v>273</v>
      </c>
      <c r="B137" s="1235" t="s">
        <v>274</v>
      </c>
      <c r="C137" s="1212">
        <f t="shared" si="15"/>
        <v>0</v>
      </c>
      <c r="D137" s="1239">
        <f t="shared" ref="D137:F137" si="21">+D138+D139+D140+D141</f>
        <v>0</v>
      </c>
      <c r="E137" s="1239">
        <f t="shared" si="21"/>
        <v>0</v>
      </c>
      <c r="F137" s="1239">
        <f t="shared" si="21"/>
        <v>0</v>
      </c>
      <c r="G137" s="1239"/>
      <c r="H137" s="1239">
        <f>+H138+H139+H140+H141</f>
        <v>0</v>
      </c>
    </row>
    <row r="138" spans="1:8" ht="12" customHeight="1" thickBot="1" x14ac:dyDescent="0.3">
      <c r="A138" s="1228" t="s">
        <v>143</v>
      </c>
      <c r="B138" s="1236" t="s">
        <v>275</v>
      </c>
      <c r="C138" s="1212">
        <f t="shared" si="15"/>
        <v>0</v>
      </c>
      <c r="D138" s="1216"/>
      <c r="E138" s="1216"/>
      <c r="F138" s="1216"/>
      <c r="G138" s="1216"/>
      <c r="H138" s="1048"/>
    </row>
    <row r="139" spans="1:8" ht="12" customHeight="1" thickBot="1" x14ac:dyDescent="0.3">
      <c r="A139" s="1228" t="s">
        <v>145</v>
      </c>
      <c r="B139" s="1236" t="s">
        <v>276</v>
      </c>
      <c r="C139" s="1212">
        <f t="shared" si="15"/>
        <v>0</v>
      </c>
      <c r="D139" s="1216"/>
      <c r="E139" s="1216"/>
      <c r="F139" s="1216"/>
      <c r="G139" s="1216"/>
      <c r="H139" s="1048"/>
    </row>
    <row r="140" spans="1:8" ht="12" customHeight="1" thickBot="1" x14ac:dyDescent="0.3">
      <c r="A140" s="1228" t="s">
        <v>147</v>
      </c>
      <c r="B140" s="1236" t="s">
        <v>277</v>
      </c>
      <c r="C140" s="1212">
        <f t="shared" si="15"/>
        <v>0</v>
      </c>
      <c r="D140" s="1216"/>
      <c r="E140" s="1216"/>
      <c r="F140" s="1216"/>
      <c r="G140" s="1216"/>
      <c r="H140" s="1048"/>
    </row>
    <row r="141" spans="1:8" ht="12" customHeight="1" thickBot="1" x14ac:dyDescent="0.3">
      <c r="A141" s="1221" t="s">
        <v>149</v>
      </c>
      <c r="B141" s="1238" t="s">
        <v>278</v>
      </c>
      <c r="C141" s="1212">
        <f t="shared" si="15"/>
        <v>0</v>
      </c>
      <c r="D141" s="1216"/>
      <c r="E141" s="1216"/>
      <c r="F141" s="1216"/>
      <c r="G141" s="1216"/>
      <c r="H141" s="1048"/>
    </row>
    <row r="142" spans="1:8" ht="15" customHeight="1" thickBot="1" x14ac:dyDescent="0.3">
      <c r="A142" s="1225" t="s">
        <v>151</v>
      </c>
      <c r="B142" s="1235" t="s">
        <v>279</v>
      </c>
      <c r="C142" s="1212">
        <f t="shared" si="15"/>
        <v>0</v>
      </c>
      <c r="D142" s="1240">
        <f t="shared" ref="D142:F142" si="22">+D143+D144+D145+D146</f>
        <v>0</v>
      </c>
      <c r="E142" s="1240">
        <f t="shared" si="22"/>
        <v>0</v>
      </c>
      <c r="F142" s="1240">
        <f t="shared" si="22"/>
        <v>0</v>
      </c>
      <c r="G142" s="1240"/>
      <c r="H142" s="1240">
        <f>+H143+H144+H145+H146</f>
        <v>0</v>
      </c>
    </row>
    <row r="143" spans="1:8" s="1170" customFormat="1" ht="12.9" customHeight="1" thickBot="1" x14ac:dyDescent="0.3">
      <c r="A143" s="1228" t="s">
        <v>153</v>
      </c>
      <c r="B143" s="1236" t="s">
        <v>280</v>
      </c>
      <c r="C143" s="1212">
        <f t="shared" si="15"/>
        <v>0</v>
      </c>
      <c r="D143" s="1178"/>
      <c r="E143" s="1178"/>
      <c r="F143" s="1178"/>
      <c r="G143" s="1178"/>
      <c r="H143" s="1018"/>
    </row>
    <row r="144" spans="1:8" ht="12.75" customHeight="1" thickBot="1" x14ac:dyDescent="0.3">
      <c r="A144" s="1228" t="s">
        <v>155</v>
      </c>
      <c r="B144" s="1236" t="s">
        <v>281</v>
      </c>
      <c r="C144" s="1212">
        <f t="shared" si="15"/>
        <v>0</v>
      </c>
      <c r="D144" s="1216"/>
      <c r="E144" s="1216"/>
      <c r="F144" s="1216"/>
      <c r="G144" s="1216"/>
      <c r="H144" s="1048"/>
    </row>
    <row r="145" spans="1:8" ht="12.75" customHeight="1" thickBot="1" x14ac:dyDescent="0.3">
      <c r="A145" s="1228" t="s">
        <v>157</v>
      </c>
      <c r="B145" s="1236" t="s">
        <v>282</v>
      </c>
      <c r="C145" s="1212">
        <f t="shared" si="15"/>
        <v>0</v>
      </c>
      <c r="D145" s="1216"/>
      <c r="E145" s="1216"/>
      <c r="F145" s="1216"/>
      <c r="G145" s="1216"/>
      <c r="H145" s="1048"/>
    </row>
    <row r="146" spans="1:8" ht="12.75" customHeight="1" thickBot="1" x14ac:dyDescent="0.3">
      <c r="A146" s="1228" t="s">
        <v>159</v>
      </c>
      <c r="B146" s="1236" t="s">
        <v>283</v>
      </c>
      <c r="C146" s="1212">
        <f t="shared" si="15"/>
        <v>0</v>
      </c>
      <c r="D146" s="1216"/>
      <c r="E146" s="1216"/>
      <c r="F146" s="1216"/>
      <c r="G146" s="1216"/>
      <c r="H146" s="1048"/>
    </row>
    <row r="147" spans="1:8" ht="12.6" thickBot="1" x14ac:dyDescent="0.3">
      <c r="A147" s="1225" t="s">
        <v>161</v>
      </c>
      <c r="B147" s="1235" t="s">
        <v>284</v>
      </c>
      <c r="C147" s="1212">
        <f>C142+C137+C132+C128</f>
        <v>0</v>
      </c>
      <c r="D147" s="1212">
        <f t="shared" ref="D147:H147" si="23">D142+D137+D132+D128</f>
        <v>0</v>
      </c>
      <c r="E147" s="1212">
        <f t="shared" si="23"/>
        <v>0</v>
      </c>
      <c r="F147" s="1212">
        <f t="shared" si="23"/>
        <v>0</v>
      </c>
      <c r="G147" s="1212">
        <f t="shared" si="23"/>
        <v>0</v>
      </c>
      <c r="H147" s="1212">
        <f t="shared" si="23"/>
        <v>0</v>
      </c>
    </row>
    <row r="148" spans="1:8" ht="12.6" thickBot="1" x14ac:dyDescent="0.3">
      <c r="A148" s="1241" t="s">
        <v>285</v>
      </c>
      <c r="B148" s="1242" t="s">
        <v>286</v>
      </c>
      <c r="C148" s="1243">
        <f>C147+C127</f>
        <v>418149576</v>
      </c>
      <c r="D148" s="1244">
        <f t="shared" ref="D148:H148" si="24">D147+D127</f>
        <v>335004399</v>
      </c>
      <c r="E148" s="1244">
        <f t="shared" si="24"/>
        <v>11142112</v>
      </c>
      <c r="F148" s="1244">
        <f t="shared" si="24"/>
        <v>66268277</v>
      </c>
      <c r="G148" s="1244">
        <f t="shared" si="24"/>
        <v>4614241</v>
      </c>
      <c r="H148" s="1244">
        <f t="shared" si="24"/>
        <v>1050935</v>
      </c>
    </row>
    <row r="149" spans="1:8" x14ac:dyDescent="0.25">
      <c r="C149" s="1245"/>
      <c r="E149" s="1163"/>
      <c r="F149" s="1163"/>
      <c r="G149" s="1163"/>
      <c r="H149" s="1069"/>
    </row>
    <row r="150" spans="1:8" ht="7.5" customHeight="1" x14ac:dyDescent="0.25">
      <c r="C150" s="1245"/>
      <c r="E150" s="1163"/>
      <c r="F150" s="1163"/>
      <c r="G150" s="1163"/>
      <c r="H150" s="1069"/>
    </row>
    <row r="151" spans="1:8" x14ac:dyDescent="0.25">
      <c r="C151" s="1245"/>
      <c r="E151" s="1163"/>
      <c r="F151" s="1163"/>
      <c r="G151" s="1163"/>
      <c r="H151" s="1069"/>
    </row>
    <row r="152" spans="1:8" ht="12.75" customHeight="1" x14ac:dyDescent="0.25">
      <c r="C152" s="1245"/>
      <c r="E152" s="1163"/>
      <c r="F152" s="1163"/>
      <c r="G152" s="1163"/>
      <c r="H152" s="1069"/>
    </row>
    <row r="153" spans="1:8" ht="12.75" customHeight="1" x14ac:dyDescent="0.25">
      <c r="C153" s="1245"/>
      <c r="E153" s="1163"/>
      <c r="F153" s="1163"/>
      <c r="G153" s="1163"/>
      <c r="H153" s="1069"/>
    </row>
    <row r="154" spans="1:8" ht="12.75" customHeight="1" x14ac:dyDescent="0.25">
      <c r="C154" s="1245"/>
      <c r="E154" s="1163"/>
      <c r="F154" s="1163"/>
      <c r="G154" s="1163"/>
      <c r="H154" s="1069"/>
    </row>
    <row r="155" spans="1:8" ht="12.75" customHeight="1" x14ac:dyDescent="0.25">
      <c r="C155" s="1245"/>
      <c r="E155" s="1163"/>
      <c r="F155" s="1163"/>
      <c r="G155" s="1163"/>
      <c r="H155" s="1069"/>
    </row>
    <row r="156" spans="1:8" ht="12.75" customHeight="1" x14ac:dyDescent="0.25">
      <c r="C156" s="1245"/>
      <c r="E156" s="1163"/>
      <c r="F156" s="1163"/>
      <c r="G156" s="1163"/>
      <c r="H156" s="1069"/>
    </row>
    <row r="157" spans="1:8" ht="12.75" customHeight="1" x14ac:dyDescent="0.25">
      <c r="C157" s="1245"/>
      <c r="E157" s="1163"/>
      <c r="F157" s="1163"/>
      <c r="G157" s="1163"/>
      <c r="H157" s="1069"/>
    </row>
    <row r="158" spans="1:8" ht="12.75" customHeight="1" x14ac:dyDescent="0.25">
      <c r="C158" s="1245"/>
      <c r="E158" s="1163"/>
      <c r="F158" s="1163"/>
      <c r="G158" s="1163"/>
      <c r="H158" s="1069"/>
    </row>
    <row r="159" spans="1:8" ht="12.75" customHeight="1" x14ac:dyDescent="0.25">
      <c r="C159" s="1245"/>
      <c r="E159" s="1163"/>
      <c r="F159" s="1163"/>
      <c r="G159" s="1163"/>
      <c r="H159" s="1069"/>
    </row>
    <row r="160" spans="1:8" x14ac:dyDescent="0.25">
      <c r="C160" s="1245"/>
      <c r="E160" s="1163"/>
      <c r="F160" s="1163"/>
      <c r="G160" s="1163"/>
      <c r="H160" s="1069"/>
    </row>
    <row r="161" spans="3:8" x14ac:dyDescent="0.25">
      <c r="C161" s="1245"/>
      <c r="E161" s="1163"/>
      <c r="F161" s="1163"/>
      <c r="G161" s="1163"/>
      <c r="H161" s="1069"/>
    </row>
    <row r="162" spans="3:8" x14ac:dyDescent="0.25">
      <c r="C162" s="1245"/>
      <c r="E162" s="1163"/>
      <c r="F162" s="1163"/>
      <c r="G162" s="1163"/>
      <c r="H162" s="1069"/>
    </row>
  </sheetData>
  <mergeCells count="18">
    <mergeCell ref="A89:H89"/>
    <mergeCell ref="A91:A92"/>
    <mergeCell ref="B91:B92"/>
    <mergeCell ref="C91:C92"/>
    <mergeCell ref="D91:D92"/>
    <mergeCell ref="E91:E92"/>
    <mergeCell ref="F91:F92"/>
    <mergeCell ref="G91:G92"/>
    <mergeCell ref="H91:H92"/>
    <mergeCell ref="A3:H3"/>
    <mergeCell ref="A5:A6"/>
    <mergeCell ref="B5:B6"/>
    <mergeCell ref="C5:C6"/>
    <mergeCell ref="D5:D6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  <headerFooter>
    <oddHeader xml:space="preserve">&amp;R&amp;"Times New Roman CE,Dőlt"11_12. melléklet a 2/2020. (.II.28.) önkormányzati rendelethez
</oddHeader>
  </headerFooter>
  <rowBreaks count="1" manualBreakCount="1">
    <brk id="8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J159"/>
  <sheetViews>
    <sheetView view="pageLayout" topLeftCell="A88" zoomScaleNormal="100" zoomScaleSheetLayoutView="112" workbookViewId="0">
      <selection activeCell="E96" sqref="E96"/>
    </sheetView>
  </sheetViews>
  <sheetFormatPr defaultColWidth="9.33203125" defaultRowHeight="10.199999999999999" x14ac:dyDescent="0.2"/>
  <cols>
    <col min="1" max="1" width="9.44140625" style="1001" customWidth="1"/>
    <col min="2" max="2" width="60.77734375" style="1001" customWidth="1"/>
    <col min="3" max="3" width="15.6640625" style="1068" customWidth="1"/>
    <col min="4" max="4" width="14.6640625" style="1069" customWidth="1"/>
    <col min="5" max="5" width="13.33203125" style="1069" customWidth="1"/>
    <col min="6" max="6" width="17.33203125" style="1069" customWidth="1"/>
    <col min="7" max="7" width="17.6640625" style="1069" customWidth="1"/>
    <col min="8" max="8" width="16.6640625" style="1069" customWidth="1"/>
    <col min="9" max="9" width="13.77734375" style="1069" customWidth="1"/>
    <col min="10" max="10" width="9.33203125" style="1069"/>
    <col min="11" max="16384" width="9.33203125" style="1001"/>
  </cols>
  <sheetData>
    <row r="1" spans="1:10" ht="11.25" customHeight="1" x14ac:dyDescent="0.25">
      <c r="B1" s="1002"/>
    </row>
    <row r="3" spans="1:10" ht="15.9" customHeight="1" x14ac:dyDescent="0.2">
      <c r="A3" s="1668" t="s">
        <v>39</v>
      </c>
      <c r="B3" s="1668"/>
      <c r="C3" s="1668"/>
    </row>
    <row r="4" spans="1:10" ht="15.9" customHeight="1" thickBot="1" x14ac:dyDescent="0.25">
      <c r="A4" s="1070" t="s">
        <v>2121</v>
      </c>
      <c r="B4" s="1070"/>
      <c r="I4" s="1071" t="s">
        <v>1689</v>
      </c>
    </row>
    <row r="5" spans="1:10" ht="15.9" customHeight="1" thickBot="1" x14ac:dyDescent="0.25">
      <c r="A5" s="1678" t="s">
        <v>41</v>
      </c>
      <c r="B5" s="1678" t="s">
        <v>42</v>
      </c>
      <c r="C5" s="1678" t="s">
        <v>1949</v>
      </c>
      <c r="D5" s="1675" t="s">
        <v>2007</v>
      </c>
      <c r="E5" s="1675" t="s">
        <v>2008</v>
      </c>
      <c r="F5" s="1675" t="s">
        <v>2009</v>
      </c>
      <c r="G5" s="1675" t="s">
        <v>2010</v>
      </c>
      <c r="H5" s="1675" t="s">
        <v>2011</v>
      </c>
      <c r="I5" s="1675" t="s">
        <v>2012</v>
      </c>
      <c r="J5" s="1072"/>
    </row>
    <row r="6" spans="1:10" ht="48.75" customHeight="1" thickBot="1" x14ac:dyDescent="0.25">
      <c r="A6" s="1678"/>
      <c r="B6" s="1678"/>
      <c r="C6" s="1678"/>
      <c r="D6" s="1676"/>
      <c r="E6" s="1676"/>
      <c r="F6" s="1676"/>
      <c r="G6" s="1676"/>
      <c r="H6" s="1677"/>
      <c r="I6" s="1677"/>
      <c r="J6" s="1072"/>
    </row>
    <row r="7" spans="1:10" s="1010" customFormat="1" ht="12" customHeight="1" thickBot="1" x14ac:dyDescent="0.3">
      <c r="A7" s="1008" t="s">
        <v>46</v>
      </c>
      <c r="B7" s="1008" t="s">
        <v>47</v>
      </c>
      <c r="C7" s="1008" t="s">
        <v>48</v>
      </c>
      <c r="D7" s="1073" t="s">
        <v>49</v>
      </c>
      <c r="E7" s="1073" t="s">
        <v>50</v>
      </c>
      <c r="F7" s="1073" t="s">
        <v>294</v>
      </c>
      <c r="G7" s="1073" t="s">
        <v>295</v>
      </c>
      <c r="H7" s="1073" t="s">
        <v>296</v>
      </c>
      <c r="I7" s="1073" t="s">
        <v>297</v>
      </c>
      <c r="J7" s="1074"/>
    </row>
    <row r="8" spans="1:10" s="407" customFormat="1" ht="12" customHeight="1" thickBot="1" x14ac:dyDescent="0.25">
      <c r="A8" s="1011" t="s">
        <v>51</v>
      </c>
      <c r="B8" s="1011" t="s">
        <v>52</v>
      </c>
      <c r="C8" s="817">
        <f>SUM(C9:C14)</f>
        <v>0</v>
      </c>
      <c r="D8" s="1024"/>
      <c r="E8" s="1024"/>
      <c r="F8" s="1024"/>
      <c r="G8" s="1024"/>
      <c r="H8" s="1024"/>
      <c r="I8" s="1024"/>
      <c r="J8" s="1075"/>
    </row>
    <row r="9" spans="1:10" s="407" customFormat="1" ht="12" customHeight="1" x14ac:dyDescent="0.2">
      <c r="A9" s="1013" t="s">
        <v>53</v>
      </c>
      <c r="B9" s="1076" t="s">
        <v>54</v>
      </c>
      <c r="C9" s="819"/>
      <c r="D9" s="1015"/>
      <c r="E9" s="1015"/>
      <c r="F9" s="1015"/>
      <c r="G9" s="1015"/>
      <c r="H9" s="1015"/>
      <c r="I9" s="1015"/>
      <c r="J9" s="1075"/>
    </row>
    <row r="10" spans="1:10" s="407" customFormat="1" ht="12" customHeight="1" x14ac:dyDescent="0.2">
      <c r="A10" s="1016" t="s">
        <v>55</v>
      </c>
      <c r="B10" s="1077" t="s">
        <v>56</v>
      </c>
      <c r="C10" s="815"/>
      <c r="D10" s="1018"/>
      <c r="E10" s="1018"/>
      <c r="F10" s="1018"/>
      <c r="G10" s="1018"/>
      <c r="H10" s="1018"/>
      <c r="I10" s="1018"/>
      <c r="J10" s="1075"/>
    </row>
    <row r="11" spans="1:10" s="407" customFormat="1" ht="12" customHeight="1" x14ac:dyDescent="0.2">
      <c r="A11" s="1016" t="s">
        <v>57</v>
      </c>
      <c r="B11" s="1077" t="s">
        <v>58</v>
      </c>
      <c r="C11" s="815"/>
      <c r="D11" s="1018"/>
      <c r="E11" s="1018"/>
      <c r="F11" s="1018"/>
      <c r="G11" s="1018"/>
      <c r="H11" s="1018"/>
      <c r="I11" s="1018"/>
      <c r="J11" s="1075"/>
    </row>
    <row r="12" spans="1:10" s="407" customFormat="1" ht="12" customHeight="1" x14ac:dyDescent="0.2">
      <c r="A12" s="1016" t="s">
        <v>59</v>
      </c>
      <c r="B12" s="1077" t="s">
        <v>60</v>
      </c>
      <c r="C12" s="815"/>
      <c r="D12" s="1018"/>
      <c r="E12" s="1018"/>
      <c r="F12" s="1018"/>
      <c r="G12" s="1018"/>
      <c r="H12" s="1018"/>
      <c r="I12" s="1018"/>
      <c r="J12" s="1075"/>
    </row>
    <row r="13" spans="1:10" s="407" customFormat="1" ht="12" customHeight="1" x14ac:dyDescent="0.2">
      <c r="A13" s="1016" t="s">
        <v>61</v>
      </c>
      <c r="B13" s="1077" t="s">
        <v>287</v>
      </c>
      <c r="C13" s="815"/>
      <c r="D13" s="1018"/>
      <c r="E13" s="1018"/>
      <c r="F13" s="1018"/>
      <c r="G13" s="1018"/>
      <c r="H13" s="1018"/>
      <c r="I13" s="1018"/>
      <c r="J13" s="1075"/>
    </row>
    <row r="14" spans="1:10" s="407" customFormat="1" ht="12" customHeight="1" thickBot="1" x14ac:dyDescent="0.25">
      <c r="A14" s="1019" t="s">
        <v>63</v>
      </c>
      <c r="B14" s="1078" t="s">
        <v>64</v>
      </c>
      <c r="C14" s="818"/>
      <c r="D14" s="1022"/>
      <c r="E14" s="1022"/>
      <c r="F14" s="1022"/>
      <c r="G14" s="1022"/>
      <c r="H14" s="1022"/>
      <c r="I14" s="1022"/>
      <c r="J14" s="1075"/>
    </row>
    <row r="15" spans="1:10" s="407" customFormat="1" ht="12" customHeight="1" thickBot="1" x14ac:dyDescent="0.25">
      <c r="A15" s="1011" t="s">
        <v>65</v>
      </c>
      <c r="B15" s="1079" t="s">
        <v>66</v>
      </c>
      <c r="C15" s="817">
        <f>SUM(C16:C20)</f>
        <v>0</v>
      </c>
      <c r="D15" s="1024"/>
      <c r="E15" s="1024"/>
      <c r="F15" s="1024"/>
      <c r="G15" s="1024"/>
      <c r="H15" s="1024"/>
      <c r="I15" s="1024"/>
      <c r="J15" s="1075"/>
    </row>
    <row r="16" spans="1:10" s="407" customFormat="1" ht="12" customHeight="1" x14ac:dyDescent="0.2">
      <c r="A16" s="1013" t="s">
        <v>67</v>
      </c>
      <c r="B16" s="1076" t="s">
        <v>68</v>
      </c>
      <c r="C16" s="819"/>
      <c r="D16" s="1015"/>
      <c r="E16" s="1015"/>
      <c r="F16" s="1015"/>
      <c r="G16" s="1015"/>
      <c r="H16" s="1015"/>
      <c r="I16" s="1015"/>
      <c r="J16" s="1075"/>
    </row>
    <row r="17" spans="1:10" s="407" customFormat="1" ht="12" customHeight="1" x14ac:dyDescent="0.2">
      <c r="A17" s="1016" t="s">
        <v>69</v>
      </c>
      <c r="B17" s="1077" t="s">
        <v>70</v>
      </c>
      <c r="C17" s="815"/>
      <c r="D17" s="1018"/>
      <c r="E17" s="1018"/>
      <c r="F17" s="1018"/>
      <c r="G17" s="1018"/>
      <c r="H17" s="1018"/>
      <c r="I17" s="1018"/>
      <c r="J17" s="1075"/>
    </row>
    <row r="18" spans="1:10" s="407" customFormat="1" ht="12" customHeight="1" x14ac:dyDescent="0.2">
      <c r="A18" s="1016" t="s">
        <v>71</v>
      </c>
      <c r="B18" s="1077" t="s">
        <v>72</v>
      </c>
      <c r="C18" s="815"/>
      <c r="D18" s="1018"/>
      <c r="E18" s="1018"/>
      <c r="F18" s="1018"/>
      <c r="G18" s="1018"/>
      <c r="H18" s="1018"/>
      <c r="I18" s="1018"/>
      <c r="J18" s="1075"/>
    </row>
    <row r="19" spans="1:10" s="407" customFormat="1" ht="12" customHeight="1" x14ac:dyDescent="0.2">
      <c r="A19" s="1016" t="s">
        <v>73</v>
      </c>
      <c r="B19" s="1077" t="s">
        <v>74</v>
      </c>
      <c r="C19" s="815"/>
      <c r="D19" s="1018"/>
      <c r="E19" s="1018"/>
      <c r="F19" s="1018"/>
      <c r="G19" s="1018"/>
      <c r="H19" s="1018"/>
      <c r="I19" s="1018"/>
      <c r="J19" s="1075"/>
    </row>
    <row r="20" spans="1:10" s="407" customFormat="1" ht="12" customHeight="1" x14ac:dyDescent="0.2">
      <c r="A20" s="1016" t="s">
        <v>75</v>
      </c>
      <c r="B20" s="1077" t="s">
        <v>76</v>
      </c>
      <c r="C20" s="815"/>
      <c r="D20" s="1018"/>
      <c r="E20" s="1018"/>
      <c r="F20" s="1018"/>
      <c r="G20" s="1018"/>
      <c r="H20" s="1018"/>
      <c r="I20" s="1018"/>
      <c r="J20" s="1075"/>
    </row>
    <row r="21" spans="1:10" s="407" customFormat="1" ht="12" customHeight="1" thickBot="1" x14ac:dyDescent="0.25">
      <c r="A21" s="1019" t="s">
        <v>77</v>
      </c>
      <c r="B21" s="1078" t="s">
        <v>78</v>
      </c>
      <c r="C21" s="818"/>
      <c r="D21" s="1022"/>
      <c r="E21" s="1022"/>
      <c r="F21" s="1022"/>
      <c r="G21" s="1022"/>
      <c r="H21" s="1022"/>
      <c r="I21" s="1022"/>
      <c r="J21" s="1075"/>
    </row>
    <row r="22" spans="1:10" s="407" customFormat="1" ht="12" customHeight="1" thickBot="1" x14ac:dyDescent="0.25">
      <c r="A22" s="1011" t="s">
        <v>79</v>
      </c>
      <c r="B22" s="1011" t="s">
        <v>80</v>
      </c>
      <c r="C22" s="817">
        <f>SUM(C23:C27)</f>
        <v>0</v>
      </c>
      <c r="D22" s="1024"/>
      <c r="E22" s="1024"/>
      <c r="F22" s="1024"/>
      <c r="G22" s="1024"/>
      <c r="H22" s="1024"/>
      <c r="I22" s="1024"/>
      <c r="J22" s="1075"/>
    </row>
    <row r="23" spans="1:10" s="407" customFormat="1" ht="12" customHeight="1" x14ac:dyDescent="0.2">
      <c r="A23" s="1013" t="s">
        <v>81</v>
      </c>
      <c r="B23" s="1076" t="s">
        <v>82</v>
      </c>
      <c r="C23" s="819"/>
      <c r="D23" s="1015"/>
      <c r="E23" s="1015"/>
      <c r="F23" s="1015"/>
      <c r="G23" s="1015"/>
      <c r="H23" s="1015"/>
      <c r="I23" s="1015"/>
      <c r="J23" s="1075"/>
    </row>
    <row r="24" spans="1:10" s="407" customFormat="1" ht="12" customHeight="1" x14ac:dyDescent="0.2">
      <c r="A24" s="1016" t="s">
        <v>83</v>
      </c>
      <c r="B24" s="1077" t="s">
        <v>84</v>
      </c>
      <c r="C24" s="815"/>
      <c r="D24" s="1018"/>
      <c r="E24" s="1018"/>
      <c r="F24" s="1018"/>
      <c r="G24" s="1018"/>
      <c r="H24" s="1018"/>
      <c r="I24" s="1018"/>
      <c r="J24" s="1075"/>
    </row>
    <row r="25" spans="1:10" s="407" customFormat="1" ht="12" customHeight="1" x14ac:dyDescent="0.2">
      <c r="A25" s="1016" t="s">
        <v>85</v>
      </c>
      <c r="B25" s="1077" t="s">
        <v>86</v>
      </c>
      <c r="C25" s="815"/>
      <c r="D25" s="1018"/>
      <c r="E25" s="1018"/>
      <c r="F25" s="1018"/>
      <c r="G25" s="1018"/>
      <c r="H25" s="1018"/>
      <c r="I25" s="1018"/>
      <c r="J25" s="1075"/>
    </row>
    <row r="26" spans="1:10" s="407" customFormat="1" ht="12" customHeight="1" x14ac:dyDescent="0.2">
      <c r="A26" s="1016" t="s">
        <v>87</v>
      </c>
      <c r="B26" s="1077" t="s">
        <v>88</v>
      </c>
      <c r="C26" s="815"/>
      <c r="D26" s="1018"/>
      <c r="E26" s="1018"/>
      <c r="F26" s="1018"/>
      <c r="G26" s="1018"/>
      <c r="H26" s="1018"/>
      <c r="I26" s="1018"/>
      <c r="J26" s="1075"/>
    </row>
    <row r="27" spans="1:10" s="407" customFormat="1" ht="12" customHeight="1" x14ac:dyDescent="0.2">
      <c r="A27" s="1016" t="s">
        <v>89</v>
      </c>
      <c r="B27" s="1077" t="s">
        <v>90</v>
      </c>
      <c r="C27" s="815"/>
      <c r="D27" s="1018"/>
      <c r="E27" s="1018"/>
      <c r="F27" s="1018"/>
      <c r="G27" s="1018"/>
      <c r="H27" s="1018"/>
      <c r="I27" s="1018"/>
      <c r="J27" s="1075"/>
    </row>
    <row r="28" spans="1:10" s="407" customFormat="1" ht="12" customHeight="1" thickBot="1" x14ac:dyDescent="0.25">
      <c r="A28" s="1019" t="s">
        <v>91</v>
      </c>
      <c r="B28" s="1078" t="s">
        <v>92</v>
      </c>
      <c r="C28" s="818"/>
      <c r="D28" s="1022"/>
      <c r="E28" s="1022"/>
      <c r="F28" s="1022"/>
      <c r="G28" s="1022"/>
      <c r="H28" s="1022"/>
      <c r="I28" s="1022"/>
      <c r="J28" s="1075"/>
    </row>
    <row r="29" spans="1:10" s="407" customFormat="1" ht="12" customHeight="1" thickBot="1" x14ac:dyDescent="0.25">
      <c r="A29" s="1011" t="s">
        <v>93</v>
      </c>
      <c r="B29" s="1011" t="s">
        <v>94</v>
      </c>
      <c r="C29" s="816">
        <f>+C30+C33+C34+C35</f>
        <v>0</v>
      </c>
      <c r="D29" s="1024"/>
      <c r="E29" s="1024"/>
      <c r="F29" s="1024"/>
      <c r="G29" s="1024"/>
      <c r="H29" s="1024"/>
      <c r="I29" s="1024"/>
      <c r="J29" s="1075"/>
    </row>
    <row r="30" spans="1:10" s="407" customFormat="1" ht="12" customHeight="1" x14ac:dyDescent="0.2">
      <c r="A30" s="1013" t="s">
        <v>95</v>
      </c>
      <c r="B30" s="1076" t="s">
        <v>96</v>
      </c>
      <c r="C30" s="823">
        <f>+C31+C32</f>
        <v>0</v>
      </c>
      <c r="D30" s="1015"/>
      <c r="E30" s="1015"/>
      <c r="F30" s="1015"/>
      <c r="G30" s="1015"/>
      <c r="H30" s="1015"/>
      <c r="I30" s="1015"/>
      <c r="J30" s="1075"/>
    </row>
    <row r="31" spans="1:10" s="407" customFormat="1" ht="12" customHeight="1" x14ac:dyDescent="0.2">
      <c r="A31" s="1016" t="s">
        <v>97</v>
      </c>
      <c r="B31" s="1077" t="s">
        <v>98</v>
      </c>
      <c r="C31" s="815"/>
      <c r="D31" s="1018"/>
      <c r="E31" s="1018"/>
      <c r="F31" s="1018"/>
      <c r="G31" s="1018"/>
      <c r="H31" s="1018"/>
      <c r="I31" s="1018"/>
      <c r="J31" s="1075"/>
    </row>
    <row r="32" spans="1:10" s="407" customFormat="1" ht="12" customHeight="1" x14ac:dyDescent="0.2">
      <c r="A32" s="1016" t="s">
        <v>99</v>
      </c>
      <c r="B32" s="1077" t="s">
        <v>100</v>
      </c>
      <c r="C32" s="815"/>
      <c r="D32" s="1018"/>
      <c r="E32" s="1018"/>
      <c r="F32" s="1018"/>
      <c r="G32" s="1018"/>
      <c r="H32" s="1018"/>
      <c r="I32" s="1018"/>
      <c r="J32" s="1075"/>
    </row>
    <row r="33" spans="1:10" s="407" customFormat="1" ht="12" customHeight="1" x14ac:dyDescent="0.2">
      <c r="A33" s="1016" t="s">
        <v>101</v>
      </c>
      <c r="B33" s="1077" t="s">
        <v>102</v>
      </c>
      <c r="C33" s="815"/>
      <c r="D33" s="1018"/>
      <c r="E33" s="1018"/>
      <c r="F33" s="1018"/>
      <c r="G33" s="1018"/>
      <c r="H33" s="1018"/>
      <c r="I33" s="1018"/>
      <c r="J33" s="1075"/>
    </row>
    <row r="34" spans="1:10" s="407" customFormat="1" ht="12" customHeight="1" x14ac:dyDescent="0.2">
      <c r="A34" s="1016" t="s">
        <v>103</v>
      </c>
      <c r="B34" s="1077" t="s">
        <v>104</v>
      </c>
      <c r="C34" s="815"/>
      <c r="D34" s="1018"/>
      <c r="E34" s="1018"/>
      <c r="F34" s="1018"/>
      <c r="G34" s="1018"/>
      <c r="H34" s="1018"/>
      <c r="I34" s="1018"/>
      <c r="J34" s="1075"/>
    </row>
    <row r="35" spans="1:10" s="407" customFormat="1" ht="12" customHeight="1" thickBot="1" x14ac:dyDescent="0.25">
      <c r="A35" s="1019" t="s">
        <v>105</v>
      </c>
      <c r="B35" s="1078" t="s">
        <v>106</v>
      </c>
      <c r="C35" s="818"/>
      <c r="D35" s="1018"/>
      <c r="E35" s="1018"/>
      <c r="F35" s="1018"/>
      <c r="G35" s="1018"/>
      <c r="H35" s="1018"/>
      <c r="I35" s="1018"/>
      <c r="J35" s="1075"/>
    </row>
    <row r="36" spans="1:10" s="407" customFormat="1" ht="12" customHeight="1" thickBot="1" x14ac:dyDescent="0.25">
      <c r="A36" s="1011" t="s">
        <v>107</v>
      </c>
      <c r="B36" s="1011" t="s">
        <v>108</v>
      </c>
      <c r="C36" s="817">
        <f>SUM(C37:C46)</f>
        <v>32076991</v>
      </c>
      <c r="D36" s="817">
        <f t="shared" ref="D36:I36" si="0">SUM(D37:D46)</f>
        <v>0</v>
      </c>
      <c r="E36" s="817">
        <f t="shared" si="0"/>
        <v>0</v>
      </c>
      <c r="F36" s="817">
        <f t="shared" si="0"/>
        <v>31576991</v>
      </c>
      <c r="G36" s="817">
        <f t="shared" si="0"/>
        <v>0</v>
      </c>
      <c r="H36" s="817">
        <f t="shared" si="0"/>
        <v>0</v>
      </c>
      <c r="I36" s="817">
        <f t="shared" si="0"/>
        <v>500000</v>
      </c>
      <c r="J36" s="1075"/>
    </row>
    <row r="37" spans="1:10" s="407" customFormat="1" ht="12" customHeight="1" x14ac:dyDescent="0.2">
      <c r="A37" s="1013" t="s">
        <v>109</v>
      </c>
      <c r="B37" s="1076" t="s">
        <v>110</v>
      </c>
      <c r="C37" s="819"/>
      <c r="D37" s="1018"/>
      <c r="E37" s="1018"/>
      <c r="F37" s="1018"/>
      <c r="G37" s="1018"/>
      <c r="H37" s="1018"/>
      <c r="I37" s="1018"/>
      <c r="J37" s="1075"/>
    </row>
    <row r="38" spans="1:10" s="407" customFormat="1" ht="12" customHeight="1" x14ac:dyDescent="0.2">
      <c r="A38" s="1016" t="s">
        <v>111</v>
      </c>
      <c r="B38" s="1077" t="s">
        <v>112</v>
      </c>
      <c r="C38" s="815">
        <f>SUM(D38:I38)</f>
        <v>1112494</v>
      </c>
      <c r="D38" s="1018"/>
      <c r="E38" s="1018"/>
      <c r="F38" s="1018">
        <f>500000+112494</f>
        <v>612494</v>
      </c>
      <c r="G38" s="1018"/>
      <c r="H38" s="1018"/>
      <c r="I38" s="1018">
        <v>500000</v>
      </c>
      <c r="J38" s="1075"/>
    </row>
    <row r="39" spans="1:10" s="407" customFormat="1" ht="12" customHeight="1" x14ac:dyDescent="0.2">
      <c r="A39" s="1016" t="s">
        <v>113</v>
      </c>
      <c r="B39" s="1077" t="s">
        <v>114</v>
      </c>
      <c r="C39" s="815">
        <f t="shared" ref="C39:C46" si="1">SUM(D39:I39)</f>
        <v>29555</v>
      </c>
      <c r="D39" s="1018"/>
      <c r="E39" s="1018"/>
      <c r="F39" s="1018">
        <v>29555</v>
      </c>
      <c r="G39" s="1018"/>
      <c r="H39" s="1018"/>
      <c r="I39" s="1018"/>
      <c r="J39" s="1075"/>
    </row>
    <row r="40" spans="1:10" s="407" customFormat="1" ht="12" customHeight="1" x14ac:dyDescent="0.2">
      <c r="A40" s="1016" t="s">
        <v>115</v>
      </c>
      <c r="B40" s="1077" t="s">
        <v>116</v>
      </c>
      <c r="C40" s="815">
        <f t="shared" si="1"/>
        <v>0</v>
      </c>
      <c r="D40" s="1018"/>
      <c r="E40" s="1018"/>
      <c r="F40" s="1018"/>
      <c r="G40" s="1018"/>
      <c r="H40" s="1018"/>
      <c r="I40" s="1018"/>
      <c r="J40" s="1075"/>
    </row>
    <row r="41" spans="1:10" s="407" customFormat="1" ht="12" customHeight="1" x14ac:dyDescent="0.2">
      <c r="A41" s="1016" t="s">
        <v>117</v>
      </c>
      <c r="B41" s="1077" t="s">
        <v>118</v>
      </c>
      <c r="C41" s="815">
        <f t="shared" si="1"/>
        <v>25804942</v>
      </c>
      <c r="D41" s="1018"/>
      <c r="E41" s="1018"/>
      <c r="F41" s="1018">
        <f>19000000+6804942</f>
        <v>25804942</v>
      </c>
      <c r="G41" s="1018"/>
      <c r="H41" s="1018"/>
      <c r="I41" s="1018"/>
      <c r="J41" s="1075"/>
    </row>
    <row r="42" spans="1:10" s="407" customFormat="1" ht="12" customHeight="1" x14ac:dyDescent="0.2">
      <c r="A42" s="1016" t="s">
        <v>119</v>
      </c>
      <c r="B42" s="1077" t="s">
        <v>120</v>
      </c>
      <c r="C42" s="815">
        <f t="shared" si="1"/>
        <v>5130000</v>
      </c>
      <c r="D42" s="1018"/>
      <c r="E42" s="1018"/>
      <c r="F42" s="1018">
        <v>5130000</v>
      </c>
      <c r="G42" s="1018"/>
      <c r="H42" s="1018"/>
      <c r="I42" s="1018"/>
      <c r="J42" s="1075"/>
    </row>
    <row r="43" spans="1:10" s="407" customFormat="1" ht="12" customHeight="1" x14ac:dyDescent="0.2">
      <c r="A43" s="1016" t="s">
        <v>121</v>
      </c>
      <c r="B43" s="1077" t="s">
        <v>122</v>
      </c>
      <c r="C43" s="815">
        <f t="shared" si="1"/>
        <v>0</v>
      </c>
      <c r="D43" s="1018"/>
      <c r="E43" s="1018"/>
      <c r="F43" s="1018"/>
      <c r="G43" s="1018"/>
      <c r="H43" s="1018"/>
      <c r="I43" s="1018"/>
      <c r="J43" s="1075"/>
    </row>
    <row r="44" spans="1:10" s="407" customFormat="1" ht="12" customHeight="1" x14ac:dyDescent="0.2">
      <c r="A44" s="1016" t="s">
        <v>123</v>
      </c>
      <c r="B44" s="1077" t="s">
        <v>124</v>
      </c>
      <c r="C44" s="815">
        <f t="shared" si="1"/>
        <v>0</v>
      </c>
      <c r="D44" s="1018"/>
      <c r="E44" s="1018"/>
      <c r="F44" s="1018"/>
      <c r="G44" s="1018"/>
      <c r="H44" s="1018"/>
      <c r="I44" s="1018"/>
      <c r="J44" s="1075"/>
    </row>
    <row r="45" spans="1:10" s="407" customFormat="1" ht="12" customHeight="1" x14ac:dyDescent="0.2">
      <c r="A45" s="1016" t="s">
        <v>125</v>
      </c>
      <c r="B45" s="1077" t="s">
        <v>126</v>
      </c>
      <c r="C45" s="815">
        <f t="shared" si="1"/>
        <v>0</v>
      </c>
      <c r="D45" s="1018"/>
      <c r="E45" s="1018"/>
      <c r="F45" s="1018"/>
      <c r="G45" s="1018"/>
      <c r="H45" s="1018"/>
      <c r="I45" s="1018"/>
      <c r="J45" s="1075"/>
    </row>
    <row r="46" spans="1:10" s="407" customFormat="1" ht="12" customHeight="1" thickBot="1" x14ac:dyDescent="0.25">
      <c r="A46" s="1019" t="s">
        <v>127</v>
      </c>
      <c r="B46" s="1078" t="s">
        <v>128</v>
      </c>
      <c r="C46" s="815">
        <f t="shared" si="1"/>
        <v>0</v>
      </c>
      <c r="D46" s="1022"/>
      <c r="E46" s="1022"/>
      <c r="F46" s="1022"/>
      <c r="G46" s="1022"/>
      <c r="H46" s="1022"/>
      <c r="I46" s="1022"/>
      <c r="J46" s="1075"/>
    </row>
    <row r="47" spans="1:10" s="407" customFormat="1" ht="12" customHeight="1" thickBot="1" x14ac:dyDescent="0.25">
      <c r="A47" s="1011" t="s">
        <v>129</v>
      </c>
      <c r="B47" s="1011" t="s">
        <v>130</v>
      </c>
      <c r="C47" s="817">
        <f>SUM(C48:C52)</f>
        <v>0</v>
      </c>
      <c r="D47" s="1024"/>
      <c r="E47" s="1024"/>
      <c r="F47" s="1024"/>
      <c r="G47" s="1024"/>
      <c r="H47" s="1024"/>
      <c r="I47" s="1024"/>
      <c r="J47" s="1075"/>
    </row>
    <row r="48" spans="1:10" s="407" customFormat="1" ht="12" customHeight="1" x14ac:dyDescent="0.2">
      <c r="A48" s="1013" t="s">
        <v>131</v>
      </c>
      <c r="B48" s="1076" t="s">
        <v>132</v>
      </c>
      <c r="C48" s="1080"/>
      <c r="D48" s="1015"/>
      <c r="E48" s="1015"/>
      <c r="F48" s="1015"/>
      <c r="G48" s="1015"/>
      <c r="H48" s="1015"/>
      <c r="I48" s="1015"/>
      <c r="J48" s="1075"/>
    </row>
    <row r="49" spans="1:10" s="407" customFormat="1" ht="12" customHeight="1" x14ac:dyDescent="0.2">
      <c r="A49" s="1016" t="s">
        <v>133</v>
      </c>
      <c r="B49" s="1077" t="s">
        <v>134</v>
      </c>
      <c r="C49" s="822"/>
      <c r="D49" s="1018"/>
      <c r="E49" s="1018"/>
      <c r="F49" s="1018"/>
      <c r="G49" s="1018"/>
      <c r="H49" s="1018"/>
      <c r="I49" s="1018"/>
      <c r="J49" s="1075"/>
    </row>
    <row r="50" spans="1:10" s="407" customFormat="1" ht="12" customHeight="1" x14ac:dyDescent="0.2">
      <c r="A50" s="1016" t="s">
        <v>135</v>
      </c>
      <c r="B50" s="1077" t="s">
        <v>136</v>
      </c>
      <c r="C50" s="822"/>
      <c r="D50" s="1018"/>
      <c r="E50" s="1018"/>
      <c r="F50" s="1018"/>
      <c r="G50" s="1018"/>
      <c r="H50" s="1018"/>
      <c r="I50" s="1018"/>
      <c r="J50" s="1075"/>
    </row>
    <row r="51" spans="1:10" s="407" customFormat="1" ht="12" customHeight="1" x14ac:dyDescent="0.2">
      <c r="A51" s="1016" t="s">
        <v>137</v>
      </c>
      <c r="B51" s="1077" t="s">
        <v>138</v>
      </c>
      <c r="C51" s="822"/>
      <c r="D51" s="1018"/>
      <c r="E51" s="1018"/>
      <c r="F51" s="1018"/>
      <c r="G51" s="1018"/>
      <c r="H51" s="1018"/>
      <c r="I51" s="1018"/>
      <c r="J51" s="1075"/>
    </row>
    <row r="52" spans="1:10" s="407" customFormat="1" ht="12" customHeight="1" thickBot="1" x14ac:dyDescent="0.25">
      <c r="A52" s="1019" t="s">
        <v>139</v>
      </c>
      <c r="B52" s="1078" t="s">
        <v>140</v>
      </c>
      <c r="C52" s="1081"/>
      <c r="D52" s="1022"/>
      <c r="E52" s="1022"/>
      <c r="F52" s="1022"/>
      <c r="G52" s="1022"/>
      <c r="H52" s="1022"/>
      <c r="I52" s="1022"/>
      <c r="J52" s="1075"/>
    </row>
    <row r="53" spans="1:10" s="407" customFormat="1" ht="17.25" customHeight="1" thickBot="1" x14ac:dyDescent="0.25">
      <c r="A53" s="1011" t="s">
        <v>141</v>
      </c>
      <c r="B53" s="1011" t="s">
        <v>142</v>
      </c>
      <c r="C53" s="817">
        <f>SUM(C54:C56)</f>
        <v>0</v>
      </c>
      <c r="D53" s="1024"/>
      <c r="E53" s="1024"/>
      <c r="F53" s="1024"/>
      <c r="G53" s="1024"/>
      <c r="H53" s="1024"/>
      <c r="I53" s="1024"/>
      <c r="J53" s="1075"/>
    </row>
    <row r="54" spans="1:10" s="407" customFormat="1" ht="12" customHeight="1" x14ac:dyDescent="0.2">
      <c r="A54" s="1013" t="s">
        <v>143</v>
      </c>
      <c r="B54" s="1076" t="s">
        <v>144</v>
      </c>
      <c r="C54" s="819"/>
      <c r="D54" s="1015"/>
      <c r="E54" s="1015"/>
      <c r="F54" s="1015"/>
      <c r="G54" s="1015"/>
      <c r="H54" s="1015"/>
      <c r="I54" s="1015"/>
      <c r="J54" s="1075"/>
    </row>
    <row r="55" spans="1:10" s="407" customFormat="1" ht="12" customHeight="1" x14ac:dyDescent="0.2">
      <c r="A55" s="1016" t="s">
        <v>145</v>
      </c>
      <c r="B55" s="1077" t="s">
        <v>146</v>
      </c>
      <c r="C55" s="815"/>
      <c r="D55" s="1018"/>
      <c r="E55" s="1018"/>
      <c r="F55" s="1018"/>
      <c r="G55" s="1018"/>
      <c r="H55" s="1018"/>
      <c r="I55" s="1018"/>
      <c r="J55" s="1075"/>
    </row>
    <row r="56" spans="1:10" s="407" customFormat="1" ht="12" customHeight="1" x14ac:dyDescent="0.2">
      <c r="A56" s="1016" t="s">
        <v>147</v>
      </c>
      <c r="B56" s="1077" t="s">
        <v>148</v>
      </c>
      <c r="C56" s="815"/>
      <c r="D56" s="1018"/>
      <c r="E56" s="1018"/>
      <c r="F56" s="1018"/>
      <c r="G56" s="1018"/>
      <c r="H56" s="1018"/>
      <c r="I56" s="1018"/>
      <c r="J56" s="1075"/>
    </row>
    <row r="57" spans="1:10" s="407" customFormat="1" ht="12" customHeight="1" thickBot="1" x14ac:dyDescent="0.25">
      <c r="A57" s="1019" t="s">
        <v>149</v>
      </c>
      <c r="B57" s="1078" t="s">
        <v>150</v>
      </c>
      <c r="C57" s="818"/>
      <c r="D57" s="1022"/>
      <c r="E57" s="1022"/>
      <c r="F57" s="1022"/>
      <c r="G57" s="1022"/>
      <c r="H57" s="1022"/>
      <c r="I57" s="1022"/>
      <c r="J57" s="1075"/>
    </row>
    <row r="58" spans="1:10" s="407" customFormat="1" ht="12" customHeight="1" thickBot="1" x14ac:dyDescent="0.25">
      <c r="A58" s="1011" t="s">
        <v>151</v>
      </c>
      <c r="B58" s="1079" t="s">
        <v>152</v>
      </c>
      <c r="C58" s="817">
        <f>SUM(C59:C61)</f>
        <v>0</v>
      </c>
      <c r="D58" s="1024"/>
      <c r="E58" s="1024"/>
      <c r="F58" s="1024"/>
      <c r="G58" s="1024"/>
      <c r="H58" s="1024"/>
      <c r="I58" s="1024"/>
      <c r="J58" s="1075"/>
    </row>
    <row r="59" spans="1:10" s="407" customFormat="1" ht="12" customHeight="1" x14ac:dyDescent="0.2">
      <c r="A59" s="1013" t="s">
        <v>153</v>
      </c>
      <c r="B59" s="1076" t="s">
        <v>154</v>
      </c>
      <c r="C59" s="822"/>
      <c r="D59" s="1015"/>
      <c r="E59" s="1015"/>
      <c r="F59" s="1015"/>
      <c r="G59" s="1015"/>
      <c r="H59" s="1015"/>
      <c r="I59" s="1015"/>
      <c r="J59" s="1075"/>
    </row>
    <row r="60" spans="1:10" s="407" customFormat="1" ht="12" customHeight="1" x14ac:dyDescent="0.2">
      <c r="A60" s="1016" t="s">
        <v>155</v>
      </c>
      <c r="B60" s="1077" t="s">
        <v>156</v>
      </c>
      <c r="C60" s="822"/>
      <c r="D60" s="1018"/>
      <c r="E60" s="1018"/>
      <c r="F60" s="1018"/>
      <c r="G60" s="1018"/>
      <c r="H60" s="1018"/>
      <c r="I60" s="1018"/>
      <c r="J60" s="1075"/>
    </row>
    <row r="61" spans="1:10" s="407" customFormat="1" ht="12" customHeight="1" x14ac:dyDescent="0.2">
      <c r="A61" s="1016" t="s">
        <v>157</v>
      </c>
      <c r="B61" s="1077" t="s">
        <v>158</v>
      </c>
      <c r="C61" s="822"/>
      <c r="D61" s="1018"/>
      <c r="E61" s="1018"/>
      <c r="F61" s="1018"/>
      <c r="G61" s="1018"/>
      <c r="H61" s="1018"/>
      <c r="I61" s="1018"/>
      <c r="J61" s="1075"/>
    </row>
    <row r="62" spans="1:10" s="407" customFormat="1" ht="12" customHeight="1" thickBot="1" x14ac:dyDescent="0.25">
      <c r="A62" s="1019" t="s">
        <v>159</v>
      </c>
      <c r="B62" s="1078" t="s">
        <v>160</v>
      </c>
      <c r="C62" s="822"/>
      <c r="D62" s="1022"/>
      <c r="E62" s="1022"/>
      <c r="F62" s="1022"/>
      <c r="G62" s="1022"/>
      <c r="H62" s="1022"/>
      <c r="I62" s="1022"/>
      <c r="J62" s="1075"/>
    </row>
    <row r="63" spans="1:10" s="407" customFormat="1" ht="12" customHeight="1" thickBot="1" x14ac:dyDescent="0.25">
      <c r="A63" s="1011" t="s">
        <v>161</v>
      </c>
      <c r="B63" s="1011" t="s">
        <v>162</v>
      </c>
      <c r="C63" s="816">
        <f>+C8+C15+C22+C29+C36+C47+C53+C58</f>
        <v>32076991</v>
      </c>
      <c r="D63" s="816">
        <f t="shared" ref="D63:I63" si="2">+D8+D15+D22+D29+D36+D47+D53+D58</f>
        <v>0</v>
      </c>
      <c r="E63" s="816">
        <f t="shared" si="2"/>
        <v>0</v>
      </c>
      <c r="F63" s="816">
        <f t="shared" si="2"/>
        <v>31576991</v>
      </c>
      <c r="G63" s="816">
        <f t="shared" si="2"/>
        <v>0</v>
      </c>
      <c r="H63" s="816">
        <f t="shared" si="2"/>
        <v>0</v>
      </c>
      <c r="I63" s="816">
        <f t="shared" si="2"/>
        <v>500000</v>
      </c>
      <c r="J63" s="1075"/>
    </row>
    <row r="64" spans="1:10" s="407" customFormat="1" ht="12" customHeight="1" thickBot="1" x14ac:dyDescent="0.25">
      <c r="A64" s="1082" t="s">
        <v>163</v>
      </c>
      <c r="B64" s="1079" t="s">
        <v>164</v>
      </c>
      <c r="C64" s="817">
        <f>+C65+C66+C67</f>
        <v>0</v>
      </c>
      <c r="D64" s="1024"/>
      <c r="E64" s="1024"/>
      <c r="F64" s="1024"/>
      <c r="G64" s="1024"/>
      <c r="H64" s="1024"/>
      <c r="I64" s="1024"/>
      <c r="J64" s="1075"/>
    </row>
    <row r="65" spans="1:10" s="407" customFormat="1" ht="12" customHeight="1" x14ac:dyDescent="0.2">
      <c r="A65" s="1013" t="s">
        <v>165</v>
      </c>
      <c r="B65" s="1076" t="s">
        <v>166</v>
      </c>
      <c r="C65" s="822"/>
      <c r="D65" s="1015"/>
      <c r="E65" s="1015"/>
      <c r="F65" s="1015"/>
      <c r="G65" s="1015"/>
      <c r="H65" s="1015"/>
      <c r="I65" s="1015"/>
      <c r="J65" s="1075"/>
    </row>
    <row r="66" spans="1:10" s="407" customFormat="1" ht="12" customHeight="1" x14ac:dyDescent="0.2">
      <c r="A66" s="1016" t="s">
        <v>167</v>
      </c>
      <c r="B66" s="1077" t="s">
        <v>168</v>
      </c>
      <c r="C66" s="822"/>
      <c r="D66" s="1018"/>
      <c r="E66" s="1018"/>
      <c r="F66" s="1018"/>
      <c r="G66" s="1018"/>
      <c r="H66" s="1018"/>
      <c r="I66" s="1018"/>
      <c r="J66" s="1075"/>
    </row>
    <row r="67" spans="1:10" s="407" customFormat="1" ht="12" customHeight="1" thickBot="1" x14ac:dyDescent="0.25">
      <c r="A67" s="1019" t="s">
        <v>169</v>
      </c>
      <c r="B67" s="1083" t="s">
        <v>170</v>
      </c>
      <c r="C67" s="822"/>
      <c r="D67" s="1018"/>
      <c r="E67" s="1018"/>
      <c r="F67" s="1018"/>
      <c r="G67" s="1018"/>
      <c r="H67" s="1018"/>
      <c r="I67" s="1018"/>
      <c r="J67" s="1075"/>
    </row>
    <row r="68" spans="1:10" s="407" customFormat="1" ht="12" customHeight="1" thickBot="1" x14ac:dyDescent="0.25">
      <c r="A68" s="1082" t="s">
        <v>171</v>
      </c>
      <c r="B68" s="1079" t="s">
        <v>172</v>
      </c>
      <c r="C68" s="817">
        <f>+C69+C70+C71+C72</f>
        <v>0</v>
      </c>
      <c r="D68" s="817">
        <f t="shared" ref="D68:I68" si="3">+D69+D70+D71+D72</f>
        <v>0</v>
      </c>
      <c r="E68" s="817">
        <f t="shared" si="3"/>
        <v>0</v>
      </c>
      <c r="F68" s="817">
        <f t="shared" si="3"/>
        <v>0</v>
      </c>
      <c r="G68" s="817">
        <f t="shared" si="3"/>
        <v>0</v>
      </c>
      <c r="H68" s="817">
        <f t="shared" si="3"/>
        <v>0</v>
      </c>
      <c r="I68" s="817">
        <f t="shared" si="3"/>
        <v>0</v>
      </c>
      <c r="J68" s="1075"/>
    </row>
    <row r="69" spans="1:10" s="407" customFormat="1" ht="13.5" customHeight="1" x14ac:dyDescent="0.2">
      <c r="A69" s="1013" t="s">
        <v>173</v>
      </c>
      <c r="B69" s="1076" t="s">
        <v>174</v>
      </c>
      <c r="C69" s="822"/>
      <c r="D69" s="1018"/>
      <c r="E69" s="1018"/>
      <c r="F69" s="1018"/>
      <c r="G69" s="1018"/>
      <c r="H69" s="1018"/>
      <c r="I69" s="1018"/>
      <c r="J69" s="1075"/>
    </row>
    <row r="70" spans="1:10" s="407" customFormat="1" ht="12" customHeight="1" x14ac:dyDescent="0.2">
      <c r="A70" s="1016" t="s">
        <v>175</v>
      </c>
      <c r="B70" s="1077" t="s">
        <v>176</v>
      </c>
      <c r="C70" s="822"/>
      <c r="D70" s="1018"/>
      <c r="E70" s="1018"/>
      <c r="F70" s="1018"/>
      <c r="G70" s="1018"/>
      <c r="H70" s="1018"/>
      <c r="I70" s="1018"/>
      <c r="J70" s="1075"/>
    </row>
    <row r="71" spans="1:10" s="407" customFormat="1" ht="12" customHeight="1" x14ac:dyDescent="0.2">
      <c r="A71" s="1016" t="s">
        <v>177</v>
      </c>
      <c r="B71" s="1077" t="s">
        <v>178</v>
      </c>
      <c r="C71" s="822"/>
      <c r="D71" s="1018"/>
      <c r="E71" s="1018"/>
      <c r="F71" s="1018"/>
      <c r="G71" s="1018"/>
      <c r="H71" s="1018"/>
      <c r="I71" s="1018"/>
      <c r="J71" s="1075"/>
    </row>
    <row r="72" spans="1:10" s="407" customFormat="1" ht="12" customHeight="1" thickBot="1" x14ac:dyDescent="0.25">
      <c r="A72" s="1019" t="s">
        <v>179</v>
      </c>
      <c r="B72" s="1078" t="s">
        <v>180</v>
      </c>
      <c r="C72" s="822"/>
      <c r="D72" s="1018"/>
      <c r="E72" s="1018"/>
      <c r="F72" s="1018"/>
      <c r="G72" s="1018"/>
      <c r="H72" s="1018"/>
      <c r="I72" s="1018"/>
      <c r="J72" s="1075"/>
    </row>
    <row r="73" spans="1:10" s="407" customFormat="1" ht="12" customHeight="1" thickBot="1" x14ac:dyDescent="0.25">
      <c r="A73" s="1082" t="s">
        <v>181</v>
      </c>
      <c r="B73" s="1079" t="s">
        <v>182</v>
      </c>
      <c r="C73" s="817">
        <f>SUM(D73:I73)</f>
        <v>0</v>
      </c>
      <c r="D73" s="817">
        <f t="shared" ref="D73:E73" si="4">+D74+D75</f>
        <v>0</v>
      </c>
      <c r="E73" s="817">
        <f t="shared" si="4"/>
        <v>0</v>
      </c>
      <c r="F73" s="817">
        <f>+F74+F75</f>
        <v>0</v>
      </c>
      <c r="G73" s="817">
        <f t="shared" ref="G73:H73" si="5">+G74+G75</f>
        <v>0</v>
      </c>
      <c r="H73" s="817">
        <f t="shared" si="5"/>
        <v>0</v>
      </c>
      <c r="I73" s="817">
        <f>+I74+I75</f>
        <v>0</v>
      </c>
      <c r="J73" s="1075"/>
    </row>
    <row r="74" spans="1:10" s="407" customFormat="1" ht="12" customHeight="1" x14ac:dyDescent="0.2">
      <c r="A74" s="1013" t="s">
        <v>183</v>
      </c>
      <c r="B74" s="1076" t="s">
        <v>184</v>
      </c>
      <c r="C74" s="822"/>
      <c r="D74" s="1018"/>
      <c r="E74" s="1018"/>
      <c r="F74" s="1018"/>
      <c r="G74" s="1018"/>
      <c r="H74" s="1018"/>
      <c r="I74" s="1018"/>
      <c r="J74" s="1075"/>
    </row>
    <row r="75" spans="1:10" s="407" customFormat="1" ht="12" customHeight="1" thickBot="1" x14ac:dyDescent="0.25">
      <c r="A75" s="1019" t="s">
        <v>185</v>
      </c>
      <c r="B75" s="1078" t="s">
        <v>186</v>
      </c>
      <c r="C75" s="822"/>
      <c r="D75" s="1018"/>
      <c r="E75" s="1018"/>
      <c r="F75" s="1018"/>
      <c r="G75" s="1018"/>
      <c r="H75" s="1018"/>
      <c r="I75" s="1018"/>
      <c r="J75" s="1075"/>
    </row>
    <row r="76" spans="1:10" s="407" customFormat="1" ht="12" customHeight="1" thickBot="1" x14ac:dyDescent="0.25">
      <c r="A76" s="1082" t="s">
        <v>187</v>
      </c>
      <c r="B76" s="1079" t="s">
        <v>188</v>
      </c>
      <c r="C76" s="817">
        <f>+C77+C78+C79</f>
        <v>392927335</v>
      </c>
      <c r="D76" s="817">
        <f t="shared" ref="D76:I76" si="6">+D77+D78+D79</f>
        <v>0</v>
      </c>
      <c r="E76" s="817">
        <f t="shared" si="6"/>
        <v>0</v>
      </c>
      <c r="F76" s="817">
        <f t="shared" si="6"/>
        <v>0</v>
      </c>
      <c r="G76" s="817">
        <f t="shared" si="6"/>
        <v>0</v>
      </c>
      <c r="H76" s="817">
        <f t="shared" si="6"/>
        <v>392927335</v>
      </c>
      <c r="I76" s="817">
        <f t="shared" si="6"/>
        <v>0</v>
      </c>
      <c r="J76" s="1075"/>
    </row>
    <row r="77" spans="1:10" s="407" customFormat="1" ht="12" customHeight="1" x14ac:dyDescent="0.2">
      <c r="A77" s="1013" t="s">
        <v>189</v>
      </c>
      <c r="B77" s="1076" t="s">
        <v>190</v>
      </c>
      <c r="C77" s="822"/>
      <c r="D77" s="1018"/>
      <c r="E77" s="1018"/>
      <c r="F77" s="1018"/>
      <c r="G77" s="1018"/>
      <c r="H77" s="1018"/>
      <c r="I77" s="1018"/>
      <c r="J77" s="1075"/>
    </row>
    <row r="78" spans="1:10" s="407" customFormat="1" ht="12" customHeight="1" x14ac:dyDescent="0.2">
      <c r="A78" s="1016" t="s">
        <v>191</v>
      </c>
      <c r="B78" s="1077" t="s">
        <v>192</v>
      </c>
      <c r="C78" s="822"/>
      <c r="D78" s="1018"/>
      <c r="E78" s="1018"/>
      <c r="F78" s="1018"/>
      <c r="G78" s="1018"/>
      <c r="H78" s="1018"/>
      <c r="I78" s="1018"/>
      <c r="J78" s="1075"/>
    </row>
    <row r="79" spans="1:10" s="407" customFormat="1" ht="12" customHeight="1" thickBot="1" x14ac:dyDescent="0.25">
      <c r="A79" s="1019" t="s">
        <v>193</v>
      </c>
      <c r="B79" s="1084" t="s">
        <v>1793</v>
      </c>
      <c r="C79" s="822">
        <f>SUM(D79:I79)</f>
        <v>392927335</v>
      </c>
      <c r="D79" s="1018"/>
      <c r="E79" s="1018"/>
      <c r="F79" s="1018"/>
      <c r="G79" s="1018"/>
      <c r="H79" s="402">
        <f>389354335-5000000+8573000</f>
        <v>392927335</v>
      </c>
      <c r="I79" s="1018"/>
      <c r="J79" s="1075"/>
    </row>
    <row r="80" spans="1:10" s="407" customFormat="1" ht="12" customHeight="1" thickBot="1" x14ac:dyDescent="0.25">
      <c r="A80" s="1082" t="s">
        <v>195</v>
      </c>
      <c r="B80" s="1079" t="s">
        <v>196</v>
      </c>
      <c r="C80" s="817">
        <f>+C81+C82+C83+C84</f>
        <v>0</v>
      </c>
      <c r="D80" s="817">
        <f t="shared" ref="D80:I80" si="7">+D81+D82+D83+D84</f>
        <v>0</v>
      </c>
      <c r="E80" s="817">
        <f t="shared" si="7"/>
        <v>0</v>
      </c>
      <c r="F80" s="817">
        <f t="shared" si="7"/>
        <v>0</v>
      </c>
      <c r="G80" s="817">
        <f t="shared" si="7"/>
        <v>0</v>
      </c>
      <c r="H80" s="817">
        <f t="shared" si="7"/>
        <v>0</v>
      </c>
      <c r="I80" s="817">
        <f t="shared" si="7"/>
        <v>0</v>
      </c>
      <c r="J80" s="1075"/>
    </row>
    <row r="81" spans="1:10" s="407" customFormat="1" ht="12" customHeight="1" x14ac:dyDescent="0.2">
      <c r="A81" s="1085" t="s">
        <v>197</v>
      </c>
      <c r="B81" s="1076" t="s">
        <v>198</v>
      </c>
      <c r="C81" s="822"/>
      <c r="D81" s="1018"/>
      <c r="E81" s="1018"/>
      <c r="F81" s="1018"/>
      <c r="G81" s="1018"/>
      <c r="H81" s="1018"/>
      <c r="I81" s="1018"/>
      <c r="J81" s="1075"/>
    </row>
    <row r="82" spans="1:10" s="407" customFormat="1" ht="12" customHeight="1" x14ac:dyDescent="0.2">
      <c r="A82" s="1086" t="s">
        <v>199</v>
      </c>
      <c r="B82" s="1077" t="s">
        <v>200</v>
      </c>
      <c r="C82" s="822"/>
      <c r="D82" s="1018"/>
      <c r="E82" s="1018"/>
      <c r="F82" s="1018"/>
      <c r="G82" s="1018"/>
      <c r="H82" s="1018"/>
      <c r="I82" s="1018"/>
      <c r="J82" s="1075"/>
    </row>
    <row r="83" spans="1:10" s="407" customFormat="1" ht="12" customHeight="1" x14ac:dyDescent="0.2">
      <c r="A83" s="1086" t="s">
        <v>201</v>
      </c>
      <c r="B83" s="1077" t="s">
        <v>202</v>
      </c>
      <c r="C83" s="822"/>
      <c r="D83" s="1018"/>
      <c r="E83" s="1018"/>
      <c r="F83" s="1018"/>
      <c r="G83" s="1018"/>
      <c r="H83" s="1018"/>
      <c r="I83" s="1018"/>
      <c r="J83" s="1075"/>
    </row>
    <row r="84" spans="1:10" s="407" customFormat="1" ht="12" customHeight="1" thickBot="1" x14ac:dyDescent="0.25">
      <c r="A84" s="1083" t="s">
        <v>203</v>
      </c>
      <c r="B84" s="1084" t="s">
        <v>204</v>
      </c>
      <c r="C84" s="822"/>
      <c r="D84" s="1018"/>
      <c r="E84" s="1018"/>
      <c r="F84" s="1018"/>
      <c r="G84" s="1018"/>
      <c r="H84" s="1018"/>
      <c r="I84" s="1018"/>
      <c r="J84" s="1075"/>
    </row>
    <row r="85" spans="1:10" s="407" customFormat="1" ht="12" customHeight="1" thickBot="1" x14ac:dyDescent="0.25">
      <c r="A85" s="1082" t="s">
        <v>205</v>
      </c>
      <c r="B85" s="1079" t="s">
        <v>206</v>
      </c>
      <c r="C85" s="821"/>
      <c r="D85" s="821"/>
      <c r="E85" s="821"/>
      <c r="F85" s="821"/>
      <c r="G85" s="821"/>
      <c r="H85" s="821"/>
      <c r="I85" s="821"/>
      <c r="J85" s="1075"/>
    </row>
    <row r="86" spans="1:10" s="407" customFormat="1" ht="12" customHeight="1" thickBot="1" x14ac:dyDescent="0.25">
      <c r="A86" s="1082" t="s">
        <v>207</v>
      </c>
      <c r="B86" s="1082" t="s">
        <v>208</v>
      </c>
      <c r="C86" s="816">
        <f>+C64+C68+C73+C76+C80+C85</f>
        <v>392927335</v>
      </c>
      <c r="D86" s="816">
        <f t="shared" ref="D86:I86" si="8">+D64+D68+D73+D76+D80+D85</f>
        <v>0</v>
      </c>
      <c r="E86" s="816">
        <f t="shared" si="8"/>
        <v>0</v>
      </c>
      <c r="F86" s="816">
        <f t="shared" si="8"/>
        <v>0</v>
      </c>
      <c r="G86" s="816">
        <f t="shared" si="8"/>
        <v>0</v>
      </c>
      <c r="H86" s="816">
        <f t="shared" si="8"/>
        <v>392927335</v>
      </c>
      <c r="I86" s="816">
        <f t="shared" si="8"/>
        <v>0</v>
      </c>
      <c r="J86" s="1075"/>
    </row>
    <row r="87" spans="1:10" s="407" customFormat="1" ht="12" customHeight="1" thickBot="1" x14ac:dyDescent="0.25">
      <c r="A87" s="1087" t="s">
        <v>209</v>
      </c>
      <c r="B87" s="1087" t="s">
        <v>210</v>
      </c>
      <c r="C87" s="816">
        <f>C63+C86</f>
        <v>425004326</v>
      </c>
      <c r="D87" s="816">
        <f t="shared" ref="D87:I87" si="9">D63+D86</f>
        <v>0</v>
      </c>
      <c r="E87" s="816">
        <f t="shared" si="9"/>
        <v>0</v>
      </c>
      <c r="F87" s="816">
        <f t="shared" si="9"/>
        <v>31576991</v>
      </c>
      <c r="G87" s="816">
        <f t="shared" si="9"/>
        <v>0</v>
      </c>
      <c r="H87" s="816">
        <f t="shared" si="9"/>
        <v>392927335</v>
      </c>
      <c r="I87" s="816">
        <f t="shared" si="9"/>
        <v>500000</v>
      </c>
      <c r="J87" s="1075"/>
    </row>
    <row r="88" spans="1:10" s="407" customFormat="1" ht="12" customHeight="1" x14ac:dyDescent="0.2">
      <c r="A88" s="1088"/>
      <c r="B88" s="1088"/>
      <c r="C88" s="1089"/>
      <c r="D88" s="1075"/>
      <c r="E88" s="1075"/>
      <c r="F88" s="1075"/>
      <c r="G88" s="1075"/>
      <c r="H88" s="1075"/>
      <c r="I88" s="1075"/>
      <c r="J88" s="1075"/>
    </row>
    <row r="89" spans="1:10" ht="16.5" customHeight="1" x14ac:dyDescent="0.2">
      <c r="A89" s="1668" t="s">
        <v>211</v>
      </c>
      <c r="B89" s="1668"/>
      <c r="C89" s="1668"/>
    </row>
    <row r="90" spans="1:10" s="1042" customFormat="1" ht="16.5" customHeight="1" thickBot="1" x14ac:dyDescent="0.3">
      <c r="A90" s="1038" t="s">
        <v>2122</v>
      </c>
      <c r="B90" s="1038"/>
      <c r="D90" s="1090"/>
      <c r="E90" s="1090"/>
      <c r="F90" s="1090"/>
      <c r="G90" s="1090"/>
      <c r="H90" s="1090"/>
      <c r="I90" s="1071" t="s">
        <v>1689</v>
      </c>
      <c r="J90" s="1090"/>
    </row>
    <row r="91" spans="1:10" s="1042" customFormat="1" ht="16.5" customHeight="1" thickBot="1" x14ac:dyDescent="0.25">
      <c r="A91" s="1678" t="s">
        <v>41</v>
      </c>
      <c r="B91" s="1678" t="s">
        <v>213</v>
      </c>
      <c r="C91" s="1678" t="s">
        <v>1949</v>
      </c>
      <c r="D91" s="1675" t="s">
        <v>2007</v>
      </c>
      <c r="E91" s="1675" t="s">
        <v>2008</v>
      </c>
      <c r="F91" s="1675" t="s">
        <v>2009</v>
      </c>
      <c r="G91" s="1675" t="s">
        <v>2010</v>
      </c>
      <c r="H91" s="1675" t="s">
        <v>2011</v>
      </c>
      <c r="I91" s="1675" t="s">
        <v>2012</v>
      </c>
      <c r="J91" s="1090"/>
    </row>
    <row r="92" spans="1:10" ht="47.25" customHeight="1" thickBot="1" x14ac:dyDescent="0.25">
      <c r="A92" s="1678"/>
      <c r="B92" s="1678"/>
      <c r="C92" s="1679"/>
      <c r="D92" s="1676"/>
      <c r="E92" s="1676"/>
      <c r="F92" s="1676"/>
      <c r="G92" s="1676"/>
      <c r="H92" s="1677"/>
      <c r="I92" s="1677"/>
    </row>
    <row r="93" spans="1:10" s="1010" customFormat="1" ht="12" customHeight="1" thickBot="1" x14ac:dyDescent="0.3">
      <c r="A93" s="1008" t="s">
        <v>46</v>
      </c>
      <c r="B93" s="1008" t="s">
        <v>47</v>
      </c>
      <c r="C93" s="1008" t="s">
        <v>48</v>
      </c>
      <c r="D93" s="1073" t="s">
        <v>49</v>
      </c>
      <c r="E93" s="1073" t="s">
        <v>50</v>
      </c>
      <c r="F93" s="1073" t="s">
        <v>294</v>
      </c>
      <c r="G93" s="1073" t="s">
        <v>295</v>
      </c>
      <c r="H93" s="1073" t="s">
        <v>296</v>
      </c>
      <c r="I93" s="1073" t="s">
        <v>297</v>
      </c>
      <c r="J93" s="1074"/>
    </row>
    <row r="94" spans="1:10" ht="12" customHeight="1" thickBot="1" x14ac:dyDescent="0.25">
      <c r="A94" s="1091" t="s">
        <v>51</v>
      </c>
      <c r="B94" s="1092" t="s">
        <v>288</v>
      </c>
      <c r="C94" s="1093">
        <f>SUM(C97+C96+C95)</f>
        <v>423950226</v>
      </c>
      <c r="D94" s="1093">
        <f t="shared" ref="D94:I94" si="10">SUM(D95:D99)</f>
        <v>153297160</v>
      </c>
      <c r="E94" s="1093">
        <f t="shared" si="10"/>
        <v>93639192</v>
      </c>
      <c r="F94" s="1093">
        <f t="shared" si="10"/>
        <v>13641234</v>
      </c>
      <c r="G94" s="1093">
        <f t="shared" si="10"/>
        <v>5000000</v>
      </c>
      <c r="H94" s="1093">
        <f t="shared" si="10"/>
        <v>0</v>
      </c>
      <c r="I94" s="1093">
        <f t="shared" si="10"/>
        <v>3000000</v>
      </c>
    </row>
    <row r="95" spans="1:10" ht="12" customHeight="1" x14ac:dyDescent="0.2">
      <c r="A95" s="1094" t="s">
        <v>53</v>
      </c>
      <c r="B95" s="1095" t="s">
        <v>215</v>
      </c>
      <c r="C95" s="1096">
        <f>SUM(D94:I94)</f>
        <v>268577586</v>
      </c>
      <c r="D95" s="1048">
        <v>82836936</v>
      </c>
      <c r="E95" s="1048">
        <f>32419282+1870000-6946991</f>
        <v>27342291</v>
      </c>
      <c r="F95" s="1048">
        <f>2855719+170000</f>
        <v>3025719</v>
      </c>
      <c r="G95" s="1048"/>
      <c r="H95" s="1048"/>
      <c r="I95" s="1048"/>
    </row>
    <row r="96" spans="1:10" ht="12" customHeight="1" x14ac:dyDescent="0.2">
      <c r="A96" s="1016" t="s">
        <v>55</v>
      </c>
      <c r="B96" s="1097" t="s">
        <v>216</v>
      </c>
      <c r="C96" s="815">
        <f>SUM(D96:I96)</f>
        <v>56042649</v>
      </c>
      <c r="D96" s="1048">
        <v>38460224</v>
      </c>
      <c r="E96" s="1048">
        <f>6321760+645150+10000000</f>
        <v>16966910</v>
      </c>
      <c r="F96" s="1048">
        <f>556865+58650</f>
        <v>615515</v>
      </c>
      <c r="G96" s="1048"/>
      <c r="H96" s="1048"/>
      <c r="I96" s="1048"/>
    </row>
    <row r="97" spans="1:9" ht="12" customHeight="1" x14ac:dyDescent="0.2">
      <c r="A97" s="1016" t="s">
        <v>57</v>
      </c>
      <c r="B97" s="1097" t="s">
        <v>217</v>
      </c>
      <c r="C97" s="815">
        <f>SUM(D97:I97)</f>
        <v>99329991</v>
      </c>
      <c r="D97" s="1048">
        <v>32000000</v>
      </c>
      <c r="E97" s="1048">
        <f>42383000+6946991</f>
        <v>49329991</v>
      </c>
      <c r="F97" s="1048">
        <v>10000000</v>
      </c>
      <c r="G97" s="1048">
        <v>5000000</v>
      </c>
      <c r="H97" s="1048"/>
      <c r="I97" s="1048">
        <v>3000000</v>
      </c>
    </row>
    <row r="98" spans="1:9" ht="12" customHeight="1" x14ac:dyDescent="0.2">
      <c r="A98" s="1016" t="s">
        <v>59</v>
      </c>
      <c r="B98" s="1097" t="s">
        <v>218</v>
      </c>
      <c r="C98" s="818"/>
      <c r="D98" s="1048"/>
      <c r="E98" s="1048"/>
      <c r="F98" s="1048"/>
      <c r="G98" s="1048"/>
      <c r="H98" s="1048"/>
      <c r="I98" s="1048"/>
    </row>
    <row r="99" spans="1:9" ht="12" customHeight="1" x14ac:dyDescent="0.2">
      <c r="A99" s="1016" t="s">
        <v>219</v>
      </c>
      <c r="B99" s="1098" t="s">
        <v>220</v>
      </c>
      <c r="C99" s="818"/>
      <c r="D99" s="1048"/>
      <c r="E99" s="1048"/>
      <c r="F99" s="1048"/>
      <c r="G99" s="1048"/>
      <c r="H99" s="1048"/>
      <c r="I99" s="1048"/>
    </row>
    <row r="100" spans="1:9" ht="12" customHeight="1" x14ac:dyDescent="0.2">
      <c r="A100" s="1016" t="s">
        <v>63</v>
      </c>
      <c r="B100" s="1097" t="s">
        <v>221</v>
      </c>
      <c r="C100" s="818"/>
      <c r="D100" s="1048"/>
      <c r="E100" s="1048"/>
      <c r="F100" s="1048"/>
      <c r="G100" s="1048"/>
      <c r="H100" s="1048"/>
      <c r="I100" s="1048"/>
    </row>
    <row r="101" spans="1:9" ht="12" customHeight="1" x14ac:dyDescent="0.2">
      <c r="A101" s="1016" t="s">
        <v>222</v>
      </c>
      <c r="B101" s="1099" t="s">
        <v>223</v>
      </c>
      <c r="C101" s="818"/>
      <c r="D101" s="1048"/>
      <c r="E101" s="1048"/>
      <c r="F101" s="1048"/>
      <c r="G101" s="1048"/>
      <c r="H101" s="1048"/>
      <c r="I101" s="1048"/>
    </row>
    <row r="102" spans="1:9" ht="12" customHeight="1" x14ac:dyDescent="0.2">
      <c r="A102" s="1016" t="s">
        <v>224</v>
      </c>
      <c r="B102" s="1100" t="s">
        <v>225</v>
      </c>
      <c r="C102" s="818"/>
      <c r="D102" s="1048"/>
      <c r="E102" s="1048"/>
      <c r="F102" s="1048"/>
      <c r="G102" s="1048"/>
      <c r="H102" s="1048"/>
      <c r="I102" s="1048"/>
    </row>
    <row r="103" spans="1:9" ht="12" customHeight="1" x14ac:dyDescent="0.2">
      <c r="A103" s="1016" t="s">
        <v>226</v>
      </c>
      <c r="B103" s="1100" t="s">
        <v>227</v>
      </c>
      <c r="C103" s="818"/>
      <c r="D103" s="1048"/>
      <c r="E103" s="1048"/>
      <c r="F103" s="1048"/>
      <c r="G103" s="1048"/>
      <c r="H103" s="1048"/>
      <c r="I103" s="1048"/>
    </row>
    <row r="104" spans="1:9" ht="12" customHeight="1" x14ac:dyDescent="0.2">
      <c r="A104" s="1016" t="s">
        <v>228</v>
      </c>
      <c r="B104" s="1099" t="s">
        <v>229</v>
      </c>
      <c r="C104" s="818"/>
      <c r="D104" s="1048"/>
      <c r="E104" s="1048"/>
      <c r="F104" s="1048"/>
      <c r="G104" s="1048"/>
      <c r="H104" s="1048"/>
      <c r="I104" s="1048"/>
    </row>
    <row r="105" spans="1:9" ht="12" customHeight="1" x14ac:dyDescent="0.2">
      <c r="A105" s="1016" t="s">
        <v>230</v>
      </c>
      <c r="B105" s="1099" t="s">
        <v>231</v>
      </c>
      <c r="C105" s="818"/>
      <c r="D105" s="1048"/>
      <c r="E105" s="1048"/>
      <c r="F105" s="1048"/>
      <c r="G105" s="1048"/>
      <c r="H105" s="1048"/>
      <c r="I105" s="1048"/>
    </row>
    <row r="106" spans="1:9" ht="12" customHeight="1" x14ac:dyDescent="0.2">
      <c r="A106" s="1016" t="s">
        <v>232</v>
      </c>
      <c r="B106" s="1100" t="s">
        <v>233</v>
      </c>
      <c r="C106" s="818"/>
      <c r="D106" s="1048"/>
      <c r="E106" s="1048"/>
      <c r="F106" s="1048"/>
      <c r="G106" s="1048"/>
      <c r="H106" s="1048"/>
      <c r="I106" s="1048"/>
    </row>
    <row r="107" spans="1:9" ht="12" customHeight="1" x14ac:dyDescent="0.2">
      <c r="A107" s="1051" t="s">
        <v>234</v>
      </c>
      <c r="B107" s="1101" t="s">
        <v>235</v>
      </c>
      <c r="C107" s="818"/>
      <c r="D107" s="1048"/>
      <c r="E107" s="1048"/>
      <c r="F107" s="1048"/>
      <c r="G107" s="1048"/>
      <c r="H107" s="1048"/>
      <c r="I107" s="1048"/>
    </row>
    <row r="108" spans="1:9" ht="12" customHeight="1" x14ac:dyDescent="0.2">
      <c r="A108" s="1016" t="s">
        <v>236</v>
      </c>
      <c r="B108" s="1101" t="s">
        <v>237</v>
      </c>
      <c r="C108" s="818"/>
      <c r="D108" s="1048"/>
      <c r="E108" s="1048"/>
      <c r="F108" s="1048"/>
      <c r="G108" s="1048"/>
      <c r="H108" s="1048"/>
      <c r="I108" s="1048"/>
    </row>
    <row r="109" spans="1:9" ht="12" customHeight="1" thickBot="1" x14ac:dyDescent="0.25">
      <c r="A109" s="1053" t="s">
        <v>238</v>
      </c>
      <c r="B109" s="1102" t="s">
        <v>239</v>
      </c>
      <c r="C109" s="1103"/>
      <c r="D109" s="1048"/>
      <c r="E109" s="1048"/>
      <c r="F109" s="1048"/>
      <c r="G109" s="1048"/>
      <c r="H109" s="1048"/>
      <c r="I109" s="1048"/>
    </row>
    <row r="110" spans="1:9" ht="12" customHeight="1" thickBot="1" x14ac:dyDescent="0.25">
      <c r="A110" s="1011" t="s">
        <v>65</v>
      </c>
      <c r="B110" s="1104" t="s">
        <v>289</v>
      </c>
      <c r="C110" s="817">
        <f>+C111+C113+C115</f>
        <v>1054100</v>
      </c>
      <c r="D110" s="817">
        <f t="shared" ref="D110:I110" si="11">+D111+D113+D115</f>
        <v>0</v>
      </c>
      <c r="E110" s="817">
        <f t="shared" si="11"/>
        <v>1054100</v>
      </c>
      <c r="F110" s="817">
        <f t="shared" si="11"/>
        <v>0</v>
      </c>
      <c r="G110" s="817">
        <f t="shared" si="11"/>
        <v>0</v>
      </c>
      <c r="H110" s="817">
        <f t="shared" si="11"/>
        <v>0</v>
      </c>
      <c r="I110" s="817">
        <f t="shared" si="11"/>
        <v>0</v>
      </c>
    </row>
    <row r="111" spans="1:9" ht="12" customHeight="1" x14ac:dyDescent="0.2">
      <c r="A111" s="1013" t="s">
        <v>67</v>
      </c>
      <c r="B111" s="1097" t="s">
        <v>241</v>
      </c>
      <c r="C111" s="819">
        <f>SUM(D111:I111)</f>
        <v>1054100</v>
      </c>
      <c r="D111" s="1048"/>
      <c r="E111" s="1048">
        <v>1054100</v>
      </c>
      <c r="F111" s="1048"/>
      <c r="G111" s="1048"/>
      <c r="H111" s="1048"/>
      <c r="I111" s="1048"/>
    </row>
    <row r="112" spans="1:9" ht="12" customHeight="1" x14ac:dyDescent="0.2">
      <c r="A112" s="1013" t="s">
        <v>69</v>
      </c>
      <c r="B112" s="1105" t="s">
        <v>242</v>
      </c>
      <c r="C112" s="819"/>
      <c r="D112" s="1048"/>
      <c r="E112" s="1048"/>
      <c r="F112" s="1048"/>
      <c r="G112" s="1048"/>
      <c r="H112" s="1048"/>
      <c r="I112" s="1048"/>
    </row>
    <row r="113" spans="1:10" x14ac:dyDescent="0.2">
      <c r="A113" s="1013" t="s">
        <v>71</v>
      </c>
      <c r="B113" s="1105" t="s">
        <v>243</v>
      </c>
      <c r="C113" s="815"/>
      <c r="D113" s="1048"/>
      <c r="E113" s="1048"/>
      <c r="F113" s="1048"/>
      <c r="G113" s="1048"/>
      <c r="H113" s="1048"/>
      <c r="I113" s="1048"/>
    </row>
    <row r="114" spans="1:10" ht="12" customHeight="1" x14ac:dyDescent="0.2">
      <c r="A114" s="1013" t="s">
        <v>73</v>
      </c>
      <c r="B114" s="1105" t="s">
        <v>244</v>
      </c>
      <c r="C114" s="815"/>
      <c r="D114" s="1048"/>
      <c r="E114" s="1048"/>
      <c r="F114" s="1048"/>
      <c r="G114" s="1048"/>
      <c r="H114" s="1048"/>
      <c r="I114" s="1048"/>
    </row>
    <row r="115" spans="1:10" ht="12" customHeight="1" x14ac:dyDescent="0.2">
      <c r="A115" s="1013" t="s">
        <v>75</v>
      </c>
      <c r="B115" s="1084" t="s">
        <v>245</v>
      </c>
      <c r="C115" s="815"/>
      <c r="D115" s="1048"/>
      <c r="E115" s="1048"/>
      <c r="F115" s="1048"/>
      <c r="G115" s="1048"/>
      <c r="H115" s="1048"/>
      <c r="I115" s="1048"/>
    </row>
    <row r="116" spans="1:10" ht="21.75" customHeight="1" x14ac:dyDescent="0.2">
      <c r="A116" s="1013" t="s">
        <v>77</v>
      </c>
      <c r="B116" s="1106" t="s">
        <v>246</v>
      </c>
      <c r="C116" s="815"/>
      <c r="D116" s="1048"/>
      <c r="E116" s="1048"/>
      <c r="F116" s="1048"/>
      <c r="G116" s="1048"/>
      <c r="H116" s="1048"/>
      <c r="I116" s="1048"/>
    </row>
    <row r="117" spans="1:10" ht="24" customHeight="1" x14ac:dyDescent="0.2">
      <c r="A117" s="1013" t="s">
        <v>247</v>
      </c>
      <c r="B117" s="1107" t="s">
        <v>248</v>
      </c>
      <c r="C117" s="815"/>
      <c r="D117" s="1048"/>
      <c r="E117" s="1048"/>
      <c r="F117" s="1048"/>
      <c r="G117" s="1048"/>
      <c r="H117" s="1048"/>
      <c r="I117" s="1048"/>
    </row>
    <row r="118" spans="1:10" ht="12" customHeight="1" x14ac:dyDescent="0.2">
      <c r="A118" s="1013" t="s">
        <v>249</v>
      </c>
      <c r="B118" s="1100" t="s">
        <v>227</v>
      </c>
      <c r="C118" s="815"/>
      <c r="D118" s="1048"/>
      <c r="E118" s="1048"/>
      <c r="F118" s="1048"/>
      <c r="G118" s="1048"/>
      <c r="H118" s="1048"/>
      <c r="I118" s="1048"/>
    </row>
    <row r="119" spans="1:10" ht="12" customHeight="1" x14ac:dyDescent="0.2">
      <c r="A119" s="1013" t="s">
        <v>250</v>
      </c>
      <c r="B119" s="1100" t="s">
        <v>251</v>
      </c>
      <c r="C119" s="815"/>
      <c r="D119" s="1048"/>
      <c r="E119" s="1048"/>
      <c r="F119" s="1048"/>
      <c r="G119" s="1048"/>
      <c r="H119" s="1048"/>
      <c r="I119" s="1048"/>
    </row>
    <row r="120" spans="1:10" ht="12" customHeight="1" x14ac:dyDescent="0.2">
      <c r="A120" s="1013" t="s">
        <v>252</v>
      </c>
      <c r="B120" s="1100" t="s">
        <v>253</v>
      </c>
      <c r="C120" s="815"/>
      <c r="D120" s="1048"/>
      <c r="E120" s="1048"/>
      <c r="F120" s="1048"/>
      <c r="G120" s="1048"/>
      <c r="H120" s="1048"/>
      <c r="I120" s="1048"/>
    </row>
    <row r="121" spans="1:10" s="1061" customFormat="1" ht="12" customHeight="1" x14ac:dyDescent="0.25">
      <c r="A121" s="1013" t="s">
        <v>254</v>
      </c>
      <c r="B121" s="1100" t="s">
        <v>233</v>
      </c>
      <c r="C121" s="815"/>
      <c r="D121" s="1060"/>
      <c r="E121" s="1060"/>
      <c r="F121" s="1060"/>
      <c r="G121" s="1060"/>
      <c r="H121" s="1060"/>
      <c r="I121" s="1060"/>
      <c r="J121" s="1108"/>
    </row>
    <row r="122" spans="1:10" ht="12" customHeight="1" x14ac:dyDescent="0.2">
      <c r="A122" s="1013" t="s">
        <v>255</v>
      </c>
      <c r="B122" s="1100" t="s">
        <v>256</v>
      </c>
      <c r="C122" s="815"/>
      <c r="D122" s="1048"/>
      <c r="E122" s="1048"/>
      <c r="F122" s="1048"/>
      <c r="G122" s="1048"/>
      <c r="H122" s="1048"/>
      <c r="I122" s="1048"/>
    </row>
    <row r="123" spans="1:10" ht="12" customHeight="1" thickBot="1" x14ac:dyDescent="0.25">
      <c r="A123" s="1051" t="s">
        <v>257</v>
      </c>
      <c r="B123" s="1100" t="s">
        <v>258</v>
      </c>
      <c r="C123" s="818"/>
      <c r="D123" s="1048"/>
      <c r="E123" s="1048"/>
      <c r="F123" s="1048"/>
      <c r="G123" s="1048"/>
      <c r="H123" s="1048"/>
      <c r="I123" s="1048"/>
    </row>
    <row r="124" spans="1:10" ht="12" customHeight="1" thickBot="1" x14ac:dyDescent="0.25">
      <c r="A124" s="1011" t="s">
        <v>79</v>
      </c>
      <c r="B124" s="1109" t="s">
        <v>259</v>
      </c>
      <c r="C124" s="817">
        <f>+C125+C126</f>
        <v>0</v>
      </c>
      <c r="D124" s="817">
        <f t="shared" ref="D124:I124" si="12">+D125+D126</f>
        <v>0</v>
      </c>
      <c r="E124" s="817">
        <f t="shared" si="12"/>
        <v>0</v>
      </c>
      <c r="F124" s="817">
        <f t="shared" si="12"/>
        <v>0</v>
      </c>
      <c r="G124" s="817">
        <f t="shared" si="12"/>
        <v>0</v>
      </c>
      <c r="H124" s="817">
        <f t="shared" si="12"/>
        <v>0</v>
      </c>
      <c r="I124" s="817">
        <f t="shared" si="12"/>
        <v>0</v>
      </c>
    </row>
    <row r="125" spans="1:10" ht="12" customHeight="1" x14ac:dyDescent="0.2">
      <c r="A125" s="1013" t="s">
        <v>81</v>
      </c>
      <c r="B125" s="1110" t="s">
        <v>260</v>
      </c>
      <c r="C125" s="819"/>
      <c r="D125" s="1048"/>
      <c r="E125" s="1048"/>
      <c r="F125" s="1048"/>
      <c r="G125" s="1048"/>
      <c r="H125" s="1048"/>
      <c r="I125" s="1048"/>
    </row>
    <row r="126" spans="1:10" ht="12" customHeight="1" thickBot="1" x14ac:dyDescent="0.25">
      <c r="A126" s="1019" t="s">
        <v>83</v>
      </c>
      <c r="B126" s="1105" t="s">
        <v>261</v>
      </c>
      <c r="C126" s="818"/>
      <c r="D126" s="1048"/>
      <c r="E126" s="1048"/>
      <c r="F126" s="1048"/>
      <c r="G126" s="1048"/>
      <c r="H126" s="1048"/>
      <c r="I126" s="1048"/>
    </row>
    <row r="127" spans="1:10" ht="12" customHeight="1" thickBot="1" x14ac:dyDescent="0.25">
      <c r="A127" s="1011" t="s">
        <v>262</v>
      </c>
      <c r="B127" s="1109" t="s">
        <v>263</v>
      </c>
      <c r="C127" s="817">
        <f>+C94+C110+C124</f>
        <v>425004326</v>
      </c>
      <c r="D127" s="817">
        <f t="shared" ref="D127:I127" si="13">+D94+D110+D124</f>
        <v>153297160</v>
      </c>
      <c r="E127" s="817">
        <f t="shared" si="13"/>
        <v>94693292</v>
      </c>
      <c r="F127" s="817">
        <f t="shared" si="13"/>
        <v>13641234</v>
      </c>
      <c r="G127" s="817">
        <f t="shared" si="13"/>
        <v>5000000</v>
      </c>
      <c r="H127" s="817">
        <f t="shared" si="13"/>
        <v>0</v>
      </c>
      <c r="I127" s="817">
        <f t="shared" si="13"/>
        <v>3000000</v>
      </c>
    </row>
    <row r="128" spans="1:10" ht="12" customHeight="1" thickBot="1" x14ac:dyDescent="0.25">
      <c r="A128" s="1011" t="s">
        <v>107</v>
      </c>
      <c r="B128" s="1109" t="s">
        <v>264</v>
      </c>
      <c r="C128" s="817">
        <f>+C129+C130+C131</f>
        <v>0</v>
      </c>
      <c r="D128" s="817">
        <f t="shared" ref="D128:I128" si="14">+D129+D130+D131</f>
        <v>0</v>
      </c>
      <c r="E128" s="817">
        <f t="shared" si="14"/>
        <v>0</v>
      </c>
      <c r="F128" s="817">
        <f t="shared" si="14"/>
        <v>0</v>
      </c>
      <c r="G128" s="817">
        <f t="shared" si="14"/>
        <v>0</v>
      </c>
      <c r="H128" s="817">
        <f t="shared" si="14"/>
        <v>0</v>
      </c>
      <c r="I128" s="817">
        <f t="shared" si="14"/>
        <v>0</v>
      </c>
    </row>
    <row r="129" spans="1:10" ht="12" customHeight="1" x14ac:dyDescent="0.2">
      <c r="A129" s="1013" t="s">
        <v>109</v>
      </c>
      <c r="B129" s="1110" t="s">
        <v>265</v>
      </c>
      <c r="C129" s="815"/>
      <c r="D129" s="1048"/>
      <c r="E129" s="1048"/>
      <c r="F129" s="1048"/>
      <c r="G129" s="1048"/>
      <c r="H129" s="1048"/>
      <c r="I129" s="1048"/>
    </row>
    <row r="130" spans="1:10" ht="12" customHeight="1" x14ac:dyDescent="0.2">
      <c r="A130" s="1013" t="s">
        <v>111</v>
      </c>
      <c r="B130" s="1110" t="s">
        <v>266</v>
      </c>
      <c r="C130" s="815"/>
      <c r="D130" s="1048"/>
      <c r="E130" s="1048"/>
      <c r="F130" s="1048"/>
      <c r="G130" s="1048"/>
      <c r="H130" s="1048"/>
      <c r="I130" s="1048"/>
    </row>
    <row r="131" spans="1:10" ht="12" customHeight="1" thickBot="1" x14ac:dyDescent="0.25">
      <c r="A131" s="1051" t="s">
        <v>113</v>
      </c>
      <c r="B131" s="1098" t="s">
        <v>267</v>
      </c>
      <c r="C131" s="815"/>
      <c r="D131" s="1048"/>
      <c r="E131" s="1048"/>
      <c r="F131" s="1048"/>
      <c r="G131" s="1048"/>
      <c r="H131" s="1048"/>
      <c r="I131" s="1048"/>
    </row>
    <row r="132" spans="1:10" ht="12" customHeight="1" thickBot="1" x14ac:dyDescent="0.25">
      <c r="A132" s="1011" t="s">
        <v>129</v>
      </c>
      <c r="B132" s="1109" t="s">
        <v>268</v>
      </c>
      <c r="C132" s="817">
        <f>+C133+C134+C136+C135</f>
        <v>0</v>
      </c>
      <c r="D132" s="817">
        <f t="shared" ref="D132:I132" si="15">+D133+D134+D136+D135</f>
        <v>0</v>
      </c>
      <c r="E132" s="817">
        <f t="shared" si="15"/>
        <v>0</v>
      </c>
      <c r="F132" s="817">
        <f t="shared" si="15"/>
        <v>0</v>
      </c>
      <c r="G132" s="817">
        <f t="shared" si="15"/>
        <v>0</v>
      </c>
      <c r="H132" s="817">
        <f t="shared" si="15"/>
        <v>0</v>
      </c>
      <c r="I132" s="817">
        <f t="shared" si="15"/>
        <v>0</v>
      </c>
    </row>
    <row r="133" spans="1:10" ht="12" customHeight="1" x14ac:dyDescent="0.2">
      <c r="A133" s="1013" t="s">
        <v>131</v>
      </c>
      <c r="B133" s="1110" t="s">
        <v>269</v>
      </c>
      <c r="C133" s="815"/>
      <c r="D133" s="1048"/>
      <c r="E133" s="1048"/>
      <c r="F133" s="1048"/>
      <c r="G133" s="1048"/>
      <c r="H133" s="1048"/>
      <c r="I133" s="1048"/>
    </row>
    <row r="134" spans="1:10" ht="12" customHeight="1" x14ac:dyDescent="0.2">
      <c r="A134" s="1013" t="s">
        <v>133</v>
      </c>
      <c r="B134" s="1110" t="s">
        <v>270</v>
      </c>
      <c r="C134" s="815"/>
      <c r="D134" s="1048"/>
      <c r="E134" s="1048"/>
      <c r="F134" s="1048"/>
      <c r="G134" s="1048"/>
      <c r="H134" s="1048"/>
      <c r="I134" s="1048"/>
    </row>
    <row r="135" spans="1:10" ht="12" customHeight="1" x14ac:dyDescent="0.2">
      <c r="A135" s="1013" t="s">
        <v>135</v>
      </c>
      <c r="B135" s="1110" t="s">
        <v>271</v>
      </c>
      <c r="C135" s="815"/>
      <c r="D135" s="1048"/>
      <c r="E135" s="1048"/>
      <c r="F135" s="1048"/>
      <c r="G135" s="1048"/>
      <c r="H135" s="1048"/>
      <c r="I135" s="1048"/>
    </row>
    <row r="136" spans="1:10" ht="12" customHeight="1" thickBot="1" x14ac:dyDescent="0.25">
      <c r="A136" s="1051" t="s">
        <v>137</v>
      </c>
      <c r="B136" s="1098" t="s">
        <v>272</v>
      </c>
      <c r="C136" s="815"/>
      <c r="D136" s="1048"/>
      <c r="E136" s="1048"/>
      <c r="F136" s="1048"/>
      <c r="G136" s="1048"/>
      <c r="H136" s="1048"/>
      <c r="I136" s="1048"/>
    </row>
    <row r="137" spans="1:10" ht="12" customHeight="1" thickBot="1" x14ac:dyDescent="0.25">
      <c r="A137" s="1011" t="s">
        <v>273</v>
      </c>
      <c r="B137" s="1109" t="s">
        <v>274</v>
      </c>
      <c r="C137" s="816">
        <f>+C138+C139+C140+C141</f>
        <v>0</v>
      </c>
      <c r="D137" s="816">
        <f t="shared" ref="D137:I137" si="16">+D138+D139+D140+D141</f>
        <v>0</v>
      </c>
      <c r="E137" s="816">
        <f t="shared" si="16"/>
        <v>0</v>
      </c>
      <c r="F137" s="816">
        <f t="shared" si="16"/>
        <v>0</v>
      </c>
      <c r="G137" s="816">
        <f t="shared" si="16"/>
        <v>0</v>
      </c>
      <c r="H137" s="816">
        <f t="shared" si="16"/>
        <v>0</v>
      </c>
      <c r="I137" s="816">
        <f t="shared" si="16"/>
        <v>0</v>
      </c>
    </row>
    <row r="138" spans="1:10" ht="12" customHeight="1" x14ac:dyDescent="0.2">
      <c r="A138" s="1013" t="s">
        <v>143</v>
      </c>
      <c r="B138" s="1110" t="s">
        <v>275</v>
      </c>
      <c r="C138" s="815"/>
      <c r="D138" s="1048"/>
      <c r="E138" s="1048"/>
      <c r="F138" s="1048"/>
      <c r="G138" s="1048"/>
      <c r="H138" s="1048"/>
      <c r="I138" s="1048"/>
    </row>
    <row r="139" spans="1:10" ht="12" customHeight="1" x14ac:dyDescent="0.2">
      <c r="A139" s="1013" t="s">
        <v>145</v>
      </c>
      <c r="B139" s="1110" t="s">
        <v>276</v>
      </c>
      <c r="C139" s="815"/>
      <c r="D139" s="1048"/>
      <c r="E139" s="1048"/>
      <c r="F139" s="1048"/>
      <c r="G139" s="1048"/>
      <c r="H139" s="1048"/>
      <c r="I139" s="1048"/>
    </row>
    <row r="140" spans="1:10" ht="12" customHeight="1" x14ac:dyDescent="0.2">
      <c r="A140" s="1013" t="s">
        <v>147</v>
      </c>
      <c r="B140" s="1110" t="s">
        <v>277</v>
      </c>
      <c r="C140" s="815"/>
      <c r="D140" s="1048"/>
      <c r="E140" s="1048"/>
      <c r="F140" s="1048"/>
      <c r="G140" s="1048"/>
      <c r="H140" s="1048"/>
      <c r="I140" s="1048"/>
    </row>
    <row r="141" spans="1:10" ht="12" customHeight="1" thickBot="1" x14ac:dyDescent="0.25">
      <c r="A141" s="1051" t="s">
        <v>149</v>
      </c>
      <c r="B141" s="1098" t="s">
        <v>278</v>
      </c>
      <c r="C141" s="815"/>
      <c r="D141" s="1048"/>
      <c r="E141" s="1048"/>
      <c r="F141" s="1048"/>
      <c r="G141" s="1048"/>
      <c r="H141" s="1048"/>
      <c r="I141" s="1048"/>
    </row>
    <row r="142" spans="1:10" ht="15" customHeight="1" thickBot="1" x14ac:dyDescent="0.25">
      <c r="A142" s="1011" t="s">
        <v>151</v>
      </c>
      <c r="B142" s="1109" t="s">
        <v>279</v>
      </c>
      <c r="C142" s="1111">
        <f>+C143+C144+C145+C146</f>
        <v>0</v>
      </c>
      <c r="D142" s="1111">
        <f t="shared" ref="D142:I142" si="17">+D143+D144+D145+D146</f>
        <v>0</v>
      </c>
      <c r="E142" s="1111">
        <f t="shared" si="17"/>
        <v>0</v>
      </c>
      <c r="F142" s="1111">
        <f t="shared" si="17"/>
        <v>0</v>
      </c>
      <c r="G142" s="1111">
        <f t="shared" si="17"/>
        <v>0</v>
      </c>
      <c r="H142" s="1111">
        <f t="shared" si="17"/>
        <v>0</v>
      </c>
      <c r="I142" s="1111">
        <f t="shared" si="17"/>
        <v>0</v>
      </c>
    </row>
    <row r="143" spans="1:10" s="407" customFormat="1" ht="12.9" customHeight="1" x14ac:dyDescent="0.2">
      <c r="A143" s="1013" t="s">
        <v>153</v>
      </c>
      <c r="B143" s="1110" t="s">
        <v>280</v>
      </c>
      <c r="C143" s="815"/>
      <c r="D143" s="1018"/>
      <c r="E143" s="1018"/>
      <c r="F143" s="1018"/>
      <c r="G143" s="1018"/>
      <c r="H143" s="1018"/>
      <c r="I143" s="1018"/>
      <c r="J143" s="1075"/>
    </row>
    <row r="144" spans="1:10" ht="12.75" customHeight="1" x14ac:dyDescent="0.2">
      <c r="A144" s="1013" t="s">
        <v>155</v>
      </c>
      <c r="B144" s="1110" t="s">
        <v>281</v>
      </c>
      <c r="C144" s="815"/>
      <c r="D144" s="1048"/>
      <c r="E144" s="1048"/>
      <c r="F144" s="1048"/>
      <c r="G144" s="1048"/>
      <c r="H144" s="1048"/>
      <c r="I144" s="1048"/>
    </row>
    <row r="145" spans="1:9" ht="12.75" customHeight="1" x14ac:dyDescent="0.2">
      <c r="A145" s="1013" t="s">
        <v>157</v>
      </c>
      <c r="B145" s="1110" t="s">
        <v>282</v>
      </c>
      <c r="C145" s="815"/>
      <c r="D145" s="1048"/>
      <c r="E145" s="1048"/>
      <c r="F145" s="1048"/>
      <c r="G145" s="1048"/>
      <c r="H145" s="1048"/>
      <c r="I145" s="1048"/>
    </row>
    <row r="146" spans="1:9" ht="12.75" customHeight="1" thickBot="1" x14ac:dyDescent="0.25">
      <c r="A146" s="1013" t="s">
        <v>159</v>
      </c>
      <c r="B146" s="1110" t="s">
        <v>283</v>
      </c>
      <c r="C146" s="815"/>
      <c r="D146" s="1048"/>
      <c r="E146" s="1048"/>
      <c r="F146" s="1048"/>
      <c r="G146" s="1048"/>
      <c r="H146" s="1048"/>
      <c r="I146" s="1048"/>
    </row>
    <row r="147" spans="1:9" ht="10.8" thickBot="1" x14ac:dyDescent="0.25">
      <c r="A147" s="1011" t="s">
        <v>161</v>
      </c>
      <c r="B147" s="1109" t="s">
        <v>284</v>
      </c>
      <c r="C147" s="1112">
        <f>+C128+C132+C137+C142</f>
        <v>0</v>
      </c>
      <c r="D147" s="1112">
        <f t="shared" ref="D147:I147" si="18">+D128+D132+D137+D142</f>
        <v>0</v>
      </c>
      <c r="E147" s="1112">
        <f t="shared" si="18"/>
        <v>0</v>
      </c>
      <c r="F147" s="1112">
        <f t="shared" si="18"/>
        <v>0</v>
      </c>
      <c r="G147" s="1112">
        <f t="shared" si="18"/>
        <v>0</v>
      </c>
      <c r="H147" s="1112">
        <f t="shared" si="18"/>
        <v>0</v>
      </c>
      <c r="I147" s="1112">
        <f t="shared" si="18"/>
        <v>0</v>
      </c>
    </row>
    <row r="148" spans="1:9" ht="10.8" thickBot="1" x14ac:dyDescent="0.25">
      <c r="A148" s="1113" t="s">
        <v>285</v>
      </c>
      <c r="B148" s="1113" t="s">
        <v>286</v>
      </c>
      <c r="C148" s="1112">
        <f>+C127+C147</f>
        <v>425004326</v>
      </c>
      <c r="D148" s="1112">
        <f t="shared" ref="D148:I148" si="19">+D127+D147</f>
        <v>153297160</v>
      </c>
      <c r="E148" s="1112">
        <f t="shared" si="19"/>
        <v>94693292</v>
      </c>
      <c r="F148" s="1112">
        <f t="shared" si="19"/>
        <v>13641234</v>
      </c>
      <c r="G148" s="1112">
        <f t="shared" si="19"/>
        <v>5000000</v>
      </c>
      <c r="H148" s="1112">
        <f t="shared" si="19"/>
        <v>0</v>
      </c>
      <c r="I148" s="1112">
        <f t="shared" si="19"/>
        <v>3000000</v>
      </c>
    </row>
    <row r="150" spans="1:9" ht="7.5" customHeight="1" x14ac:dyDescent="0.2"/>
    <row r="152" spans="1:9" ht="12.75" customHeight="1" x14ac:dyDescent="0.2"/>
    <row r="153" spans="1:9" ht="12.75" customHeight="1" x14ac:dyDescent="0.2"/>
    <row r="154" spans="1:9" ht="12.75" customHeight="1" x14ac:dyDescent="0.2"/>
    <row r="155" spans="1:9" ht="12.75" customHeight="1" x14ac:dyDescent="0.2"/>
    <row r="156" spans="1:9" ht="12.75" customHeight="1" x14ac:dyDescent="0.2"/>
    <row r="157" spans="1:9" ht="12.75" customHeight="1" x14ac:dyDescent="0.2"/>
    <row r="158" spans="1:9" ht="12.75" customHeight="1" x14ac:dyDescent="0.2"/>
    <row r="159" spans="1:9" ht="12.75" customHeight="1" x14ac:dyDescent="0.2"/>
  </sheetData>
  <mergeCells count="20">
    <mergeCell ref="E91:E92"/>
    <mergeCell ref="A3:C3"/>
    <mergeCell ref="A5:A6"/>
    <mergeCell ref="B5:B6"/>
    <mergeCell ref="C5:C6"/>
    <mergeCell ref="D5:D6"/>
    <mergeCell ref="E5:E6"/>
    <mergeCell ref="A89:C89"/>
    <mergeCell ref="A91:A92"/>
    <mergeCell ref="B91:B92"/>
    <mergeCell ref="C91:C92"/>
    <mergeCell ref="D91:D92"/>
    <mergeCell ref="F91:F92"/>
    <mergeCell ref="G91:G92"/>
    <mergeCell ref="H91:H92"/>
    <mergeCell ref="I91:I92"/>
    <mergeCell ref="F5:F6"/>
    <mergeCell ref="G5:G6"/>
    <mergeCell ref="H5:H6"/>
    <mergeCell ref="I5:I6"/>
  </mergeCells>
  <pageMargins left="0.70866141732283472" right="0.70866141732283472" top="0.74803149606299213" bottom="0.74803149606299213" header="0.31496062992125984" footer="0.31496062992125984"/>
  <pageSetup paperSize="9" scale="50" orientation="portrait" r:id="rId1"/>
  <headerFooter>
    <oddHeader xml:space="preserve">&amp;R&amp;"Times New Roman CE,Dőlt"15_16. melléklet a 2/2020 (II.28.) önkormányzati rendelethez
</oddHeader>
  </headerFooter>
  <rowBreaks count="1" manualBreakCount="1">
    <brk id="87" max="16383" man="1"/>
  </row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L159"/>
  <sheetViews>
    <sheetView view="pageLayout" topLeftCell="A88" zoomScaleNormal="100" workbookViewId="0">
      <selection activeCell="D98" sqref="D98"/>
    </sheetView>
  </sheetViews>
  <sheetFormatPr defaultColWidth="9.33203125" defaultRowHeight="15.6" x14ac:dyDescent="0.3"/>
  <cols>
    <col min="1" max="1" width="9.44140625" style="395" customWidth="1"/>
    <col min="2" max="2" width="60.77734375" style="395" customWidth="1"/>
    <col min="3" max="3" width="15.77734375" style="396" customWidth="1"/>
    <col min="4" max="4" width="12.109375" style="1069" bestFit="1" customWidth="1"/>
    <col min="5" max="5" width="12.44140625" style="1069" customWidth="1"/>
    <col min="6" max="6" width="14.33203125" style="406" customWidth="1"/>
    <col min="7" max="7" width="14.44140625" style="406" customWidth="1"/>
    <col min="8" max="16384" width="9.33203125" style="406"/>
  </cols>
  <sheetData>
    <row r="1" spans="1:12" x14ac:dyDescent="0.3">
      <c r="B1" s="764"/>
    </row>
    <row r="3" spans="1:12" ht="15.9" customHeight="1" x14ac:dyDescent="0.3">
      <c r="A3" s="1637" t="s">
        <v>39</v>
      </c>
      <c r="B3" s="1637"/>
      <c r="C3" s="1637"/>
      <c r="D3" s="1669"/>
      <c r="E3" s="1669"/>
      <c r="F3" s="1669"/>
      <c r="G3" s="1669"/>
    </row>
    <row r="4" spans="1:12" ht="15.9" customHeight="1" thickBot="1" x14ac:dyDescent="0.35">
      <c r="A4" s="42" t="s">
        <v>2125</v>
      </c>
      <c r="B4" s="42"/>
      <c r="G4" s="1114" t="s">
        <v>1689</v>
      </c>
    </row>
    <row r="5" spans="1:12" ht="15.9" customHeight="1" thickBot="1" x14ac:dyDescent="0.35">
      <c r="A5" s="1671" t="s">
        <v>41</v>
      </c>
      <c r="B5" s="1671" t="s">
        <v>42</v>
      </c>
      <c r="C5" s="1671" t="s">
        <v>1949</v>
      </c>
      <c r="D5" s="1675" t="s">
        <v>2013</v>
      </c>
      <c r="E5" s="1675" t="s">
        <v>2014</v>
      </c>
      <c r="F5" s="1675" t="s">
        <v>2015</v>
      </c>
      <c r="G5" s="1675" t="s">
        <v>2011</v>
      </c>
    </row>
    <row r="6" spans="1:12" ht="38.1" customHeight="1" thickBot="1" x14ac:dyDescent="0.35">
      <c r="A6" s="1671"/>
      <c r="B6" s="1671"/>
      <c r="C6" s="1682"/>
      <c r="D6" s="1683"/>
      <c r="E6" s="1683"/>
      <c r="F6" s="1683"/>
      <c r="G6" s="1683"/>
      <c r="H6" s="1115"/>
      <c r="I6" s="1115"/>
      <c r="J6" s="1115"/>
      <c r="K6" s="1115"/>
      <c r="L6" s="1115"/>
    </row>
    <row r="7" spans="1:12" s="1118" customFormat="1" ht="12" customHeight="1" thickBot="1" x14ac:dyDescent="0.25">
      <c r="A7" s="1008" t="s">
        <v>46</v>
      </c>
      <c r="B7" s="1008" t="s">
        <v>47</v>
      </c>
      <c r="C7" s="1008" t="s">
        <v>48</v>
      </c>
      <c r="D7" s="1116" t="s">
        <v>49</v>
      </c>
      <c r="E7" s="1116" t="s">
        <v>50</v>
      </c>
      <c r="F7" s="1116" t="s">
        <v>294</v>
      </c>
      <c r="G7" s="1116" t="s">
        <v>295</v>
      </c>
      <c r="H7" s="1117"/>
      <c r="I7" s="1117"/>
    </row>
    <row r="8" spans="1:12" s="408" customFormat="1" ht="12" customHeight="1" thickBot="1" x14ac:dyDescent="0.3">
      <c r="A8" s="1011" t="s">
        <v>51</v>
      </c>
      <c r="B8" s="1011" t="s">
        <v>52</v>
      </c>
      <c r="C8" s="817">
        <f>SUM(C9:C14)</f>
        <v>0</v>
      </c>
      <c r="D8" s="817">
        <f t="shared" ref="D8:G8" si="0">SUM(D9:D14)</f>
        <v>0</v>
      </c>
      <c r="E8" s="817">
        <f t="shared" si="0"/>
        <v>0</v>
      </c>
      <c r="F8" s="817">
        <f t="shared" si="0"/>
        <v>0</v>
      </c>
      <c r="G8" s="817">
        <f t="shared" si="0"/>
        <v>0</v>
      </c>
      <c r="H8" s="1119"/>
      <c r="I8" s="1119"/>
    </row>
    <row r="9" spans="1:12" s="408" customFormat="1" ht="12" customHeight="1" x14ac:dyDescent="0.25">
      <c r="A9" s="1013" t="s">
        <v>53</v>
      </c>
      <c r="B9" s="1120" t="s">
        <v>54</v>
      </c>
      <c r="C9" s="819"/>
      <c r="D9" s="1045"/>
      <c r="E9" s="1045"/>
      <c r="F9" s="1121"/>
      <c r="G9" s="1121"/>
      <c r="H9" s="1119"/>
      <c r="I9" s="1119"/>
    </row>
    <row r="10" spans="1:12" s="408" customFormat="1" ht="12" customHeight="1" x14ac:dyDescent="0.25">
      <c r="A10" s="1016" t="s">
        <v>55</v>
      </c>
      <c r="B10" s="1122" t="s">
        <v>56</v>
      </c>
      <c r="C10" s="815"/>
      <c r="D10" s="1048"/>
      <c r="E10" s="1048"/>
      <c r="F10" s="1121"/>
      <c r="G10" s="1121"/>
      <c r="H10" s="1119"/>
      <c r="I10" s="1119"/>
    </row>
    <row r="11" spans="1:12" s="408" customFormat="1" ht="12" customHeight="1" x14ac:dyDescent="0.25">
      <c r="A11" s="1016" t="s">
        <v>57</v>
      </c>
      <c r="B11" s="1122" t="s">
        <v>58</v>
      </c>
      <c r="C11" s="815"/>
      <c r="D11" s="1048"/>
      <c r="E11" s="1048"/>
      <c r="F11" s="1121"/>
      <c r="G11" s="1121"/>
      <c r="H11" s="1119"/>
      <c r="I11" s="1119"/>
    </row>
    <row r="12" spans="1:12" s="408" customFormat="1" ht="12" customHeight="1" x14ac:dyDescent="0.25">
      <c r="A12" s="1016" t="s">
        <v>59</v>
      </c>
      <c r="B12" s="1122" t="s">
        <v>60</v>
      </c>
      <c r="C12" s="815"/>
      <c r="D12" s="1048"/>
      <c r="E12" s="1048"/>
      <c r="F12" s="1121"/>
      <c r="G12" s="1121"/>
      <c r="H12" s="1119"/>
      <c r="I12" s="1119"/>
    </row>
    <row r="13" spans="1:12" s="408" customFormat="1" ht="12" customHeight="1" x14ac:dyDescent="0.25">
      <c r="A13" s="1016" t="s">
        <v>61</v>
      </c>
      <c r="B13" s="1122" t="s">
        <v>287</v>
      </c>
      <c r="C13" s="815"/>
      <c r="D13" s="1048"/>
      <c r="E13" s="1048"/>
      <c r="F13" s="1121"/>
      <c r="G13" s="1121"/>
      <c r="H13" s="1119"/>
      <c r="I13" s="1119"/>
    </row>
    <row r="14" spans="1:12" s="408" customFormat="1" ht="12" customHeight="1" thickBot="1" x14ac:dyDescent="0.3">
      <c r="A14" s="1019" t="s">
        <v>63</v>
      </c>
      <c r="B14" s="1123" t="s">
        <v>64</v>
      </c>
      <c r="C14" s="818"/>
      <c r="D14" s="1048"/>
      <c r="E14" s="1048"/>
      <c r="F14" s="1121"/>
      <c r="G14" s="1121"/>
      <c r="H14" s="1119"/>
      <c r="I14" s="1119"/>
    </row>
    <row r="15" spans="1:12" s="408" customFormat="1" ht="12" customHeight="1" thickBot="1" x14ac:dyDescent="0.3">
      <c r="A15" s="1011" t="s">
        <v>65</v>
      </c>
      <c r="B15" s="1124" t="s">
        <v>66</v>
      </c>
      <c r="C15" s="817">
        <f>SUM(C16:C20)</f>
        <v>0</v>
      </c>
      <c r="D15" s="817">
        <f t="shared" ref="D15:G15" si="1">SUM(D16:D20)</f>
        <v>0</v>
      </c>
      <c r="E15" s="817">
        <f t="shared" si="1"/>
        <v>0</v>
      </c>
      <c r="F15" s="817">
        <f t="shared" si="1"/>
        <v>0</v>
      </c>
      <c r="G15" s="817">
        <f t="shared" si="1"/>
        <v>0</v>
      </c>
      <c r="H15" s="1119"/>
      <c r="I15" s="1119"/>
    </row>
    <row r="16" spans="1:12" s="408" customFormat="1" ht="12" customHeight="1" x14ac:dyDescent="0.25">
      <c r="A16" s="1013" t="s">
        <v>67</v>
      </c>
      <c r="B16" s="1120" t="s">
        <v>68</v>
      </c>
      <c r="C16" s="819"/>
      <c r="D16" s="1048"/>
      <c r="E16" s="1048"/>
      <c r="F16" s="1121"/>
      <c r="G16" s="1121"/>
      <c r="H16" s="1119"/>
      <c r="I16" s="1119"/>
    </row>
    <row r="17" spans="1:9" s="408" customFormat="1" ht="12" customHeight="1" x14ac:dyDescent="0.25">
      <c r="A17" s="1016" t="s">
        <v>69</v>
      </c>
      <c r="B17" s="1122" t="s">
        <v>70</v>
      </c>
      <c r="C17" s="815"/>
      <c r="D17" s="1048"/>
      <c r="E17" s="1048"/>
      <c r="F17" s="1121"/>
      <c r="G17" s="1121"/>
      <c r="H17" s="1119"/>
      <c r="I17" s="1119"/>
    </row>
    <row r="18" spans="1:9" s="408" customFormat="1" ht="12" customHeight="1" x14ac:dyDescent="0.25">
      <c r="A18" s="1016" t="s">
        <v>71</v>
      </c>
      <c r="B18" s="1122" t="s">
        <v>72</v>
      </c>
      <c r="C18" s="815"/>
      <c r="D18" s="1048"/>
      <c r="E18" s="1048"/>
      <c r="F18" s="1121"/>
      <c r="G18" s="1121"/>
      <c r="H18" s="1119"/>
      <c r="I18" s="1119"/>
    </row>
    <row r="19" spans="1:9" s="408" customFormat="1" ht="12" customHeight="1" x14ac:dyDescent="0.25">
      <c r="A19" s="1016" t="s">
        <v>73</v>
      </c>
      <c r="B19" s="1122" t="s">
        <v>74</v>
      </c>
      <c r="C19" s="815"/>
      <c r="D19" s="1048"/>
      <c r="E19" s="1048"/>
      <c r="F19" s="1121"/>
      <c r="G19" s="1121"/>
      <c r="H19" s="1119"/>
      <c r="I19" s="1119"/>
    </row>
    <row r="20" spans="1:9" s="408" customFormat="1" ht="12" customHeight="1" x14ac:dyDescent="0.25">
      <c r="A20" s="1016" t="s">
        <v>75</v>
      </c>
      <c r="B20" s="1122" t="s">
        <v>76</v>
      </c>
      <c r="C20" s="815"/>
      <c r="D20" s="1048"/>
      <c r="E20" s="1048"/>
      <c r="F20" s="1121"/>
      <c r="G20" s="1121"/>
      <c r="H20" s="1119"/>
      <c r="I20" s="1119"/>
    </row>
    <row r="21" spans="1:9" s="408" customFormat="1" ht="12" customHeight="1" thickBot="1" x14ac:dyDescent="0.3">
      <c r="A21" s="1019" t="s">
        <v>77</v>
      </c>
      <c r="B21" s="1123" t="s">
        <v>78</v>
      </c>
      <c r="C21" s="818"/>
      <c r="D21" s="1048"/>
      <c r="E21" s="1048"/>
      <c r="F21" s="1121"/>
      <c r="G21" s="1121"/>
      <c r="H21" s="1119"/>
      <c r="I21" s="1119"/>
    </row>
    <row r="22" spans="1:9" s="408" customFormat="1" ht="12" customHeight="1" thickBot="1" x14ac:dyDescent="0.3">
      <c r="A22" s="1011" t="s">
        <v>79</v>
      </c>
      <c r="B22" s="1011" t="s">
        <v>80</v>
      </c>
      <c r="C22" s="817">
        <f>SUM(C23:C27)</f>
        <v>0</v>
      </c>
      <c r="D22" s="817">
        <f t="shared" ref="D22:G22" si="2">SUM(D23:D27)</f>
        <v>0</v>
      </c>
      <c r="E22" s="817">
        <f t="shared" si="2"/>
        <v>0</v>
      </c>
      <c r="F22" s="817">
        <f t="shared" si="2"/>
        <v>0</v>
      </c>
      <c r="G22" s="817">
        <f t="shared" si="2"/>
        <v>0</v>
      </c>
      <c r="H22" s="1119"/>
      <c r="I22" s="1119"/>
    </row>
    <row r="23" spans="1:9" s="408" customFormat="1" ht="12" customHeight="1" x14ac:dyDescent="0.25">
      <c r="A23" s="1013" t="s">
        <v>81</v>
      </c>
      <c r="B23" s="1120" t="s">
        <v>82</v>
      </c>
      <c r="C23" s="819"/>
      <c r="D23" s="1048"/>
      <c r="E23" s="1048"/>
      <c r="F23" s="1121"/>
      <c r="G23" s="1121"/>
      <c r="H23" s="1119"/>
      <c r="I23" s="1119"/>
    </row>
    <row r="24" spans="1:9" s="408" customFormat="1" ht="12" customHeight="1" x14ac:dyDescent="0.25">
      <c r="A24" s="1016" t="s">
        <v>83</v>
      </c>
      <c r="B24" s="1122" t="s">
        <v>84</v>
      </c>
      <c r="C24" s="815"/>
      <c r="D24" s="1048"/>
      <c r="E24" s="1048"/>
      <c r="F24" s="1121"/>
      <c r="G24" s="1121"/>
      <c r="H24" s="1119"/>
      <c r="I24" s="1119"/>
    </row>
    <row r="25" spans="1:9" s="408" customFormat="1" ht="12" customHeight="1" x14ac:dyDescent="0.25">
      <c r="A25" s="1016" t="s">
        <v>85</v>
      </c>
      <c r="B25" s="1122" t="s">
        <v>86</v>
      </c>
      <c r="C25" s="815"/>
      <c r="D25" s="1048"/>
      <c r="E25" s="1048"/>
      <c r="F25" s="1121"/>
      <c r="G25" s="1121"/>
      <c r="H25" s="1119"/>
      <c r="I25" s="1119"/>
    </row>
    <row r="26" spans="1:9" s="408" customFormat="1" ht="12" customHeight="1" x14ac:dyDescent="0.25">
      <c r="A26" s="1016" t="s">
        <v>87</v>
      </c>
      <c r="B26" s="1122" t="s">
        <v>88</v>
      </c>
      <c r="C26" s="815"/>
      <c r="D26" s="1048"/>
      <c r="E26" s="1048"/>
      <c r="F26" s="1121"/>
      <c r="G26" s="1121"/>
      <c r="H26" s="1119"/>
      <c r="I26" s="1119"/>
    </row>
    <row r="27" spans="1:9" s="408" customFormat="1" ht="12" customHeight="1" x14ac:dyDescent="0.25">
      <c r="A27" s="1016" t="s">
        <v>89</v>
      </c>
      <c r="B27" s="1122" t="s">
        <v>90</v>
      </c>
      <c r="C27" s="815"/>
      <c r="D27" s="1048"/>
      <c r="E27" s="1048"/>
      <c r="F27" s="1121"/>
      <c r="G27" s="1121"/>
      <c r="H27" s="1119"/>
      <c r="I27" s="1119"/>
    </row>
    <row r="28" spans="1:9" s="408" customFormat="1" ht="12" customHeight="1" thickBot="1" x14ac:dyDescent="0.3">
      <c r="A28" s="1019" t="s">
        <v>91</v>
      </c>
      <c r="B28" s="1123" t="s">
        <v>92</v>
      </c>
      <c r="C28" s="818"/>
      <c r="D28" s="1048"/>
      <c r="E28" s="1048"/>
      <c r="F28" s="1121"/>
      <c r="G28" s="1121"/>
      <c r="H28" s="1119"/>
      <c r="I28" s="1119"/>
    </row>
    <row r="29" spans="1:9" s="408" customFormat="1" ht="12" customHeight="1" thickBot="1" x14ac:dyDescent="0.3">
      <c r="A29" s="1011" t="s">
        <v>93</v>
      </c>
      <c r="B29" s="1011" t="s">
        <v>94</v>
      </c>
      <c r="C29" s="816">
        <f>+C30+C33+C34+C35</f>
        <v>0</v>
      </c>
      <c r="D29" s="816">
        <f t="shared" ref="D29:G29" si="3">+D30+D33+D34+D35</f>
        <v>0</v>
      </c>
      <c r="E29" s="816">
        <f t="shared" si="3"/>
        <v>0</v>
      </c>
      <c r="F29" s="816">
        <f t="shared" si="3"/>
        <v>0</v>
      </c>
      <c r="G29" s="816">
        <f t="shared" si="3"/>
        <v>0</v>
      </c>
      <c r="H29" s="1119"/>
      <c r="I29" s="1119"/>
    </row>
    <row r="30" spans="1:9" s="408" customFormat="1" ht="12" customHeight="1" x14ac:dyDescent="0.25">
      <c r="A30" s="1013" t="s">
        <v>95</v>
      </c>
      <c r="B30" s="1120" t="s">
        <v>96</v>
      </c>
      <c r="C30" s="823">
        <f>+C31+C32</f>
        <v>0</v>
      </c>
      <c r="D30" s="1048"/>
      <c r="E30" s="1048"/>
      <c r="F30" s="1121"/>
      <c r="G30" s="1121"/>
      <c r="H30" s="1119"/>
      <c r="I30" s="1119"/>
    </row>
    <row r="31" spans="1:9" s="408" customFormat="1" ht="12" customHeight="1" x14ac:dyDescent="0.25">
      <c r="A31" s="1016" t="s">
        <v>97</v>
      </c>
      <c r="B31" s="1122" t="s">
        <v>98</v>
      </c>
      <c r="C31" s="815"/>
      <c r="D31" s="1048"/>
      <c r="E31" s="1048"/>
      <c r="F31" s="1121"/>
      <c r="G31" s="1121"/>
      <c r="H31" s="1119"/>
      <c r="I31" s="1119"/>
    </row>
    <row r="32" spans="1:9" s="408" customFormat="1" ht="12" customHeight="1" x14ac:dyDescent="0.25">
      <c r="A32" s="1016" t="s">
        <v>99</v>
      </c>
      <c r="B32" s="1122" t="s">
        <v>100</v>
      </c>
      <c r="C32" s="815"/>
      <c r="D32" s="1048"/>
      <c r="E32" s="1048"/>
      <c r="F32" s="1121"/>
      <c r="G32" s="1121"/>
      <c r="H32" s="1119"/>
      <c r="I32" s="1119"/>
    </row>
    <row r="33" spans="1:9" s="408" customFormat="1" ht="12" customHeight="1" x14ac:dyDescent="0.25">
      <c r="A33" s="1016" t="s">
        <v>101</v>
      </c>
      <c r="B33" s="1122" t="s">
        <v>102</v>
      </c>
      <c r="C33" s="815"/>
      <c r="D33" s="1048"/>
      <c r="E33" s="1048"/>
      <c r="F33" s="1121"/>
      <c r="G33" s="1121"/>
      <c r="H33" s="1119"/>
      <c r="I33" s="1119"/>
    </row>
    <row r="34" spans="1:9" s="408" customFormat="1" ht="12" customHeight="1" x14ac:dyDescent="0.25">
      <c r="A34" s="1016" t="s">
        <v>103</v>
      </c>
      <c r="B34" s="1122" t="s">
        <v>104</v>
      </c>
      <c r="C34" s="815"/>
      <c r="D34" s="1048"/>
      <c r="E34" s="1048"/>
      <c r="F34" s="1121"/>
      <c r="G34" s="1121"/>
      <c r="H34" s="1119"/>
      <c r="I34" s="1119"/>
    </row>
    <row r="35" spans="1:9" s="408" customFormat="1" ht="12" customHeight="1" thickBot="1" x14ac:dyDescent="0.3">
      <c r="A35" s="1019" t="s">
        <v>105</v>
      </c>
      <c r="B35" s="1123" t="s">
        <v>106</v>
      </c>
      <c r="C35" s="818"/>
      <c r="D35" s="1048"/>
      <c r="E35" s="1048"/>
      <c r="F35" s="1121"/>
      <c r="G35" s="1121"/>
      <c r="H35" s="1119"/>
      <c r="I35" s="1119"/>
    </row>
    <row r="36" spans="1:9" s="408" customFormat="1" ht="12" customHeight="1" thickBot="1" x14ac:dyDescent="0.3">
      <c r="A36" s="1011" t="s">
        <v>107</v>
      </c>
      <c r="B36" s="1011" t="s">
        <v>108</v>
      </c>
      <c r="C36" s="817">
        <f>SUM(C37:C46)</f>
        <v>14592300</v>
      </c>
      <c r="D36" s="817">
        <f t="shared" ref="D36:G36" si="4">SUM(D37:D46)</f>
        <v>10033000</v>
      </c>
      <c r="E36" s="817">
        <f t="shared" si="4"/>
        <v>4064000</v>
      </c>
      <c r="F36" s="817">
        <f t="shared" si="4"/>
        <v>495300</v>
      </c>
      <c r="G36" s="817">
        <f t="shared" si="4"/>
        <v>0</v>
      </c>
      <c r="H36" s="1119"/>
      <c r="I36" s="1119"/>
    </row>
    <row r="37" spans="1:9" s="408" customFormat="1" ht="12" customHeight="1" x14ac:dyDescent="0.25">
      <c r="A37" s="1013" t="s">
        <v>109</v>
      </c>
      <c r="B37" s="1120" t="s">
        <v>110</v>
      </c>
      <c r="C37" s="819">
        <f>SUM(D37:G37)</f>
        <v>0</v>
      </c>
      <c r="D37" s="1048"/>
      <c r="E37" s="1048"/>
      <c r="F37" s="1121"/>
      <c r="G37" s="1121"/>
      <c r="H37" s="1119"/>
      <c r="I37" s="1119"/>
    </row>
    <row r="38" spans="1:9" s="408" customFormat="1" ht="12" customHeight="1" x14ac:dyDescent="0.25">
      <c r="A38" s="1016" t="s">
        <v>111</v>
      </c>
      <c r="B38" s="1122" t="s">
        <v>112</v>
      </c>
      <c r="C38" s="815">
        <f>SUM(D38:G38)</f>
        <v>2290000</v>
      </c>
      <c r="D38" s="1048">
        <v>1900000</v>
      </c>
      <c r="E38" s="1048"/>
      <c r="F38" s="1018">
        <v>390000</v>
      </c>
      <c r="G38" s="1121"/>
      <c r="H38" s="1119"/>
      <c r="I38" s="1119"/>
    </row>
    <row r="39" spans="1:9" s="408" customFormat="1" ht="12" customHeight="1" x14ac:dyDescent="0.25">
      <c r="A39" s="1016" t="s">
        <v>113</v>
      </c>
      <c r="B39" s="1122" t="s">
        <v>114</v>
      </c>
      <c r="C39" s="815">
        <f t="shared" ref="C39:C46" si="5">SUM(D39:G39)</f>
        <v>0</v>
      </c>
      <c r="D39" s="1048"/>
      <c r="E39" s="1048"/>
      <c r="F39" s="1018"/>
      <c r="G39" s="1121"/>
      <c r="H39" s="1119"/>
      <c r="I39" s="1119"/>
    </row>
    <row r="40" spans="1:9" s="408" customFormat="1" ht="12" customHeight="1" x14ac:dyDescent="0.25">
      <c r="A40" s="1016" t="s">
        <v>115</v>
      </c>
      <c r="B40" s="1122" t="s">
        <v>116</v>
      </c>
      <c r="C40" s="815">
        <f t="shared" si="5"/>
        <v>0</v>
      </c>
      <c r="D40" s="1048"/>
      <c r="E40" s="1048"/>
      <c r="F40" s="1018"/>
      <c r="G40" s="1121"/>
      <c r="H40" s="1119"/>
      <c r="I40" s="1119"/>
    </row>
    <row r="41" spans="1:9" s="408" customFormat="1" ht="12" customHeight="1" x14ac:dyDescent="0.25">
      <c r="A41" s="1016" t="s">
        <v>117</v>
      </c>
      <c r="B41" s="1122" t="s">
        <v>118</v>
      </c>
      <c r="C41" s="815">
        <f t="shared" si="5"/>
        <v>9200000</v>
      </c>
      <c r="D41" s="1048">
        <v>6000000</v>
      </c>
      <c r="E41" s="1048">
        <v>3200000</v>
      </c>
      <c r="F41" s="1018"/>
      <c r="G41" s="1121"/>
      <c r="H41" s="1119"/>
      <c r="I41" s="1119"/>
    </row>
    <row r="42" spans="1:9" s="408" customFormat="1" ht="12" customHeight="1" x14ac:dyDescent="0.25">
      <c r="A42" s="1016" t="s">
        <v>119</v>
      </c>
      <c r="B42" s="1122" t="s">
        <v>120</v>
      </c>
      <c r="C42" s="815">
        <f t="shared" si="5"/>
        <v>3102300</v>
      </c>
      <c r="D42" s="1048">
        <f>1620000+513000</f>
        <v>2133000</v>
      </c>
      <c r="E42" s="1048">
        <v>864000</v>
      </c>
      <c r="F42" s="1018">
        <v>105300</v>
      </c>
      <c r="G42" s="1121"/>
      <c r="H42" s="1119"/>
      <c r="I42" s="1119"/>
    </row>
    <row r="43" spans="1:9" s="408" customFormat="1" ht="12" customHeight="1" x14ac:dyDescent="0.25">
      <c r="A43" s="1016" t="s">
        <v>121</v>
      </c>
      <c r="B43" s="1122" t="s">
        <v>122</v>
      </c>
      <c r="C43" s="815">
        <f t="shared" si="5"/>
        <v>0</v>
      </c>
      <c r="D43" s="1048"/>
      <c r="E43" s="1048"/>
      <c r="F43" s="1121"/>
      <c r="G43" s="1121"/>
      <c r="H43" s="1119"/>
      <c r="I43" s="1119"/>
    </row>
    <row r="44" spans="1:9" s="408" customFormat="1" ht="12" customHeight="1" x14ac:dyDescent="0.25">
      <c r="A44" s="1016" t="s">
        <v>123</v>
      </c>
      <c r="B44" s="1122" t="s">
        <v>124</v>
      </c>
      <c r="C44" s="815">
        <f t="shared" si="5"/>
        <v>0</v>
      </c>
      <c r="D44" s="1048"/>
      <c r="E44" s="1048"/>
      <c r="F44" s="1121"/>
      <c r="G44" s="1121"/>
      <c r="H44" s="1119"/>
      <c r="I44" s="1119"/>
    </row>
    <row r="45" spans="1:9" s="408" customFormat="1" ht="12" customHeight="1" x14ac:dyDescent="0.25">
      <c r="A45" s="1016" t="s">
        <v>125</v>
      </c>
      <c r="B45" s="1122" t="s">
        <v>126</v>
      </c>
      <c r="C45" s="815">
        <f t="shared" si="5"/>
        <v>0</v>
      </c>
      <c r="D45" s="1048"/>
      <c r="E45" s="1048"/>
      <c r="F45" s="1121"/>
      <c r="G45" s="1121"/>
      <c r="H45" s="1119"/>
      <c r="I45" s="1119"/>
    </row>
    <row r="46" spans="1:9" s="408" customFormat="1" ht="12" customHeight="1" thickBot="1" x14ac:dyDescent="0.3">
      <c r="A46" s="1019" t="s">
        <v>127</v>
      </c>
      <c r="B46" s="1123" t="s">
        <v>128</v>
      </c>
      <c r="C46" s="815">
        <f t="shared" si="5"/>
        <v>0</v>
      </c>
      <c r="D46" s="1048"/>
      <c r="E46" s="1048"/>
      <c r="F46" s="1121"/>
      <c r="G46" s="1121"/>
      <c r="H46" s="1119"/>
      <c r="I46" s="1119"/>
    </row>
    <row r="47" spans="1:9" s="408" customFormat="1" ht="12" customHeight="1" thickBot="1" x14ac:dyDescent="0.3">
      <c r="A47" s="1011" t="s">
        <v>129</v>
      </c>
      <c r="B47" s="1011" t="s">
        <v>130</v>
      </c>
      <c r="C47" s="817">
        <f>SUM(C48:C52)</f>
        <v>0</v>
      </c>
      <c r="D47" s="817">
        <f t="shared" ref="D47:G47" si="6">SUM(D48:D52)</f>
        <v>0</v>
      </c>
      <c r="E47" s="817">
        <f t="shared" si="6"/>
        <v>0</v>
      </c>
      <c r="F47" s="817">
        <f t="shared" si="6"/>
        <v>0</v>
      </c>
      <c r="G47" s="817">
        <f t="shared" si="6"/>
        <v>0</v>
      </c>
      <c r="H47" s="1119"/>
      <c r="I47" s="1119"/>
    </row>
    <row r="48" spans="1:9" s="408" customFormat="1" ht="12" customHeight="1" x14ac:dyDescent="0.25">
      <c r="A48" s="1013" t="s">
        <v>131</v>
      </c>
      <c r="B48" s="1120" t="s">
        <v>132</v>
      </c>
      <c r="C48" s="1080"/>
      <c r="D48" s="1048"/>
      <c r="E48" s="1048"/>
      <c r="F48" s="1121"/>
      <c r="G48" s="1121"/>
      <c r="H48" s="1119"/>
      <c r="I48" s="1119"/>
    </row>
    <row r="49" spans="1:9" s="408" customFormat="1" ht="12" customHeight="1" x14ac:dyDescent="0.25">
      <c r="A49" s="1016" t="s">
        <v>133</v>
      </c>
      <c r="B49" s="1122" t="s">
        <v>134</v>
      </c>
      <c r="C49" s="822"/>
      <c r="D49" s="1048"/>
      <c r="E49" s="1048"/>
      <c r="F49" s="1121"/>
      <c r="G49" s="1121"/>
      <c r="H49" s="1119"/>
      <c r="I49" s="1119"/>
    </row>
    <row r="50" spans="1:9" s="408" customFormat="1" ht="12" customHeight="1" x14ac:dyDescent="0.25">
      <c r="A50" s="1016" t="s">
        <v>135</v>
      </c>
      <c r="B50" s="1122" t="s">
        <v>136</v>
      </c>
      <c r="C50" s="822"/>
      <c r="D50" s="1048"/>
      <c r="E50" s="1048"/>
      <c r="F50" s="1121"/>
      <c r="G50" s="1121"/>
      <c r="H50" s="1119"/>
      <c r="I50" s="1119"/>
    </row>
    <row r="51" spans="1:9" s="408" customFormat="1" ht="12" customHeight="1" x14ac:dyDescent="0.25">
      <c r="A51" s="1016" t="s">
        <v>137</v>
      </c>
      <c r="B51" s="1122" t="s">
        <v>138</v>
      </c>
      <c r="C51" s="822"/>
      <c r="D51" s="1048"/>
      <c r="E51" s="1048"/>
      <c r="F51" s="1121"/>
      <c r="G51" s="1121"/>
      <c r="H51" s="1119"/>
      <c r="I51" s="1119"/>
    </row>
    <row r="52" spans="1:9" s="408" customFormat="1" ht="12" customHeight="1" thickBot="1" x14ac:dyDescent="0.3">
      <c r="A52" s="1019" t="s">
        <v>139</v>
      </c>
      <c r="B52" s="1123" t="s">
        <v>140</v>
      </c>
      <c r="C52" s="1081"/>
      <c r="D52" s="1048"/>
      <c r="E52" s="1048"/>
      <c r="F52" s="1121"/>
      <c r="G52" s="1121"/>
      <c r="H52" s="1119"/>
      <c r="I52" s="1119"/>
    </row>
    <row r="53" spans="1:9" s="408" customFormat="1" ht="17.25" customHeight="1" thickBot="1" x14ac:dyDescent="0.3">
      <c r="A53" s="1011" t="s">
        <v>141</v>
      </c>
      <c r="B53" s="1011" t="s">
        <v>142</v>
      </c>
      <c r="C53" s="817">
        <f>SUM(C54:C56)</f>
        <v>0</v>
      </c>
      <c r="D53" s="817">
        <f t="shared" ref="D53:G53" si="7">SUM(D54:D56)</f>
        <v>0</v>
      </c>
      <c r="E53" s="817">
        <f t="shared" si="7"/>
        <v>0</v>
      </c>
      <c r="F53" s="817">
        <f t="shared" si="7"/>
        <v>0</v>
      </c>
      <c r="G53" s="817">
        <f t="shared" si="7"/>
        <v>0</v>
      </c>
      <c r="H53" s="1119"/>
      <c r="I53" s="1119"/>
    </row>
    <row r="54" spans="1:9" s="408" customFormat="1" ht="12" customHeight="1" x14ac:dyDescent="0.25">
      <c r="A54" s="1013" t="s">
        <v>143</v>
      </c>
      <c r="B54" s="1120" t="s">
        <v>144</v>
      </c>
      <c r="C54" s="819"/>
      <c r="D54" s="1048"/>
      <c r="E54" s="1048"/>
      <c r="F54" s="1121"/>
      <c r="G54" s="1121"/>
      <c r="H54" s="1119"/>
      <c r="I54" s="1119"/>
    </row>
    <row r="55" spans="1:9" s="408" customFormat="1" ht="12" customHeight="1" x14ac:dyDescent="0.25">
      <c r="A55" s="1016" t="s">
        <v>145</v>
      </c>
      <c r="B55" s="1122" t="s">
        <v>146</v>
      </c>
      <c r="C55" s="815"/>
      <c r="D55" s="1048"/>
      <c r="E55" s="1048"/>
      <c r="F55" s="1121"/>
      <c r="G55" s="1121"/>
      <c r="H55" s="1119"/>
      <c r="I55" s="1119"/>
    </row>
    <row r="56" spans="1:9" s="408" customFormat="1" ht="12" customHeight="1" x14ac:dyDescent="0.25">
      <c r="A56" s="1016" t="s">
        <v>147</v>
      </c>
      <c r="B56" s="1122" t="s">
        <v>148</v>
      </c>
      <c r="C56" s="815"/>
      <c r="D56" s="1048"/>
      <c r="E56" s="1048"/>
      <c r="F56" s="1121"/>
      <c r="G56" s="1121"/>
      <c r="H56" s="1119"/>
      <c r="I56" s="1119"/>
    </row>
    <row r="57" spans="1:9" s="408" customFormat="1" ht="12" customHeight="1" thickBot="1" x14ac:dyDescent="0.3">
      <c r="A57" s="1019" t="s">
        <v>149</v>
      </c>
      <c r="B57" s="1123" t="s">
        <v>150</v>
      </c>
      <c r="C57" s="818"/>
      <c r="D57" s="1048"/>
      <c r="E57" s="1048"/>
      <c r="F57" s="1121"/>
      <c r="G57" s="1121"/>
      <c r="H57" s="1119"/>
      <c r="I57" s="1119"/>
    </row>
    <row r="58" spans="1:9" s="408" customFormat="1" ht="12" customHeight="1" thickBot="1" x14ac:dyDescent="0.3">
      <c r="A58" s="1011" t="s">
        <v>151</v>
      </c>
      <c r="B58" s="1124" t="s">
        <v>152</v>
      </c>
      <c r="C58" s="817">
        <f>SUM(C59:C61)</f>
        <v>0</v>
      </c>
      <c r="D58" s="817">
        <f t="shared" ref="D58:G58" si="8">SUM(D59:D61)</f>
        <v>0</v>
      </c>
      <c r="E58" s="817">
        <f t="shared" si="8"/>
        <v>0</v>
      </c>
      <c r="F58" s="817">
        <f t="shared" si="8"/>
        <v>0</v>
      </c>
      <c r="G58" s="817">
        <f t="shared" si="8"/>
        <v>0</v>
      </c>
      <c r="H58" s="1119"/>
      <c r="I58" s="1119"/>
    </row>
    <row r="59" spans="1:9" s="408" customFormat="1" ht="12" customHeight="1" x14ac:dyDescent="0.25">
      <c r="A59" s="1013" t="s">
        <v>153</v>
      </c>
      <c r="B59" s="1120" t="s">
        <v>154</v>
      </c>
      <c r="C59" s="822"/>
      <c r="D59" s="1048"/>
      <c r="E59" s="1048"/>
      <c r="F59" s="1121"/>
      <c r="G59" s="1121"/>
      <c r="H59" s="1119"/>
      <c r="I59" s="1119"/>
    </row>
    <row r="60" spans="1:9" s="408" customFormat="1" ht="12" customHeight="1" x14ac:dyDescent="0.25">
      <c r="A60" s="1016" t="s">
        <v>155</v>
      </c>
      <c r="B60" s="1122" t="s">
        <v>156</v>
      </c>
      <c r="C60" s="822"/>
      <c r="D60" s="1048"/>
      <c r="E60" s="1048"/>
      <c r="F60" s="1121"/>
      <c r="G60" s="1121"/>
      <c r="H60" s="1119"/>
      <c r="I60" s="1119"/>
    </row>
    <row r="61" spans="1:9" s="408" customFormat="1" ht="12" customHeight="1" x14ac:dyDescent="0.25">
      <c r="A61" s="1016" t="s">
        <v>157</v>
      </c>
      <c r="B61" s="1122" t="s">
        <v>158</v>
      </c>
      <c r="C61" s="822"/>
      <c r="D61" s="1048"/>
      <c r="E61" s="1048"/>
      <c r="F61" s="1121"/>
      <c r="G61" s="1121"/>
      <c r="H61" s="1119"/>
      <c r="I61" s="1119"/>
    </row>
    <row r="62" spans="1:9" s="408" customFormat="1" ht="12" customHeight="1" thickBot="1" x14ac:dyDescent="0.3">
      <c r="A62" s="1019" t="s">
        <v>159</v>
      </c>
      <c r="B62" s="1123" t="s">
        <v>160</v>
      </c>
      <c r="C62" s="822"/>
      <c r="D62" s="1048"/>
      <c r="E62" s="1048"/>
      <c r="F62" s="1121"/>
      <c r="G62" s="1121"/>
      <c r="H62" s="1119"/>
      <c r="I62" s="1119"/>
    </row>
    <row r="63" spans="1:9" s="408" customFormat="1" ht="12" customHeight="1" thickBot="1" x14ac:dyDescent="0.3">
      <c r="A63" s="1011" t="s">
        <v>161</v>
      </c>
      <c r="B63" s="1011" t="s">
        <v>162</v>
      </c>
      <c r="C63" s="816">
        <f>+C8+C15+C22+C29+C36+C47+C53+C58</f>
        <v>14592300</v>
      </c>
      <c r="D63" s="816">
        <f t="shared" ref="D63:G63" si="9">+D8+D15+D22+D29+D36+D47+D53+D58</f>
        <v>10033000</v>
      </c>
      <c r="E63" s="816">
        <f t="shared" si="9"/>
        <v>4064000</v>
      </c>
      <c r="F63" s="816">
        <f t="shared" si="9"/>
        <v>495300</v>
      </c>
      <c r="G63" s="816">
        <f t="shared" si="9"/>
        <v>0</v>
      </c>
      <c r="H63" s="1119"/>
      <c r="I63" s="1119"/>
    </row>
    <row r="64" spans="1:9" s="408" customFormat="1" ht="12" customHeight="1" thickBot="1" x14ac:dyDescent="0.3">
      <c r="A64" s="1125" t="s">
        <v>163</v>
      </c>
      <c r="B64" s="1124" t="s">
        <v>164</v>
      </c>
      <c r="C64" s="817">
        <f>+C65+C66+C67</f>
        <v>0</v>
      </c>
      <c r="D64" s="817">
        <f t="shared" ref="D64:G64" si="10">+D65+D66+D67</f>
        <v>0</v>
      </c>
      <c r="E64" s="817">
        <f t="shared" si="10"/>
        <v>0</v>
      </c>
      <c r="F64" s="817">
        <f t="shared" si="10"/>
        <v>0</v>
      </c>
      <c r="G64" s="817">
        <f t="shared" si="10"/>
        <v>0</v>
      </c>
      <c r="H64" s="1119"/>
      <c r="I64" s="1119"/>
    </row>
    <row r="65" spans="1:9" s="408" customFormat="1" ht="12" customHeight="1" x14ac:dyDescent="0.25">
      <c r="A65" s="1013" t="s">
        <v>165</v>
      </c>
      <c r="B65" s="1120" t="s">
        <v>166</v>
      </c>
      <c r="C65" s="822"/>
      <c r="D65" s="1048"/>
      <c r="E65" s="1048"/>
      <c r="F65" s="1121"/>
      <c r="G65" s="1121"/>
      <c r="H65" s="1119"/>
      <c r="I65" s="1119"/>
    </row>
    <row r="66" spans="1:9" s="408" customFormat="1" ht="12" customHeight="1" x14ac:dyDescent="0.25">
      <c r="A66" s="1016" t="s">
        <v>167</v>
      </c>
      <c r="B66" s="1122" t="s">
        <v>168</v>
      </c>
      <c r="C66" s="822"/>
      <c r="D66" s="1048"/>
      <c r="E66" s="1048"/>
      <c r="F66" s="1121"/>
      <c r="G66" s="1121"/>
      <c r="H66" s="1119"/>
      <c r="I66" s="1119"/>
    </row>
    <row r="67" spans="1:9" s="408" customFormat="1" ht="12" customHeight="1" thickBot="1" x14ac:dyDescent="0.3">
      <c r="A67" s="1019" t="s">
        <v>169</v>
      </c>
      <c r="B67" s="1126" t="s">
        <v>170</v>
      </c>
      <c r="C67" s="822"/>
      <c r="D67" s="1048"/>
      <c r="E67" s="1048"/>
      <c r="F67" s="1121"/>
      <c r="G67" s="1121"/>
      <c r="H67" s="1119"/>
      <c r="I67" s="1119"/>
    </row>
    <row r="68" spans="1:9" s="408" customFormat="1" ht="12" customHeight="1" thickBot="1" x14ac:dyDescent="0.3">
      <c r="A68" s="1125" t="s">
        <v>171</v>
      </c>
      <c r="B68" s="1124" t="s">
        <v>172</v>
      </c>
      <c r="C68" s="817">
        <f>+C69+C70+C71+C72</f>
        <v>0</v>
      </c>
      <c r="D68" s="817">
        <f t="shared" ref="D68:G68" si="11">+D69+D70+D71+D72</f>
        <v>0</v>
      </c>
      <c r="E68" s="817">
        <f t="shared" si="11"/>
        <v>0</v>
      </c>
      <c r="F68" s="817">
        <f t="shared" si="11"/>
        <v>0</v>
      </c>
      <c r="G68" s="817">
        <f t="shared" si="11"/>
        <v>0</v>
      </c>
      <c r="H68" s="1119"/>
      <c r="I68" s="1119"/>
    </row>
    <row r="69" spans="1:9" s="408" customFormat="1" ht="13.5" customHeight="1" x14ac:dyDescent="0.25">
      <c r="A69" s="1013" t="s">
        <v>173</v>
      </c>
      <c r="B69" s="1120" t="s">
        <v>174</v>
      </c>
      <c r="C69" s="822"/>
      <c r="D69" s="1048"/>
      <c r="E69" s="1048"/>
      <c r="F69" s="1121"/>
      <c r="G69" s="1121"/>
      <c r="H69" s="1119"/>
      <c r="I69" s="1119"/>
    </row>
    <row r="70" spans="1:9" s="408" customFormat="1" ht="12" customHeight="1" x14ac:dyDescent="0.25">
      <c r="A70" s="1016" t="s">
        <v>175</v>
      </c>
      <c r="B70" s="1122" t="s">
        <v>176</v>
      </c>
      <c r="C70" s="822"/>
      <c r="D70" s="1048"/>
      <c r="E70" s="1048"/>
      <c r="F70" s="1121"/>
      <c r="G70" s="1121"/>
      <c r="H70" s="1119"/>
      <c r="I70" s="1119"/>
    </row>
    <row r="71" spans="1:9" s="408" customFormat="1" ht="12" customHeight="1" x14ac:dyDescent="0.25">
      <c r="A71" s="1016" t="s">
        <v>177</v>
      </c>
      <c r="B71" s="1122" t="s">
        <v>178</v>
      </c>
      <c r="C71" s="822"/>
      <c r="D71" s="1048"/>
      <c r="E71" s="1048"/>
      <c r="F71" s="1121"/>
      <c r="G71" s="1121"/>
      <c r="H71" s="1119"/>
      <c r="I71" s="1119"/>
    </row>
    <row r="72" spans="1:9" s="408" customFormat="1" ht="12" customHeight="1" thickBot="1" x14ac:dyDescent="0.3">
      <c r="A72" s="1019" t="s">
        <v>179</v>
      </c>
      <c r="B72" s="1123" t="s">
        <v>180</v>
      </c>
      <c r="C72" s="822"/>
      <c r="D72" s="1048"/>
      <c r="E72" s="1048"/>
      <c r="F72" s="1121"/>
      <c r="G72" s="1121"/>
      <c r="H72" s="1119"/>
      <c r="I72" s="1119"/>
    </row>
    <row r="73" spans="1:9" s="408" customFormat="1" ht="12" customHeight="1" thickBot="1" x14ac:dyDescent="0.3">
      <c r="A73" s="1125" t="s">
        <v>181</v>
      </c>
      <c r="B73" s="1124" t="s">
        <v>182</v>
      </c>
      <c r="C73" s="817">
        <f>+C74+C75</f>
        <v>188306</v>
      </c>
      <c r="D73" s="817">
        <f t="shared" ref="D73:G73" si="12">+D74+D75</f>
        <v>0</v>
      </c>
      <c r="E73" s="817">
        <f t="shared" si="12"/>
        <v>0</v>
      </c>
      <c r="F73" s="817">
        <f t="shared" si="12"/>
        <v>0</v>
      </c>
      <c r="G73" s="817">
        <f t="shared" si="12"/>
        <v>188306</v>
      </c>
      <c r="H73" s="1119"/>
      <c r="I73" s="1119"/>
    </row>
    <row r="74" spans="1:9" s="408" customFormat="1" ht="12" customHeight="1" x14ac:dyDescent="0.25">
      <c r="A74" s="1013" t="s">
        <v>183</v>
      </c>
      <c r="B74" s="1120" t="s">
        <v>184</v>
      </c>
      <c r="C74" s="822">
        <f>SUM(D74:G74)</f>
        <v>188306</v>
      </c>
      <c r="D74" s="1048"/>
      <c r="E74" s="1048"/>
      <c r="F74" s="1121"/>
      <c r="G74" s="1121">
        <v>188306</v>
      </c>
      <c r="H74" s="1119"/>
      <c r="I74" s="1119"/>
    </row>
    <row r="75" spans="1:9" s="408" customFormat="1" ht="12" customHeight="1" thickBot="1" x14ac:dyDescent="0.3">
      <c r="A75" s="1019" t="s">
        <v>185</v>
      </c>
      <c r="B75" s="1123" t="s">
        <v>186</v>
      </c>
      <c r="C75" s="822"/>
      <c r="D75" s="1048"/>
      <c r="E75" s="1048"/>
      <c r="F75" s="1121"/>
      <c r="G75" s="1121"/>
      <c r="H75" s="1119"/>
      <c r="I75" s="1119"/>
    </row>
    <row r="76" spans="1:9" s="408" customFormat="1" ht="12" customHeight="1" thickBot="1" x14ac:dyDescent="0.3">
      <c r="A76" s="1125" t="s">
        <v>187</v>
      </c>
      <c r="B76" s="1124" t="s">
        <v>188</v>
      </c>
      <c r="C76" s="817">
        <f>+C77+C78+C79</f>
        <v>81505728</v>
      </c>
      <c r="D76" s="817">
        <f t="shared" ref="D76:G76" si="13">+D77+D78+D79</f>
        <v>0</v>
      </c>
      <c r="E76" s="817">
        <f t="shared" si="13"/>
        <v>0</v>
      </c>
      <c r="F76" s="817">
        <f t="shared" si="13"/>
        <v>0</v>
      </c>
      <c r="G76" s="817">
        <f t="shared" si="13"/>
        <v>81505728</v>
      </c>
      <c r="H76" s="1119"/>
      <c r="I76" s="1119"/>
    </row>
    <row r="77" spans="1:9" s="408" customFormat="1" ht="12" customHeight="1" x14ac:dyDescent="0.25">
      <c r="A77" s="1013" t="s">
        <v>189</v>
      </c>
      <c r="B77" s="1120" t="s">
        <v>190</v>
      </c>
      <c r="C77" s="822"/>
      <c r="D77" s="1048"/>
      <c r="E77" s="1048"/>
      <c r="F77" s="1121"/>
      <c r="G77" s="1121"/>
      <c r="H77" s="1119"/>
      <c r="I77" s="1119"/>
    </row>
    <row r="78" spans="1:9" s="408" customFormat="1" ht="12" customHeight="1" x14ac:dyDescent="0.25">
      <c r="A78" s="1016" t="s">
        <v>191</v>
      </c>
      <c r="B78" s="1122" t="s">
        <v>192</v>
      </c>
      <c r="C78" s="822"/>
      <c r="D78" s="1048"/>
      <c r="E78" s="1048"/>
      <c r="F78" s="1121"/>
      <c r="G78" s="1121"/>
      <c r="H78" s="1119"/>
      <c r="I78" s="1119"/>
    </row>
    <row r="79" spans="1:9" s="408" customFormat="1" ht="12" customHeight="1" thickBot="1" x14ac:dyDescent="0.3">
      <c r="A79" s="1019" t="s">
        <v>193</v>
      </c>
      <c r="B79" s="1127" t="s">
        <v>1793</v>
      </c>
      <c r="C79" s="822">
        <f>SUM(D79:G79)</f>
        <v>81505728</v>
      </c>
      <c r="D79" s="1048"/>
      <c r="E79" s="1048"/>
      <c r="F79" s="1121"/>
      <c r="G79" s="1018">
        <v>81505728</v>
      </c>
      <c r="H79" s="1119"/>
      <c r="I79" s="1119"/>
    </row>
    <row r="80" spans="1:9" s="408" customFormat="1" ht="12" customHeight="1" thickBot="1" x14ac:dyDescent="0.3">
      <c r="A80" s="1125" t="s">
        <v>195</v>
      </c>
      <c r="B80" s="1124" t="s">
        <v>196</v>
      </c>
      <c r="C80" s="817">
        <f>+C81+C82+C83+C84</f>
        <v>0</v>
      </c>
      <c r="D80" s="817">
        <f t="shared" ref="D80:G80" si="14">+D81+D82+D83+D84</f>
        <v>0</v>
      </c>
      <c r="E80" s="817">
        <f t="shared" si="14"/>
        <v>0</v>
      </c>
      <c r="F80" s="817">
        <f t="shared" si="14"/>
        <v>0</v>
      </c>
      <c r="G80" s="817">
        <f t="shared" si="14"/>
        <v>0</v>
      </c>
      <c r="H80" s="1119"/>
      <c r="I80" s="1119"/>
    </row>
    <row r="81" spans="1:9" s="408" customFormat="1" ht="12" customHeight="1" x14ac:dyDescent="0.25">
      <c r="A81" s="1128" t="s">
        <v>197</v>
      </c>
      <c r="B81" s="1120" t="s">
        <v>198</v>
      </c>
      <c r="C81" s="822"/>
      <c r="D81" s="1048"/>
      <c r="E81" s="1048"/>
      <c r="F81" s="1121"/>
      <c r="G81" s="1121"/>
      <c r="H81" s="1119"/>
      <c r="I81" s="1119"/>
    </row>
    <row r="82" spans="1:9" s="408" customFormat="1" ht="12" customHeight="1" x14ac:dyDescent="0.25">
      <c r="A82" s="1129" t="s">
        <v>199</v>
      </c>
      <c r="B82" s="1122" t="s">
        <v>200</v>
      </c>
      <c r="C82" s="822"/>
      <c r="D82" s="1048"/>
      <c r="E82" s="1048"/>
      <c r="F82" s="1121"/>
      <c r="G82" s="1121"/>
      <c r="H82" s="1119"/>
      <c r="I82" s="1119"/>
    </row>
    <row r="83" spans="1:9" s="408" customFormat="1" ht="12" customHeight="1" x14ac:dyDescent="0.25">
      <c r="A83" s="1129" t="s">
        <v>201</v>
      </c>
      <c r="B83" s="1122" t="s">
        <v>202</v>
      </c>
      <c r="C83" s="822"/>
      <c r="D83" s="1048"/>
      <c r="E83" s="1048"/>
      <c r="F83" s="1121"/>
      <c r="G83" s="1121"/>
      <c r="H83" s="1119"/>
      <c r="I83" s="1119"/>
    </row>
    <row r="84" spans="1:9" s="408" customFormat="1" ht="12" customHeight="1" thickBot="1" x14ac:dyDescent="0.3">
      <c r="A84" s="1126" t="s">
        <v>203</v>
      </c>
      <c r="B84" s="1127" t="s">
        <v>204</v>
      </c>
      <c r="C84" s="822"/>
      <c r="D84" s="1048"/>
      <c r="E84" s="1048"/>
      <c r="F84" s="1121"/>
      <c r="G84" s="1121"/>
      <c r="H84" s="1119"/>
      <c r="I84" s="1119"/>
    </row>
    <row r="85" spans="1:9" s="408" customFormat="1" ht="12" customHeight="1" thickBot="1" x14ac:dyDescent="0.3">
      <c r="A85" s="1125" t="s">
        <v>205</v>
      </c>
      <c r="B85" s="1124" t="s">
        <v>206</v>
      </c>
      <c r="C85" s="821"/>
      <c r="D85" s="821"/>
      <c r="E85" s="821"/>
      <c r="F85" s="821"/>
      <c r="G85" s="821"/>
      <c r="H85" s="1119"/>
      <c r="I85" s="1119"/>
    </row>
    <row r="86" spans="1:9" s="408" customFormat="1" ht="12" customHeight="1" thickBot="1" x14ac:dyDescent="0.3">
      <c r="A86" s="1125" t="s">
        <v>207</v>
      </c>
      <c r="B86" s="1125" t="s">
        <v>208</v>
      </c>
      <c r="C86" s="816">
        <f>C80+C76+C73+C68+C64</f>
        <v>81694034</v>
      </c>
      <c r="D86" s="816">
        <f t="shared" ref="D86:G86" si="15">+D64+D68+D73+D76+D80+D85</f>
        <v>0</v>
      </c>
      <c r="E86" s="816">
        <f t="shared" si="15"/>
        <v>0</v>
      </c>
      <c r="F86" s="816">
        <f t="shared" si="15"/>
        <v>0</v>
      </c>
      <c r="G86" s="816">
        <f t="shared" si="15"/>
        <v>81694034</v>
      </c>
      <c r="H86" s="1119"/>
      <c r="I86" s="1119"/>
    </row>
    <row r="87" spans="1:9" s="408" customFormat="1" ht="12" customHeight="1" thickBot="1" x14ac:dyDescent="0.3">
      <c r="A87" s="1130" t="s">
        <v>209</v>
      </c>
      <c r="B87" s="1130" t="s">
        <v>210</v>
      </c>
      <c r="C87" s="816">
        <f>+C63+C86</f>
        <v>96286334</v>
      </c>
      <c r="D87" s="816">
        <f t="shared" ref="D87:G87" si="16">+D63+D86</f>
        <v>10033000</v>
      </c>
      <c r="E87" s="816">
        <f t="shared" si="16"/>
        <v>4064000</v>
      </c>
      <c r="F87" s="816">
        <f t="shared" si="16"/>
        <v>495300</v>
      </c>
      <c r="G87" s="816">
        <f t="shared" si="16"/>
        <v>81694034</v>
      </c>
      <c r="H87" s="1119"/>
      <c r="I87" s="1119"/>
    </row>
    <row r="88" spans="1:9" s="408" customFormat="1" ht="12" customHeight="1" x14ac:dyDescent="0.25">
      <c r="A88" s="1131"/>
      <c r="B88" s="1131"/>
      <c r="C88" s="344"/>
      <c r="D88" s="1069"/>
      <c r="E88" s="1069"/>
      <c r="F88" s="1119"/>
      <c r="G88" s="1119"/>
      <c r="H88" s="1119"/>
      <c r="I88" s="1119"/>
    </row>
    <row r="89" spans="1:9" ht="16.5" customHeight="1" x14ac:dyDescent="0.3">
      <c r="A89" s="1637" t="s">
        <v>211</v>
      </c>
      <c r="B89" s="1637"/>
      <c r="C89" s="1637"/>
      <c r="D89" s="1669"/>
      <c r="E89" s="1669"/>
      <c r="F89" s="1669"/>
      <c r="G89" s="1669"/>
      <c r="H89" s="1132"/>
      <c r="I89" s="1132"/>
    </row>
    <row r="90" spans="1:9" s="414" customFormat="1" ht="16.5" customHeight="1" thickBot="1" x14ac:dyDescent="0.35">
      <c r="A90" s="43" t="s">
        <v>2126</v>
      </c>
      <c r="B90" s="43"/>
      <c r="D90" s="1090"/>
      <c r="E90" s="1090"/>
      <c r="G90" s="1114" t="s">
        <v>1689</v>
      </c>
    </row>
    <row r="91" spans="1:9" s="414" customFormat="1" ht="16.5" customHeight="1" x14ac:dyDescent="0.3">
      <c r="A91" s="1622" t="s">
        <v>41</v>
      </c>
      <c r="B91" s="1622" t="s">
        <v>213</v>
      </c>
      <c r="C91" s="1622" t="s">
        <v>1949</v>
      </c>
      <c r="D91" s="1675" t="s">
        <v>2013</v>
      </c>
      <c r="E91" s="1675" t="s">
        <v>2014</v>
      </c>
      <c r="F91" s="1675" t="s">
        <v>2015</v>
      </c>
      <c r="G91" s="1675" t="s">
        <v>2011</v>
      </c>
    </row>
    <row r="92" spans="1:9" ht="38.1" customHeight="1" thickBot="1" x14ac:dyDescent="0.35">
      <c r="A92" s="1623"/>
      <c r="B92" s="1623"/>
      <c r="C92" s="1680"/>
      <c r="D92" s="1681"/>
      <c r="E92" s="1681"/>
      <c r="F92" s="1681"/>
      <c r="G92" s="1681"/>
    </row>
    <row r="93" spans="1:9" s="1118" customFormat="1" ht="12" customHeight="1" thickBot="1" x14ac:dyDescent="0.25">
      <c r="A93" s="1008" t="s">
        <v>46</v>
      </c>
      <c r="B93" s="1008" t="s">
        <v>47</v>
      </c>
      <c r="C93" s="1008" t="s">
        <v>48</v>
      </c>
      <c r="D93" s="1116" t="s">
        <v>49</v>
      </c>
      <c r="E93" s="1116" t="s">
        <v>50</v>
      </c>
      <c r="F93" s="1116" t="s">
        <v>294</v>
      </c>
      <c r="G93" s="1116" t="s">
        <v>295</v>
      </c>
      <c r="H93" s="1117"/>
      <c r="I93" s="1117"/>
    </row>
    <row r="94" spans="1:9" ht="12" customHeight="1" thickBot="1" x14ac:dyDescent="0.35">
      <c r="A94" s="1011" t="s">
        <v>51</v>
      </c>
      <c r="B94" s="1104" t="s">
        <v>288</v>
      </c>
      <c r="C94" s="817">
        <f>SUM(C95:C99)</f>
        <v>95079834</v>
      </c>
      <c r="D94" s="817">
        <f t="shared" ref="D94:G94" si="17">SUM(D95:D99)</f>
        <v>74618588</v>
      </c>
      <c r="E94" s="817">
        <f t="shared" si="17"/>
        <v>19357032</v>
      </c>
      <c r="F94" s="817">
        <f t="shared" si="17"/>
        <v>927300</v>
      </c>
      <c r="G94" s="817">
        <f t="shared" si="17"/>
        <v>176914</v>
      </c>
    </row>
    <row r="95" spans="1:9" ht="12" customHeight="1" x14ac:dyDescent="0.3">
      <c r="A95" s="1013" t="s">
        <v>53</v>
      </c>
      <c r="B95" s="1110" t="s">
        <v>215</v>
      </c>
      <c r="C95" s="819">
        <f>SUM(D95:G95)</f>
        <v>64749228</v>
      </c>
      <c r="D95" s="1045">
        <v>55583260</v>
      </c>
      <c r="E95" s="1045">
        <f>8485968</f>
        <v>8485968</v>
      </c>
      <c r="F95" s="1133">
        <v>680000</v>
      </c>
      <c r="G95" s="1134"/>
    </row>
    <row r="96" spans="1:9" ht="12" customHeight="1" x14ac:dyDescent="0.3">
      <c r="A96" s="1016" t="s">
        <v>55</v>
      </c>
      <c r="B96" s="1097" t="s">
        <v>216</v>
      </c>
      <c r="C96" s="819">
        <f t="shared" ref="C96:C148" si="18">SUM(D96:G96)</f>
        <v>11887100</v>
      </c>
      <c r="D96" s="1048">
        <f>11195736-1198000</f>
        <v>9997736</v>
      </c>
      <c r="E96" s="1048">
        <f>1654764</f>
        <v>1654764</v>
      </c>
      <c r="F96" s="1135">
        <v>234600</v>
      </c>
      <c r="G96" s="1136"/>
    </row>
    <row r="97" spans="1:7" ht="12" customHeight="1" x14ac:dyDescent="0.3">
      <c r="A97" s="1016" t="s">
        <v>57</v>
      </c>
      <c r="B97" s="1097" t="s">
        <v>217</v>
      </c>
      <c r="C97" s="819">
        <f t="shared" si="18"/>
        <v>18266592</v>
      </c>
      <c r="D97" s="1048">
        <f>215000+11613200-3988608+1198000</f>
        <v>9037592</v>
      </c>
      <c r="E97" s="1048">
        <f>229000+9000000-12700</f>
        <v>9216300</v>
      </c>
      <c r="F97" s="1135">
        <v>12700</v>
      </c>
      <c r="G97" s="1136"/>
    </row>
    <row r="98" spans="1:7" ht="12" customHeight="1" x14ac:dyDescent="0.3">
      <c r="A98" s="1016" t="s">
        <v>59</v>
      </c>
      <c r="B98" s="1097" t="s">
        <v>218</v>
      </c>
      <c r="C98" s="819">
        <f t="shared" si="18"/>
        <v>0</v>
      </c>
      <c r="D98" s="1048"/>
      <c r="E98" s="1048"/>
      <c r="F98" s="1136"/>
      <c r="G98" s="1136"/>
    </row>
    <row r="99" spans="1:7" ht="12" customHeight="1" x14ac:dyDescent="0.3">
      <c r="A99" s="1016" t="s">
        <v>219</v>
      </c>
      <c r="B99" s="1097" t="s">
        <v>220</v>
      </c>
      <c r="C99" s="819">
        <f t="shared" si="18"/>
        <v>176914</v>
      </c>
      <c r="D99" s="1048"/>
      <c r="E99" s="1048"/>
      <c r="F99" s="1136"/>
      <c r="G99" s="1135">
        <v>176914</v>
      </c>
    </row>
    <row r="100" spans="1:7" ht="12" customHeight="1" x14ac:dyDescent="0.3">
      <c r="A100" s="1016" t="s">
        <v>63</v>
      </c>
      <c r="B100" s="1097" t="s">
        <v>221</v>
      </c>
      <c r="C100" s="819">
        <f t="shared" si="18"/>
        <v>0</v>
      </c>
      <c r="D100" s="1048"/>
      <c r="E100" s="1048"/>
      <c r="F100" s="1136"/>
      <c r="G100" s="1136"/>
    </row>
    <row r="101" spans="1:7" ht="12" customHeight="1" x14ac:dyDescent="0.3">
      <c r="A101" s="1016" t="s">
        <v>222</v>
      </c>
      <c r="B101" s="1099" t="s">
        <v>223</v>
      </c>
      <c r="C101" s="819">
        <f t="shared" si="18"/>
        <v>0</v>
      </c>
      <c r="D101" s="1048"/>
      <c r="E101" s="1048"/>
      <c r="F101" s="1136"/>
      <c r="G101" s="1136"/>
    </row>
    <row r="102" spans="1:7" ht="12" customHeight="1" x14ac:dyDescent="0.3">
      <c r="A102" s="1016" t="s">
        <v>224</v>
      </c>
      <c r="B102" s="1100" t="s">
        <v>225</v>
      </c>
      <c r="C102" s="819">
        <f t="shared" si="18"/>
        <v>0</v>
      </c>
      <c r="D102" s="1048"/>
      <c r="E102" s="1048"/>
      <c r="F102" s="1136"/>
      <c r="G102" s="1136"/>
    </row>
    <row r="103" spans="1:7" ht="12" customHeight="1" x14ac:dyDescent="0.3">
      <c r="A103" s="1016" t="s">
        <v>226</v>
      </c>
      <c r="B103" s="1100" t="s">
        <v>227</v>
      </c>
      <c r="C103" s="819">
        <f t="shared" si="18"/>
        <v>0</v>
      </c>
      <c r="D103" s="1048"/>
      <c r="E103" s="1048"/>
      <c r="F103" s="1136"/>
      <c r="G103" s="1136"/>
    </row>
    <row r="104" spans="1:7" ht="12" customHeight="1" x14ac:dyDescent="0.3">
      <c r="A104" s="1016" t="s">
        <v>228</v>
      </c>
      <c r="B104" s="1099" t="s">
        <v>229</v>
      </c>
      <c r="C104" s="819">
        <f t="shared" si="18"/>
        <v>0</v>
      </c>
      <c r="D104" s="1048"/>
      <c r="E104" s="1048"/>
      <c r="F104" s="1136"/>
      <c r="G104" s="1136"/>
    </row>
    <row r="105" spans="1:7" ht="12" customHeight="1" x14ac:dyDescent="0.3">
      <c r="A105" s="1016" t="s">
        <v>230</v>
      </c>
      <c r="B105" s="1099" t="s">
        <v>231</v>
      </c>
      <c r="C105" s="819">
        <f t="shared" si="18"/>
        <v>0</v>
      </c>
      <c r="D105" s="1048"/>
      <c r="E105" s="1048"/>
      <c r="F105" s="1136"/>
      <c r="G105" s="1136"/>
    </row>
    <row r="106" spans="1:7" ht="12" customHeight="1" x14ac:dyDescent="0.3">
      <c r="A106" s="1016" t="s">
        <v>232</v>
      </c>
      <c r="B106" s="1100" t="s">
        <v>233</v>
      </c>
      <c r="C106" s="819">
        <f t="shared" si="18"/>
        <v>0</v>
      </c>
      <c r="D106" s="1048"/>
      <c r="E106" s="1048"/>
      <c r="F106" s="1136"/>
      <c r="G106" s="1136"/>
    </row>
    <row r="107" spans="1:7" ht="12" customHeight="1" x14ac:dyDescent="0.3">
      <c r="A107" s="1016" t="s">
        <v>234</v>
      </c>
      <c r="B107" s="1100" t="s">
        <v>235</v>
      </c>
      <c r="C107" s="819">
        <f t="shared" si="18"/>
        <v>0</v>
      </c>
      <c r="D107" s="1048"/>
      <c r="E107" s="1048"/>
      <c r="F107" s="1136"/>
      <c r="G107" s="1136"/>
    </row>
    <row r="108" spans="1:7" ht="12" customHeight="1" x14ac:dyDescent="0.3">
      <c r="A108" s="1016" t="s">
        <v>236</v>
      </c>
      <c r="B108" s="1100" t="s">
        <v>237</v>
      </c>
      <c r="C108" s="819">
        <f t="shared" si="18"/>
        <v>0</v>
      </c>
      <c r="D108" s="1048"/>
      <c r="E108" s="1048"/>
      <c r="F108" s="1136"/>
      <c r="G108" s="1136"/>
    </row>
    <row r="109" spans="1:7" ht="12" customHeight="1" thickBot="1" x14ac:dyDescent="0.35">
      <c r="A109" s="1019" t="s">
        <v>238</v>
      </c>
      <c r="B109" s="1101" t="s">
        <v>239</v>
      </c>
      <c r="C109" s="1021">
        <f t="shared" si="18"/>
        <v>0</v>
      </c>
      <c r="D109" s="1055"/>
      <c r="E109" s="1055"/>
      <c r="F109" s="1137"/>
      <c r="G109" s="1137"/>
    </row>
    <row r="110" spans="1:7" ht="12" customHeight="1" thickBot="1" x14ac:dyDescent="0.35">
      <c r="A110" s="1011" t="s">
        <v>65</v>
      </c>
      <c r="B110" s="1104" t="s">
        <v>289</v>
      </c>
      <c r="C110" s="1012">
        <f t="shared" si="18"/>
        <v>1206500</v>
      </c>
      <c r="D110" s="817">
        <f t="shared" ref="D110:G110" si="19">+D111+D113+D115</f>
        <v>1206500</v>
      </c>
      <c r="E110" s="817">
        <f t="shared" si="19"/>
        <v>0</v>
      </c>
      <c r="F110" s="817">
        <f t="shared" si="19"/>
        <v>0</v>
      </c>
      <c r="G110" s="817">
        <f t="shared" si="19"/>
        <v>0</v>
      </c>
    </row>
    <row r="111" spans="1:7" ht="12" customHeight="1" x14ac:dyDescent="0.3">
      <c r="A111" s="1013" t="s">
        <v>67</v>
      </c>
      <c r="B111" s="1110" t="s">
        <v>241</v>
      </c>
      <c r="C111" s="819">
        <f t="shared" si="18"/>
        <v>1206500</v>
      </c>
      <c r="D111" s="1045">
        <v>1206500</v>
      </c>
      <c r="E111" s="1045"/>
      <c r="F111" s="1134"/>
      <c r="G111" s="1134"/>
    </row>
    <row r="112" spans="1:7" ht="12" customHeight="1" x14ac:dyDescent="0.3">
      <c r="A112" s="1016" t="s">
        <v>69</v>
      </c>
      <c r="B112" s="1097" t="s">
        <v>242</v>
      </c>
      <c r="C112" s="819">
        <f t="shared" si="18"/>
        <v>0</v>
      </c>
      <c r="D112" s="1048"/>
      <c r="E112" s="1048"/>
      <c r="F112" s="1136"/>
      <c r="G112" s="1136"/>
    </row>
    <row r="113" spans="1:7" x14ac:dyDescent="0.3">
      <c r="A113" s="1016" t="s">
        <v>71</v>
      </c>
      <c r="B113" s="1097" t="s">
        <v>243</v>
      </c>
      <c r="C113" s="819">
        <f t="shared" si="18"/>
        <v>0</v>
      </c>
      <c r="D113" s="1048"/>
      <c r="E113" s="1048"/>
      <c r="F113" s="1136"/>
      <c r="G113" s="1136"/>
    </row>
    <row r="114" spans="1:7" ht="12" customHeight="1" x14ac:dyDescent="0.3">
      <c r="A114" s="1016" t="s">
        <v>73</v>
      </c>
      <c r="B114" s="1097" t="s">
        <v>244</v>
      </c>
      <c r="C114" s="819">
        <f t="shared" si="18"/>
        <v>0</v>
      </c>
      <c r="D114" s="1048"/>
      <c r="E114" s="1048"/>
      <c r="F114" s="1136"/>
      <c r="G114" s="1136"/>
    </row>
    <row r="115" spans="1:7" ht="12" customHeight="1" x14ac:dyDescent="0.3">
      <c r="A115" s="1016" t="s">
        <v>75</v>
      </c>
      <c r="B115" s="1138" t="s">
        <v>245</v>
      </c>
      <c r="C115" s="819">
        <f t="shared" si="18"/>
        <v>0</v>
      </c>
      <c r="D115" s="1048"/>
      <c r="E115" s="1048"/>
      <c r="F115" s="1136"/>
      <c r="G115" s="1136"/>
    </row>
    <row r="116" spans="1:7" ht="21.75" customHeight="1" x14ac:dyDescent="0.3">
      <c r="A116" s="1016" t="s">
        <v>77</v>
      </c>
      <c r="B116" s="1138" t="s">
        <v>246</v>
      </c>
      <c r="C116" s="819">
        <f t="shared" si="18"/>
        <v>0</v>
      </c>
      <c r="D116" s="1048"/>
      <c r="E116" s="1048"/>
      <c r="F116" s="1136"/>
      <c r="G116" s="1136"/>
    </row>
    <row r="117" spans="1:7" ht="24" customHeight="1" x14ac:dyDescent="0.3">
      <c r="A117" s="1016" t="s">
        <v>247</v>
      </c>
      <c r="B117" s="1100" t="s">
        <v>248</v>
      </c>
      <c r="C117" s="819">
        <f t="shared" si="18"/>
        <v>0</v>
      </c>
      <c r="D117" s="1048"/>
      <c r="E117" s="1048"/>
      <c r="F117" s="1136"/>
      <c r="G117" s="1136"/>
    </row>
    <row r="118" spans="1:7" ht="12" customHeight="1" x14ac:dyDescent="0.3">
      <c r="A118" s="1016" t="s">
        <v>249</v>
      </c>
      <c r="B118" s="1100" t="s">
        <v>227</v>
      </c>
      <c r="C118" s="819">
        <f t="shared" si="18"/>
        <v>0</v>
      </c>
      <c r="D118" s="1048"/>
      <c r="E118" s="1048"/>
      <c r="F118" s="1136"/>
      <c r="G118" s="1136"/>
    </row>
    <row r="119" spans="1:7" ht="12" customHeight="1" x14ac:dyDescent="0.3">
      <c r="A119" s="1016" t="s">
        <v>250</v>
      </c>
      <c r="B119" s="1100" t="s">
        <v>251</v>
      </c>
      <c r="C119" s="819">
        <f t="shared" si="18"/>
        <v>0</v>
      </c>
      <c r="D119" s="1048"/>
      <c r="E119" s="1048"/>
      <c r="F119" s="1136"/>
      <c r="G119" s="1136"/>
    </row>
    <row r="120" spans="1:7" ht="12" customHeight="1" x14ac:dyDescent="0.3">
      <c r="A120" s="1016" t="s">
        <v>252</v>
      </c>
      <c r="B120" s="1100" t="s">
        <v>253</v>
      </c>
      <c r="C120" s="819">
        <f t="shared" si="18"/>
        <v>0</v>
      </c>
      <c r="D120" s="1048"/>
      <c r="E120" s="1048"/>
      <c r="F120" s="1136"/>
      <c r="G120" s="1136"/>
    </row>
    <row r="121" spans="1:7" s="427" customFormat="1" ht="12" customHeight="1" x14ac:dyDescent="0.25">
      <c r="A121" s="1016" t="s">
        <v>254</v>
      </c>
      <c r="B121" s="1100" t="s">
        <v>233</v>
      </c>
      <c r="C121" s="819">
        <f t="shared" si="18"/>
        <v>0</v>
      </c>
      <c r="D121" s="1060"/>
      <c r="E121" s="1060"/>
      <c r="F121" s="1139"/>
      <c r="G121" s="1139"/>
    </row>
    <row r="122" spans="1:7" ht="12" customHeight="1" x14ac:dyDescent="0.3">
      <c r="A122" s="1016" t="s">
        <v>255</v>
      </c>
      <c r="B122" s="1100" t="s">
        <v>256</v>
      </c>
      <c r="C122" s="819">
        <f t="shared" si="18"/>
        <v>0</v>
      </c>
      <c r="D122" s="1048"/>
      <c r="E122" s="1048"/>
      <c r="F122" s="1136"/>
      <c r="G122" s="1136"/>
    </row>
    <row r="123" spans="1:7" ht="12" customHeight="1" thickBot="1" x14ac:dyDescent="0.35">
      <c r="A123" s="1019" t="s">
        <v>257</v>
      </c>
      <c r="B123" s="1101" t="s">
        <v>258</v>
      </c>
      <c r="C123" s="1021">
        <f t="shared" si="18"/>
        <v>0</v>
      </c>
      <c r="D123" s="1055"/>
      <c r="E123" s="1055"/>
      <c r="F123" s="1137"/>
      <c r="G123" s="1137"/>
    </row>
    <row r="124" spans="1:7" ht="12" customHeight="1" thickBot="1" x14ac:dyDescent="0.35">
      <c r="A124" s="1011" t="s">
        <v>79</v>
      </c>
      <c r="B124" s="1109" t="s">
        <v>259</v>
      </c>
      <c r="C124" s="1026">
        <f t="shared" si="18"/>
        <v>0</v>
      </c>
      <c r="D124" s="1063"/>
      <c r="E124" s="1063"/>
      <c r="F124" s="1140"/>
      <c r="G124" s="1140"/>
    </row>
    <row r="125" spans="1:7" ht="12" customHeight="1" x14ac:dyDescent="0.3">
      <c r="A125" s="1013" t="s">
        <v>81</v>
      </c>
      <c r="B125" s="1110" t="s">
        <v>260</v>
      </c>
      <c r="C125" s="819">
        <f t="shared" si="18"/>
        <v>0</v>
      </c>
      <c r="D125" s="1045"/>
      <c r="E125" s="1045"/>
      <c r="F125" s="1134"/>
      <c r="G125" s="1134"/>
    </row>
    <row r="126" spans="1:7" ht="12" customHeight="1" thickBot="1" x14ac:dyDescent="0.35">
      <c r="A126" s="1019" t="s">
        <v>83</v>
      </c>
      <c r="B126" s="1105" t="s">
        <v>261</v>
      </c>
      <c r="C126" s="1021">
        <f t="shared" si="18"/>
        <v>0</v>
      </c>
      <c r="D126" s="1055"/>
      <c r="E126" s="1055"/>
      <c r="F126" s="1137"/>
      <c r="G126" s="1137"/>
    </row>
    <row r="127" spans="1:7" ht="12" customHeight="1" thickBot="1" x14ac:dyDescent="0.35">
      <c r="A127" s="1011" t="s">
        <v>262</v>
      </c>
      <c r="B127" s="1109" t="s">
        <v>263</v>
      </c>
      <c r="C127" s="1012">
        <f t="shared" si="18"/>
        <v>96286334</v>
      </c>
      <c r="D127" s="817">
        <f t="shared" ref="D127:G127" si="20">+D94+D110+D124</f>
        <v>75825088</v>
      </c>
      <c r="E127" s="817">
        <f t="shared" si="20"/>
        <v>19357032</v>
      </c>
      <c r="F127" s="817">
        <f t="shared" si="20"/>
        <v>927300</v>
      </c>
      <c r="G127" s="817">
        <f t="shared" si="20"/>
        <v>176914</v>
      </c>
    </row>
    <row r="128" spans="1:7" ht="12" customHeight="1" x14ac:dyDescent="0.3">
      <c r="A128" s="1141" t="s">
        <v>107</v>
      </c>
      <c r="B128" s="1142" t="s">
        <v>264</v>
      </c>
      <c r="C128" s="819">
        <f t="shared" si="18"/>
        <v>0</v>
      </c>
      <c r="D128" s="1045"/>
      <c r="E128" s="1045"/>
      <c r="F128" s="1134"/>
      <c r="G128" s="1134"/>
    </row>
    <row r="129" spans="1:7" ht="12" customHeight="1" x14ac:dyDescent="0.3">
      <c r="A129" s="1016" t="s">
        <v>109</v>
      </c>
      <c r="B129" s="1097" t="s">
        <v>265</v>
      </c>
      <c r="C129" s="819">
        <f t="shared" si="18"/>
        <v>0</v>
      </c>
      <c r="D129" s="1048"/>
      <c r="E129" s="1048"/>
      <c r="F129" s="1136"/>
      <c r="G129" s="1136"/>
    </row>
    <row r="130" spans="1:7" ht="12" customHeight="1" x14ac:dyDescent="0.3">
      <c r="A130" s="1016" t="s">
        <v>111</v>
      </c>
      <c r="B130" s="1097" t="s">
        <v>266</v>
      </c>
      <c r="C130" s="819">
        <f t="shared" si="18"/>
        <v>0</v>
      </c>
      <c r="D130" s="1048"/>
      <c r="E130" s="1048"/>
      <c r="F130" s="1136"/>
      <c r="G130" s="1136"/>
    </row>
    <row r="131" spans="1:7" ht="12" customHeight="1" thickBot="1" x14ac:dyDescent="0.35">
      <c r="A131" s="1019" t="s">
        <v>113</v>
      </c>
      <c r="B131" s="1105" t="s">
        <v>267</v>
      </c>
      <c r="C131" s="1021">
        <f t="shared" si="18"/>
        <v>0</v>
      </c>
      <c r="D131" s="1055"/>
      <c r="E131" s="1055"/>
      <c r="F131" s="1137"/>
      <c r="G131" s="1137"/>
    </row>
    <row r="132" spans="1:7" ht="12" customHeight="1" thickBot="1" x14ac:dyDescent="0.35">
      <c r="A132" s="1011" t="s">
        <v>129</v>
      </c>
      <c r="B132" s="1109" t="s">
        <v>268</v>
      </c>
      <c r="C132" s="1026">
        <f t="shared" si="18"/>
        <v>0</v>
      </c>
      <c r="D132" s="1063"/>
      <c r="E132" s="1063"/>
      <c r="F132" s="1140"/>
      <c r="G132" s="1140"/>
    </row>
    <row r="133" spans="1:7" ht="12" customHeight="1" x14ac:dyDescent="0.3">
      <c r="A133" s="1013" t="s">
        <v>131</v>
      </c>
      <c r="B133" s="1110" t="s">
        <v>269</v>
      </c>
      <c r="C133" s="819">
        <f t="shared" si="18"/>
        <v>0</v>
      </c>
      <c r="D133" s="1045"/>
      <c r="E133" s="1045"/>
      <c r="F133" s="1134"/>
      <c r="G133" s="1134"/>
    </row>
    <row r="134" spans="1:7" ht="12" customHeight="1" x14ac:dyDescent="0.3">
      <c r="A134" s="1016" t="s">
        <v>133</v>
      </c>
      <c r="B134" s="1097" t="s">
        <v>270</v>
      </c>
      <c r="C134" s="819">
        <f t="shared" si="18"/>
        <v>0</v>
      </c>
      <c r="D134" s="1048"/>
      <c r="E134" s="1048"/>
      <c r="F134" s="1136"/>
      <c r="G134" s="1136"/>
    </row>
    <row r="135" spans="1:7" ht="12" customHeight="1" x14ac:dyDescent="0.3">
      <c r="A135" s="1016" t="s">
        <v>135</v>
      </c>
      <c r="B135" s="1097" t="s">
        <v>271</v>
      </c>
      <c r="C135" s="819">
        <f t="shared" si="18"/>
        <v>0</v>
      </c>
      <c r="D135" s="1048"/>
      <c r="E135" s="1048"/>
      <c r="F135" s="1136"/>
      <c r="G135" s="1136"/>
    </row>
    <row r="136" spans="1:7" ht="12" customHeight="1" thickBot="1" x14ac:dyDescent="0.35">
      <c r="A136" s="1019" t="s">
        <v>137</v>
      </c>
      <c r="B136" s="1105" t="s">
        <v>272</v>
      </c>
      <c r="C136" s="1021">
        <f t="shared" si="18"/>
        <v>0</v>
      </c>
      <c r="D136" s="1055"/>
      <c r="E136" s="1055"/>
      <c r="F136" s="1137"/>
      <c r="G136" s="1137"/>
    </row>
    <row r="137" spans="1:7" ht="12" customHeight="1" thickBot="1" x14ac:dyDescent="0.35">
      <c r="A137" s="1011" t="s">
        <v>273</v>
      </c>
      <c r="B137" s="1109" t="s">
        <v>274</v>
      </c>
      <c r="C137" s="1026">
        <f t="shared" si="18"/>
        <v>0</v>
      </c>
      <c r="D137" s="1063"/>
      <c r="E137" s="1063"/>
      <c r="F137" s="1140"/>
      <c r="G137" s="1140"/>
    </row>
    <row r="138" spans="1:7" ht="12" customHeight="1" x14ac:dyDescent="0.3">
      <c r="A138" s="1013" t="s">
        <v>143</v>
      </c>
      <c r="B138" s="1110" t="s">
        <v>275</v>
      </c>
      <c r="C138" s="819">
        <f t="shared" si="18"/>
        <v>0</v>
      </c>
      <c r="D138" s="1045"/>
      <c r="E138" s="1045"/>
      <c r="F138" s="1134"/>
      <c r="G138" s="1134"/>
    </row>
    <row r="139" spans="1:7" ht="12" customHeight="1" x14ac:dyDescent="0.3">
      <c r="A139" s="1016" t="s">
        <v>145</v>
      </c>
      <c r="B139" s="1097" t="s">
        <v>276</v>
      </c>
      <c r="C139" s="819">
        <f t="shared" si="18"/>
        <v>0</v>
      </c>
      <c r="D139" s="1048"/>
      <c r="E139" s="1048"/>
      <c r="F139" s="1136"/>
      <c r="G139" s="1136"/>
    </row>
    <row r="140" spans="1:7" ht="12" customHeight="1" x14ac:dyDescent="0.3">
      <c r="A140" s="1016" t="s">
        <v>147</v>
      </c>
      <c r="B140" s="1097" t="s">
        <v>277</v>
      </c>
      <c r="C140" s="819">
        <f t="shared" si="18"/>
        <v>0</v>
      </c>
      <c r="D140" s="1048"/>
      <c r="E140" s="1048"/>
      <c r="F140" s="1136"/>
      <c r="G140" s="1136"/>
    </row>
    <row r="141" spans="1:7" ht="12" customHeight="1" thickBot="1" x14ac:dyDescent="0.35">
      <c r="A141" s="1019" t="s">
        <v>149</v>
      </c>
      <c r="B141" s="1105" t="s">
        <v>278</v>
      </c>
      <c r="C141" s="1021">
        <f t="shared" si="18"/>
        <v>0</v>
      </c>
      <c r="D141" s="1055"/>
      <c r="E141" s="1055"/>
      <c r="F141" s="1137"/>
      <c r="G141" s="1137"/>
    </row>
    <row r="142" spans="1:7" ht="15" customHeight="1" thickBot="1" x14ac:dyDescent="0.35">
      <c r="A142" s="1011" t="s">
        <v>151</v>
      </c>
      <c r="B142" s="1109" t="s">
        <v>279</v>
      </c>
      <c r="C142" s="1026">
        <f t="shared" si="18"/>
        <v>0</v>
      </c>
      <c r="D142" s="1064"/>
      <c r="E142" s="1064"/>
      <c r="F142" s="1143"/>
      <c r="G142" s="1140"/>
    </row>
    <row r="143" spans="1:7" s="408" customFormat="1" ht="12.9" customHeight="1" x14ac:dyDescent="0.25">
      <c r="A143" s="1013" t="s">
        <v>153</v>
      </c>
      <c r="B143" s="1110" t="s">
        <v>280</v>
      </c>
      <c r="C143" s="819">
        <f t="shared" si="18"/>
        <v>0</v>
      </c>
      <c r="D143" s="1045"/>
      <c r="E143" s="1045"/>
      <c r="F143" s="1144"/>
      <c r="G143" s="1144"/>
    </row>
    <row r="144" spans="1:7" ht="12.75" customHeight="1" x14ac:dyDescent="0.3">
      <c r="A144" s="1016" t="s">
        <v>155</v>
      </c>
      <c r="B144" s="1097" t="s">
        <v>281</v>
      </c>
      <c r="C144" s="819">
        <f t="shared" si="18"/>
        <v>0</v>
      </c>
      <c r="D144" s="1048"/>
      <c r="E144" s="1048"/>
      <c r="F144" s="1136"/>
      <c r="G144" s="1136"/>
    </row>
    <row r="145" spans="1:7" ht="12.75" customHeight="1" x14ac:dyDescent="0.3">
      <c r="A145" s="1016" t="s">
        <v>157</v>
      </c>
      <c r="B145" s="1097" t="s">
        <v>282</v>
      </c>
      <c r="C145" s="819">
        <f t="shared" si="18"/>
        <v>0</v>
      </c>
      <c r="D145" s="1048"/>
      <c r="E145" s="1048"/>
      <c r="F145" s="1136"/>
      <c r="G145" s="1136"/>
    </row>
    <row r="146" spans="1:7" ht="12.75" customHeight="1" thickBot="1" x14ac:dyDescent="0.35">
      <c r="A146" s="1019" t="s">
        <v>159</v>
      </c>
      <c r="B146" s="1105" t="s">
        <v>283</v>
      </c>
      <c r="C146" s="1021">
        <f t="shared" si="18"/>
        <v>0</v>
      </c>
      <c r="D146" s="1055"/>
      <c r="E146" s="1055"/>
      <c r="F146" s="1137"/>
      <c r="G146" s="1137"/>
    </row>
    <row r="147" spans="1:7" ht="16.2" thickBot="1" x14ac:dyDescent="0.35">
      <c r="A147" s="1011" t="s">
        <v>161</v>
      </c>
      <c r="B147" s="1109" t="s">
        <v>284</v>
      </c>
      <c r="C147" s="1026">
        <f t="shared" si="18"/>
        <v>0</v>
      </c>
      <c r="D147" s="1145">
        <f t="shared" ref="D147:G147" si="21">+D128+D132+D137+D142</f>
        <v>0</v>
      </c>
      <c r="E147" s="1145">
        <f t="shared" si="21"/>
        <v>0</v>
      </c>
      <c r="F147" s="1145">
        <f t="shared" si="21"/>
        <v>0</v>
      </c>
      <c r="G147" s="1145">
        <f t="shared" si="21"/>
        <v>0</v>
      </c>
    </row>
    <row r="148" spans="1:7" ht="16.2" thickBot="1" x14ac:dyDescent="0.35">
      <c r="A148" s="1124" t="s">
        <v>285</v>
      </c>
      <c r="B148" s="1146" t="s">
        <v>286</v>
      </c>
      <c r="C148" s="1012">
        <f t="shared" si="18"/>
        <v>96286334</v>
      </c>
      <c r="D148" s="1145">
        <f t="shared" ref="D148:G148" si="22">+D127+D147</f>
        <v>75825088</v>
      </c>
      <c r="E148" s="1145">
        <f t="shared" si="22"/>
        <v>19357032</v>
      </c>
      <c r="F148" s="1145">
        <f t="shared" si="22"/>
        <v>927300</v>
      </c>
      <c r="G148" s="1145">
        <f t="shared" si="22"/>
        <v>176914</v>
      </c>
    </row>
    <row r="150" spans="1:7" ht="7.5" customHeight="1" x14ac:dyDescent="0.3"/>
    <row r="152" spans="1:7" ht="12.75" customHeight="1" x14ac:dyDescent="0.3"/>
    <row r="153" spans="1:7" ht="12.75" customHeight="1" x14ac:dyDescent="0.3"/>
    <row r="154" spans="1:7" ht="12.75" customHeight="1" x14ac:dyDescent="0.3"/>
    <row r="155" spans="1:7" ht="12.75" customHeight="1" x14ac:dyDescent="0.3"/>
    <row r="156" spans="1:7" ht="12.75" customHeight="1" x14ac:dyDescent="0.3"/>
    <row r="157" spans="1:7" ht="12.75" customHeight="1" x14ac:dyDescent="0.3">
      <c r="A157" s="406"/>
      <c r="B157" s="406"/>
    </row>
    <row r="158" spans="1:7" ht="12.75" customHeight="1" x14ac:dyDescent="0.3">
      <c r="A158" s="406"/>
      <c r="B158" s="406"/>
    </row>
    <row r="159" spans="1:7" s="395" customFormat="1" ht="12.75" customHeight="1" x14ac:dyDescent="0.3">
      <c r="C159" s="396"/>
      <c r="D159" s="1069"/>
      <c r="E159" s="1069"/>
    </row>
  </sheetData>
  <mergeCells count="16">
    <mergeCell ref="A3:G3"/>
    <mergeCell ref="A5:A6"/>
    <mergeCell ref="B5:B6"/>
    <mergeCell ref="C5:C6"/>
    <mergeCell ref="D5:D6"/>
    <mergeCell ref="E5:E6"/>
    <mergeCell ref="F5:F6"/>
    <mergeCell ref="G5:G6"/>
    <mergeCell ref="A89:G89"/>
    <mergeCell ref="A91:A92"/>
    <mergeCell ref="B91:B92"/>
    <mergeCell ref="C91:C92"/>
    <mergeCell ref="D91:D92"/>
    <mergeCell ref="E91:E92"/>
    <mergeCell ref="F91:F92"/>
    <mergeCell ref="G91:G92"/>
  </mergeCells>
  <pageMargins left="0.7" right="0.7" top="0.75" bottom="0.75" header="0.3" footer="0.3"/>
  <pageSetup paperSize="9" scale="67" orientation="portrait" r:id="rId1"/>
  <headerFooter>
    <oddHeader xml:space="preserve">&amp;R&amp;"Times New Roman CE,Dőlt"19_20. melléklet a 2/2020 (II.28.) önkormányzati rendelethez
</oddHeader>
  </headerFooter>
  <rowBreaks count="1" manualBreakCount="1">
    <brk id="87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BD159"/>
  <sheetViews>
    <sheetView view="pageLayout" topLeftCell="A88" zoomScaleNormal="100" zoomScaleSheetLayoutView="124" workbookViewId="0">
      <selection activeCell="H150" sqref="H150"/>
    </sheetView>
  </sheetViews>
  <sheetFormatPr defaultColWidth="9.33203125" defaultRowHeight="15.6" x14ac:dyDescent="0.3"/>
  <cols>
    <col min="1" max="1" width="9.44140625" style="395" customWidth="1"/>
    <col min="2" max="2" width="60.77734375" style="395" customWidth="1"/>
    <col min="3" max="3" width="14.44140625" style="406" customWidth="1"/>
    <col min="4" max="4" width="13.77734375" style="1069" bestFit="1" customWidth="1"/>
    <col min="5" max="6" width="13.77734375" style="1069" customWidth="1"/>
    <col min="7" max="7" width="16" style="1069" customWidth="1"/>
    <col min="8" max="8" width="12" style="1001" customWidth="1"/>
    <col min="9" max="9" width="14" style="1001" customWidth="1"/>
    <col min="10" max="10" width="18.77734375" style="1001" customWidth="1"/>
    <col min="11" max="16384" width="9.33203125" style="406"/>
  </cols>
  <sheetData>
    <row r="1" spans="1:56" x14ac:dyDescent="0.3">
      <c r="B1" s="764"/>
    </row>
    <row r="3" spans="1:56" ht="15.9" customHeight="1" x14ac:dyDescent="0.3">
      <c r="A3" s="1637" t="s">
        <v>39</v>
      </c>
      <c r="B3" s="1637"/>
      <c r="C3" s="1686"/>
      <c r="D3" s="1686"/>
      <c r="E3" s="1686"/>
      <c r="F3" s="1686"/>
      <c r="G3" s="1686"/>
      <c r="H3" s="1686"/>
      <c r="I3" s="1686"/>
      <c r="J3" s="1686"/>
    </row>
    <row r="4" spans="1:56" ht="16.2" thickBot="1" x14ac:dyDescent="0.35">
      <c r="A4" s="42" t="s">
        <v>2129</v>
      </c>
      <c r="B4" s="42"/>
      <c r="J4" s="1147" t="s">
        <v>1690</v>
      </c>
    </row>
    <row r="5" spans="1:56" s="820" customFormat="1" ht="15.9" customHeight="1" thickBot="1" x14ac:dyDescent="0.3">
      <c r="A5" s="1671" t="s">
        <v>588</v>
      </c>
      <c r="B5" s="1671" t="s">
        <v>42</v>
      </c>
      <c r="C5" s="1671" t="s">
        <v>1949</v>
      </c>
      <c r="D5" s="1687" t="s">
        <v>2016</v>
      </c>
      <c r="E5" s="1689" t="s">
        <v>2017</v>
      </c>
      <c r="F5" s="1689" t="s">
        <v>2018</v>
      </c>
      <c r="G5" s="1687" t="s">
        <v>2019</v>
      </c>
      <c r="H5" s="1684" t="s">
        <v>2020</v>
      </c>
      <c r="I5" s="1672" t="s">
        <v>2021</v>
      </c>
      <c r="J5" s="1684" t="s">
        <v>1978</v>
      </c>
    </row>
    <row r="6" spans="1:56" s="820" customFormat="1" ht="57" customHeight="1" thickBot="1" x14ac:dyDescent="0.3">
      <c r="A6" s="1671"/>
      <c r="B6" s="1671"/>
      <c r="C6" s="1671"/>
      <c r="D6" s="1688"/>
      <c r="E6" s="1685"/>
      <c r="F6" s="1685"/>
      <c r="G6" s="1688"/>
      <c r="H6" s="1685"/>
      <c r="I6" s="1674"/>
      <c r="J6" s="1685"/>
      <c r="K6" s="1148"/>
      <c r="L6" s="1148"/>
      <c r="M6" s="1148"/>
      <c r="N6" s="1148"/>
      <c r="O6" s="1148"/>
      <c r="P6" s="1148"/>
      <c r="Q6" s="1148"/>
      <c r="R6" s="1148"/>
      <c r="S6" s="1148"/>
      <c r="T6" s="1148"/>
      <c r="U6" s="1148"/>
      <c r="V6" s="1148"/>
      <c r="W6" s="1148"/>
      <c r="X6" s="1148"/>
      <c r="Y6" s="1148"/>
      <c r="Z6" s="1148"/>
    </row>
    <row r="7" spans="1:56" s="1118" customFormat="1" ht="12" customHeight="1" thickBot="1" x14ac:dyDescent="0.25">
      <c r="A7" s="1008" t="s">
        <v>46</v>
      </c>
      <c r="B7" s="1008" t="s">
        <v>47</v>
      </c>
      <c r="C7" s="1008" t="s">
        <v>48</v>
      </c>
      <c r="D7" s="1149" t="s">
        <v>49</v>
      </c>
      <c r="E7" s="1149" t="s">
        <v>50</v>
      </c>
      <c r="F7" s="1149" t="s">
        <v>294</v>
      </c>
      <c r="G7" s="1149" t="s">
        <v>295</v>
      </c>
      <c r="H7" s="1150" t="s">
        <v>296</v>
      </c>
      <c r="I7" s="1150" t="s">
        <v>297</v>
      </c>
      <c r="J7" s="1150" t="s">
        <v>399</v>
      </c>
    </row>
    <row r="8" spans="1:56" s="408" customFormat="1" ht="12" customHeight="1" thickBot="1" x14ac:dyDescent="0.3">
      <c r="A8" s="1011" t="s">
        <v>51</v>
      </c>
      <c r="B8" s="1011" t="s">
        <v>52</v>
      </c>
      <c r="C8" s="817">
        <f t="shared" ref="C8:J8" si="0">SUM(C9:C14)</f>
        <v>0</v>
      </c>
      <c r="D8" s="817">
        <f t="shared" si="0"/>
        <v>0</v>
      </c>
      <c r="E8" s="817">
        <f t="shared" si="0"/>
        <v>0</v>
      </c>
      <c r="F8" s="817">
        <f t="shared" si="0"/>
        <v>0</v>
      </c>
      <c r="G8" s="817">
        <f t="shared" si="0"/>
        <v>0</v>
      </c>
      <c r="H8" s="817">
        <f t="shared" si="0"/>
        <v>0</v>
      </c>
      <c r="I8" s="817"/>
      <c r="J8" s="817">
        <f t="shared" si="0"/>
        <v>0</v>
      </c>
      <c r="K8" s="1001"/>
      <c r="L8" s="1001"/>
      <c r="M8" s="1001"/>
      <c r="N8" s="1001"/>
      <c r="O8" s="1001"/>
      <c r="P8" s="1001"/>
      <c r="Q8" s="1001"/>
      <c r="R8" s="1001"/>
      <c r="S8" s="1001"/>
      <c r="T8" s="1001"/>
      <c r="U8" s="1001"/>
      <c r="V8" s="1001"/>
      <c r="W8" s="1001"/>
      <c r="X8" s="1001"/>
      <c r="Y8" s="1001"/>
      <c r="Z8" s="1001"/>
      <c r="AA8" s="1001"/>
      <c r="AB8" s="1001"/>
      <c r="AC8" s="1001"/>
      <c r="AD8" s="1001"/>
      <c r="AE8" s="1001"/>
      <c r="AF8" s="1001"/>
      <c r="AG8" s="1001"/>
      <c r="AH8" s="1001"/>
      <c r="AI8" s="1001"/>
      <c r="AJ8" s="1001"/>
      <c r="AK8" s="1001"/>
      <c r="AL8" s="1001"/>
      <c r="AM8" s="1001"/>
      <c r="AN8" s="1001"/>
      <c r="AO8" s="1001"/>
      <c r="AP8" s="1001"/>
      <c r="AQ8" s="1001"/>
      <c r="AR8" s="1001"/>
      <c r="AS8" s="1001"/>
      <c r="AT8" s="1001"/>
      <c r="AU8" s="1001"/>
      <c r="AV8" s="1001"/>
      <c r="AW8" s="1001"/>
      <c r="AX8" s="1001"/>
      <c r="AY8" s="1001"/>
      <c r="AZ8" s="1001"/>
      <c r="BA8" s="1001"/>
      <c r="BB8" s="1001"/>
      <c r="BC8" s="1001"/>
      <c r="BD8" s="1001"/>
    </row>
    <row r="9" spans="1:56" s="408" customFormat="1" ht="12" customHeight="1" x14ac:dyDescent="0.25">
      <c r="A9" s="1013" t="s">
        <v>53</v>
      </c>
      <c r="B9" s="1076" t="s">
        <v>54</v>
      </c>
      <c r="C9" s="819"/>
      <c r="D9" s="1045"/>
      <c r="E9" s="1045"/>
      <c r="F9" s="1045"/>
      <c r="G9" s="1045"/>
      <c r="H9" s="1133"/>
      <c r="I9" s="1133"/>
      <c r="J9" s="1133"/>
      <c r="K9" s="1001"/>
      <c r="L9" s="1001"/>
      <c r="M9" s="1001"/>
      <c r="N9" s="1001"/>
      <c r="O9" s="1001"/>
      <c r="P9" s="1001"/>
      <c r="Q9" s="1001"/>
      <c r="R9" s="1001"/>
      <c r="S9" s="1001"/>
      <c r="T9" s="1001"/>
      <c r="U9" s="1001"/>
      <c r="V9" s="1001"/>
      <c r="W9" s="1001"/>
      <c r="X9" s="1001"/>
      <c r="Y9" s="1001"/>
      <c r="Z9" s="1001"/>
      <c r="AA9" s="1001"/>
      <c r="AB9" s="1001"/>
      <c r="AC9" s="1001"/>
      <c r="AD9" s="1001"/>
      <c r="AE9" s="1001"/>
      <c r="AF9" s="1001"/>
      <c r="AG9" s="1001"/>
      <c r="AH9" s="1001"/>
      <c r="AI9" s="1001"/>
      <c r="AJ9" s="1001"/>
      <c r="AK9" s="1001"/>
      <c r="AL9" s="1001"/>
      <c r="AM9" s="1001"/>
      <c r="AN9" s="1001"/>
      <c r="AO9" s="1001"/>
      <c r="AP9" s="1001"/>
      <c r="AQ9" s="1001"/>
      <c r="AR9" s="1001"/>
      <c r="AS9" s="1001"/>
      <c r="AT9" s="1001"/>
      <c r="AU9" s="1001"/>
      <c r="AV9" s="1001"/>
      <c r="AW9" s="1001"/>
      <c r="AX9" s="1001"/>
      <c r="AY9" s="1001"/>
      <c r="AZ9" s="1001"/>
      <c r="BA9" s="1001"/>
      <c r="BB9" s="1001"/>
      <c r="BC9" s="1001"/>
      <c r="BD9" s="1001"/>
    </row>
    <row r="10" spans="1:56" s="408" customFormat="1" ht="12" customHeight="1" x14ac:dyDescent="0.25">
      <c r="A10" s="1016" t="s">
        <v>55</v>
      </c>
      <c r="B10" s="1077" t="s">
        <v>56</v>
      </c>
      <c r="C10" s="815"/>
      <c r="D10" s="1048"/>
      <c r="E10" s="1048"/>
      <c r="F10" s="1048"/>
      <c r="G10" s="1048"/>
      <c r="H10" s="1135"/>
      <c r="I10" s="1135"/>
      <c r="J10" s="1135"/>
      <c r="K10" s="1001"/>
      <c r="L10" s="1001"/>
      <c r="M10" s="1001"/>
      <c r="N10" s="1001"/>
      <c r="O10" s="1001"/>
      <c r="P10" s="1001"/>
      <c r="Q10" s="1001"/>
      <c r="R10" s="1001"/>
      <c r="S10" s="1001"/>
      <c r="T10" s="1001"/>
      <c r="U10" s="1001"/>
      <c r="V10" s="1001"/>
      <c r="W10" s="1001"/>
      <c r="X10" s="1001"/>
      <c r="Y10" s="1001"/>
      <c r="Z10" s="1001"/>
      <c r="AA10" s="1001"/>
      <c r="AB10" s="1001"/>
      <c r="AC10" s="1001"/>
      <c r="AD10" s="1001"/>
      <c r="AE10" s="1001"/>
      <c r="AF10" s="1001"/>
      <c r="AG10" s="1001"/>
      <c r="AH10" s="1001"/>
      <c r="AI10" s="1001"/>
      <c r="AJ10" s="1001"/>
      <c r="AK10" s="1001"/>
      <c r="AL10" s="1001"/>
      <c r="AM10" s="1001"/>
      <c r="AN10" s="1001"/>
      <c r="AO10" s="1001"/>
      <c r="AP10" s="1001"/>
      <c r="AQ10" s="1001"/>
      <c r="AR10" s="1001"/>
      <c r="AS10" s="1001"/>
      <c r="AT10" s="1001"/>
      <c r="AU10" s="1001"/>
      <c r="AV10" s="1001"/>
      <c r="AW10" s="1001"/>
      <c r="AX10" s="1001"/>
      <c r="AY10" s="1001"/>
      <c r="AZ10" s="1001"/>
      <c r="BA10" s="1001"/>
      <c r="BB10" s="1001"/>
      <c r="BC10" s="1001"/>
      <c r="BD10" s="1001"/>
    </row>
    <row r="11" spans="1:56" s="408" customFormat="1" ht="12" customHeight="1" x14ac:dyDescent="0.25">
      <c r="A11" s="1016" t="s">
        <v>57</v>
      </c>
      <c r="B11" s="1077" t="s">
        <v>58</v>
      </c>
      <c r="C11" s="815"/>
      <c r="D11" s="1048"/>
      <c r="E11" s="1048"/>
      <c r="F11" s="1048"/>
      <c r="G11" s="1048"/>
      <c r="H11" s="1135"/>
      <c r="I11" s="1135"/>
      <c r="J11" s="1135"/>
      <c r="K11" s="1001"/>
      <c r="L11" s="1001"/>
      <c r="M11" s="1001"/>
      <c r="N11" s="1001"/>
      <c r="O11" s="1001"/>
      <c r="P11" s="1001"/>
      <c r="Q11" s="1001"/>
      <c r="R11" s="1001"/>
      <c r="S11" s="1001"/>
      <c r="T11" s="1001"/>
      <c r="U11" s="1001"/>
      <c r="V11" s="1001"/>
      <c r="W11" s="1001"/>
      <c r="X11" s="1001"/>
      <c r="Y11" s="1001"/>
      <c r="Z11" s="1001"/>
      <c r="AA11" s="1001"/>
      <c r="AB11" s="1001"/>
      <c r="AC11" s="1001"/>
      <c r="AD11" s="1001"/>
      <c r="AE11" s="1001"/>
      <c r="AF11" s="1001"/>
      <c r="AG11" s="1001"/>
      <c r="AH11" s="1001"/>
      <c r="AI11" s="1001"/>
      <c r="AJ11" s="1001"/>
      <c r="AK11" s="1001"/>
      <c r="AL11" s="1001"/>
      <c r="AM11" s="1001"/>
      <c r="AN11" s="1001"/>
      <c r="AO11" s="1001"/>
      <c r="AP11" s="1001"/>
      <c r="AQ11" s="1001"/>
      <c r="AR11" s="1001"/>
      <c r="AS11" s="1001"/>
      <c r="AT11" s="1001"/>
      <c r="AU11" s="1001"/>
      <c r="AV11" s="1001"/>
      <c r="AW11" s="1001"/>
      <c r="AX11" s="1001"/>
      <c r="AY11" s="1001"/>
      <c r="AZ11" s="1001"/>
      <c r="BA11" s="1001"/>
      <c r="BB11" s="1001"/>
      <c r="BC11" s="1001"/>
      <c r="BD11" s="1001"/>
    </row>
    <row r="12" spans="1:56" s="408" customFormat="1" ht="12" customHeight="1" x14ac:dyDescent="0.25">
      <c r="A12" s="1016" t="s">
        <v>59</v>
      </c>
      <c r="B12" s="1077" t="s">
        <v>60</v>
      </c>
      <c r="C12" s="815"/>
      <c r="D12" s="1048"/>
      <c r="E12" s="1048"/>
      <c r="F12" s="1048"/>
      <c r="G12" s="1048"/>
      <c r="H12" s="1135"/>
      <c r="I12" s="1135"/>
      <c r="J12" s="1135"/>
      <c r="K12" s="1001"/>
      <c r="L12" s="1001"/>
      <c r="M12" s="1001"/>
      <c r="N12" s="1001"/>
      <c r="O12" s="1001"/>
      <c r="P12" s="1001"/>
      <c r="Q12" s="1001"/>
      <c r="R12" s="1001"/>
      <c r="S12" s="1001"/>
      <c r="T12" s="1001"/>
      <c r="U12" s="1001"/>
      <c r="V12" s="1001"/>
      <c r="W12" s="1001"/>
      <c r="X12" s="1001"/>
      <c r="Y12" s="1001"/>
      <c r="Z12" s="1001"/>
      <c r="AA12" s="1001"/>
      <c r="AB12" s="1001"/>
      <c r="AC12" s="1001"/>
      <c r="AD12" s="1001"/>
      <c r="AE12" s="1001"/>
      <c r="AF12" s="1001"/>
      <c r="AG12" s="1001"/>
      <c r="AH12" s="1001"/>
      <c r="AI12" s="1001"/>
      <c r="AJ12" s="1001"/>
      <c r="AK12" s="1001"/>
      <c r="AL12" s="1001"/>
      <c r="AM12" s="1001"/>
      <c r="AN12" s="1001"/>
      <c r="AO12" s="1001"/>
      <c r="AP12" s="1001"/>
      <c r="AQ12" s="1001"/>
      <c r="AR12" s="1001"/>
      <c r="AS12" s="1001"/>
      <c r="AT12" s="1001"/>
      <c r="AU12" s="1001"/>
      <c r="AV12" s="1001"/>
      <c r="AW12" s="1001"/>
      <c r="AX12" s="1001"/>
      <c r="AY12" s="1001"/>
      <c r="AZ12" s="1001"/>
      <c r="BA12" s="1001"/>
      <c r="BB12" s="1001"/>
      <c r="BC12" s="1001"/>
      <c r="BD12" s="1001"/>
    </row>
    <row r="13" spans="1:56" s="408" customFormat="1" ht="12" customHeight="1" x14ac:dyDescent="0.25">
      <c r="A13" s="1016" t="s">
        <v>61</v>
      </c>
      <c r="B13" s="1077" t="s">
        <v>287</v>
      </c>
      <c r="C13" s="815"/>
      <c r="D13" s="1048"/>
      <c r="E13" s="1048"/>
      <c r="F13" s="1048"/>
      <c r="G13" s="1048"/>
      <c r="H13" s="1135"/>
      <c r="I13" s="1135"/>
      <c r="J13" s="1135"/>
      <c r="K13" s="1001"/>
      <c r="L13" s="1001"/>
      <c r="M13" s="1001"/>
      <c r="N13" s="1001"/>
      <c r="O13" s="1001"/>
      <c r="P13" s="1001"/>
      <c r="Q13" s="1001"/>
      <c r="R13" s="1001"/>
      <c r="S13" s="1001"/>
      <c r="T13" s="1001"/>
      <c r="U13" s="1001"/>
      <c r="V13" s="1001"/>
      <c r="W13" s="1001"/>
      <c r="X13" s="1001"/>
      <c r="Y13" s="1001"/>
      <c r="Z13" s="1001"/>
      <c r="AA13" s="1001"/>
      <c r="AB13" s="1001"/>
      <c r="AC13" s="1001"/>
      <c r="AD13" s="1001"/>
      <c r="AE13" s="1001"/>
      <c r="AF13" s="1001"/>
      <c r="AG13" s="1001"/>
      <c r="AH13" s="1001"/>
      <c r="AI13" s="1001"/>
      <c r="AJ13" s="1001"/>
      <c r="AK13" s="1001"/>
      <c r="AL13" s="1001"/>
      <c r="AM13" s="1001"/>
      <c r="AN13" s="1001"/>
      <c r="AO13" s="1001"/>
      <c r="AP13" s="1001"/>
      <c r="AQ13" s="1001"/>
      <c r="AR13" s="1001"/>
      <c r="AS13" s="1001"/>
      <c r="AT13" s="1001"/>
      <c r="AU13" s="1001"/>
      <c r="AV13" s="1001"/>
      <c r="AW13" s="1001"/>
      <c r="AX13" s="1001"/>
      <c r="AY13" s="1001"/>
      <c r="AZ13" s="1001"/>
      <c r="BA13" s="1001"/>
      <c r="BB13" s="1001"/>
      <c r="BC13" s="1001"/>
      <c r="BD13" s="1001"/>
    </row>
    <row r="14" spans="1:56" s="408" customFormat="1" ht="12" customHeight="1" thickBot="1" x14ac:dyDescent="0.3">
      <c r="A14" s="1019" t="s">
        <v>63</v>
      </c>
      <c r="B14" s="1078" t="s">
        <v>64</v>
      </c>
      <c r="C14" s="818"/>
      <c r="D14" s="1055"/>
      <c r="E14" s="1055"/>
      <c r="F14" s="1055"/>
      <c r="G14" s="1055"/>
      <c r="H14" s="1151"/>
      <c r="I14" s="1151"/>
      <c r="J14" s="1151"/>
      <c r="K14" s="1001"/>
      <c r="L14" s="1001"/>
      <c r="M14" s="1001"/>
      <c r="N14" s="1001"/>
      <c r="O14" s="1001"/>
      <c r="P14" s="1001"/>
      <c r="Q14" s="1001"/>
      <c r="R14" s="1001"/>
      <c r="S14" s="1001"/>
      <c r="T14" s="1001"/>
      <c r="U14" s="1001"/>
      <c r="V14" s="1001"/>
      <c r="W14" s="1001"/>
      <c r="X14" s="1001"/>
      <c r="Y14" s="1001"/>
      <c r="Z14" s="1001"/>
      <c r="AA14" s="1001"/>
      <c r="AB14" s="1001"/>
      <c r="AC14" s="1001"/>
      <c r="AD14" s="1001"/>
      <c r="AE14" s="1001"/>
      <c r="AF14" s="1001"/>
      <c r="AG14" s="1001"/>
      <c r="AH14" s="1001"/>
      <c r="AI14" s="1001"/>
      <c r="AJ14" s="1001"/>
      <c r="AK14" s="1001"/>
      <c r="AL14" s="1001"/>
      <c r="AM14" s="1001"/>
      <c r="AN14" s="1001"/>
      <c r="AO14" s="1001"/>
      <c r="AP14" s="1001"/>
      <c r="AQ14" s="1001"/>
      <c r="AR14" s="1001"/>
      <c r="AS14" s="1001"/>
      <c r="AT14" s="1001"/>
      <c r="AU14" s="1001"/>
      <c r="AV14" s="1001"/>
      <c r="AW14" s="1001"/>
      <c r="AX14" s="1001"/>
      <c r="AY14" s="1001"/>
      <c r="AZ14" s="1001"/>
      <c r="BA14" s="1001"/>
      <c r="BB14" s="1001"/>
      <c r="BC14" s="1001"/>
      <c r="BD14" s="1001"/>
    </row>
    <row r="15" spans="1:56" s="408" customFormat="1" ht="12" customHeight="1" thickBot="1" x14ac:dyDescent="0.3">
      <c r="A15" s="1011" t="s">
        <v>65</v>
      </c>
      <c r="B15" s="1079" t="s">
        <v>66</v>
      </c>
      <c r="C15" s="817">
        <f t="shared" ref="C15:J15" si="1">SUM(C16:C20)</f>
        <v>0</v>
      </c>
      <c r="D15" s="817">
        <f t="shared" si="1"/>
        <v>0</v>
      </c>
      <c r="E15" s="817">
        <f t="shared" si="1"/>
        <v>0</v>
      </c>
      <c r="F15" s="817">
        <f t="shared" si="1"/>
        <v>0</v>
      </c>
      <c r="G15" s="817">
        <f t="shared" si="1"/>
        <v>0</v>
      </c>
      <c r="H15" s="817">
        <f t="shared" si="1"/>
        <v>0</v>
      </c>
      <c r="I15" s="817"/>
      <c r="J15" s="817">
        <f t="shared" si="1"/>
        <v>0</v>
      </c>
      <c r="K15" s="1001"/>
      <c r="L15" s="1001"/>
      <c r="M15" s="1001"/>
      <c r="N15" s="1001"/>
      <c r="O15" s="1001"/>
      <c r="P15" s="1001"/>
      <c r="Q15" s="1001"/>
      <c r="R15" s="1001"/>
      <c r="S15" s="1001"/>
      <c r="T15" s="1001"/>
      <c r="U15" s="1001"/>
      <c r="V15" s="1001"/>
      <c r="W15" s="1001"/>
      <c r="X15" s="1001"/>
      <c r="Y15" s="1001"/>
      <c r="Z15" s="1001"/>
      <c r="AA15" s="1001"/>
      <c r="AB15" s="1001"/>
      <c r="AC15" s="1001"/>
      <c r="AD15" s="1001"/>
      <c r="AE15" s="1001"/>
      <c r="AF15" s="1001"/>
      <c r="AG15" s="1001"/>
      <c r="AH15" s="1001"/>
      <c r="AI15" s="1001"/>
      <c r="AJ15" s="1001"/>
      <c r="AK15" s="1001"/>
      <c r="AL15" s="1001"/>
      <c r="AM15" s="1001"/>
      <c r="AN15" s="1001"/>
      <c r="AO15" s="1001"/>
      <c r="AP15" s="1001"/>
      <c r="AQ15" s="1001"/>
      <c r="AR15" s="1001"/>
      <c r="AS15" s="1001"/>
      <c r="AT15" s="1001"/>
      <c r="AU15" s="1001"/>
      <c r="AV15" s="1001"/>
      <c r="AW15" s="1001"/>
      <c r="AX15" s="1001"/>
      <c r="AY15" s="1001"/>
      <c r="AZ15" s="1001"/>
      <c r="BA15" s="1001"/>
      <c r="BB15" s="1001"/>
      <c r="BC15" s="1001"/>
      <c r="BD15" s="1001"/>
    </row>
    <row r="16" spans="1:56" s="408" customFormat="1" ht="12" customHeight="1" x14ac:dyDescent="0.25">
      <c r="A16" s="1013" t="s">
        <v>67</v>
      </c>
      <c r="B16" s="1076" t="s">
        <v>68</v>
      </c>
      <c r="C16" s="819"/>
      <c r="D16" s="1045"/>
      <c r="E16" s="1045"/>
      <c r="F16" s="1045"/>
      <c r="G16" s="1045"/>
      <c r="H16" s="1133"/>
      <c r="I16" s="1133"/>
      <c r="J16" s="1133"/>
      <c r="K16" s="1001"/>
      <c r="L16" s="1001"/>
      <c r="M16" s="1001"/>
      <c r="N16" s="1001"/>
      <c r="O16" s="1001"/>
      <c r="P16" s="1001"/>
      <c r="Q16" s="1001"/>
      <c r="R16" s="1001"/>
      <c r="S16" s="1001"/>
      <c r="T16" s="1001"/>
      <c r="U16" s="1001"/>
      <c r="V16" s="1001"/>
      <c r="W16" s="1001"/>
      <c r="X16" s="1001"/>
      <c r="Y16" s="1001"/>
      <c r="Z16" s="1001"/>
      <c r="AA16" s="1001"/>
      <c r="AB16" s="1001"/>
      <c r="AC16" s="1001"/>
      <c r="AD16" s="1001"/>
      <c r="AE16" s="1001"/>
      <c r="AF16" s="1001"/>
      <c r="AG16" s="1001"/>
      <c r="AH16" s="1001"/>
      <c r="AI16" s="1001"/>
      <c r="AJ16" s="1001"/>
      <c r="AK16" s="1001"/>
      <c r="AL16" s="1001"/>
      <c r="AM16" s="1001"/>
      <c r="AN16" s="1001"/>
      <c r="AO16" s="1001"/>
      <c r="AP16" s="1001"/>
      <c r="AQ16" s="1001"/>
      <c r="AR16" s="1001"/>
      <c r="AS16" s="1001"/>
      <c r="AT16" s="1001"/>
      <c r="AU16" s="1001"/>
      <c r="AV16" s="1001"/>
      <c r="AW16" s="1001"/>
      <c r="AX16" s="1001"/>
      <c r="AY16" s="1001"/>
      <c r="AZ16" s="1001"/>
      <c r="BA16" s="1001"/>
      <c r="BB16" s="1001"/>
      <c r="BC16" s="1001"/>
      <c r="BD16" s="1001"/>
    </row>
    <row r="17" spans="1:56" s="408" customFormat="1" ht="12" customHeight="1" x14ac:dyDescent="0.25">
      <c r="A17" s="1016" t="s">
        <v>69</v>
      </c>
      <c r="B17" s="1077" t="s">
        <v>70</v>
      </c>
      <c r="C17" s="815"/>
      <c r="D17" s="1048"/>
      <c r="E17" s="1048"/>
      <c r="F17" s="1048"/>
      <c r="G17" s="1048"/>
      <c r="H17" s="1135"/>
      <c r="I17" s="1135"/>
      <c r="J17" s="1135"/>
      <c r="K17" s="1001"/>
      <c r="L17" s="1001"/>
      <c r="M17" s="1001"/>
      <c r="N17" s="1001"/>
      <c r="O17" s="1001"/>
      <c r="P17" s="1001"/>
      <c r="Q17" s="1001"/>
      <c r="R17" s="1001"/>
      <c r="S17" s="1001"/>
      <c r="T17" s="1001"/>
      <c r="U17" s="1001"/>
      <c r="V17" s="1001"/>
      <c r="W17" s="1001"/>
      <c r="X17" s="1001"/>
      <c r="Y17" s="1001"/>
      <c r="Z17" s="1001"/>
      <c r="AA17" s="1001"/>
      <c r="AB17" s="1001"/>
      <c r="AC17" s="1001"/>
      <c r="AD17" s="1001"/>
      <c r="AE17" s="1001"/>
      <c r="AF17" s="1001"/>
      <c r="AG17" s="1001"/>
      <c r="AH17" s="1001"/>
      <c r="AI17" s="1001"/>
      <c r="AJ17" s="1001"/>
      <c r="AK17" s="1001"/>
      <c r="AL17" s="1001"/>
      <c r="AM17" s="1001"/>
      <c r="AN17" s="1001"/>
      <c r="AO17" s="1001"/>
      <c r="AP17" s="1001"/>
      <c r="AQ17" s="1001"/>
      <c r="AR17" s="1001"/>
      <c r="AS17" s="1001"/>
      <c r="AT17" s="1001"/>
      <c r="AU17" s="1001"/>
      <c r="AV17" s="1001"/>
      <c r="AW17" s="1001"/>
      <c r="AX17" s="1001"/>
      <c r="AY17" s="1001"/>
      <c r="AZ17" s="1001"/>
      <c r="BA17" s="1001"/>
      <c r="BB17" s="1001"/>
      <c r="BC17" s="1001"/>
      <c r="BD17" s="1001"/>
    </row>
    <row r="18" spans="1:56" s="408" customFormat="1" ht="12" customHeight="1" x14ac:dyDescent="0.25">
      <c r="A18" s="1016" t="s">
        <v>71</v>
      </c>
      <c r="B18" s="1077" t="s">
        <v>72</v>
      </c>
      <c r="C18" s="815"/>
      <c r="D18" s="1048"/>
      <c r="E18" s="1048"/>
      <c r="F18" s="1048"/>
      <c r="G18" s="1048"/>
      <c r="H18" s="1135"/>
      <c r="I18" s="1135"/>
      <c r="J18" s="1135"/>
      <c r="K18" s="1001"/>
      <c r="L18" s="1001"/>
      <c r="M18" s="1001"/>
      <c r="N18" s="1001"/>
      <c r="O18" s="1001"/>
      <c r="P18" s="1001"/>
      <c r="Q18" s="1001"/>
      <c r="R18" s="1001"/>
      <c r="S18" s="1001"/>
      <c r="T18" s="1001"/>
      <c r="U18" s="1001"/>
      <c r="V18" s="1001"/>
      <c r="W18" s="1001"/>
      <c r="X18" s="1001"/>
      <c r="Y18" s="1001"/>
      <c r="Z18" s="1001"/>
      <c r="AA18" s="1001"/>
      <c r="AB18" s="1001"/>
      <c r="AC18" s="1001"/>
      <c r="AD18" s="1001"/>
      <c r="AE18" s="1001"/>
      <c r="AF18" s="1001"/>
      <c r="AG18" s="1001"/>
      <c r="AH18" s="1001"/>
      <c r="AI18" s="1001"/>
      <c r="AJ18" s="1001"/>
      <c r="AK18" s="1001"/>
      <c r="AL18" s="1001"/>
      <c r="AM18" s="1001"/>
      <c r="AN18" s="1001"/>
      <c r="AO18" s="1001"/>
      <c r="AP18" s="1001"/>
      <c r="AQ18" s="1001"/>
      <c r="AR18" s="1001"/>
      <c r="AS18" s="1001"/>
      <c r="AT18" s="1001"/>
      <c r="AU18" s="1001"/>
      <c r="AV18" s="1001"/>
      <c r="AW18" s="1001"/>
      <c r="AX18" s="1001"/>
      <c r="AY18" s="1001"/>
      <c r="AZ18" s="1001"/>
      <c r="BA18" s="1001"/>
      <c r="BB18" s="1001"/>
      <c r="BC18" s="1001"/>
      <c r="BD18" s="1001"/>
    </row>
    <row r="19" spans="1:56" s="408" customFormat="1" ht="12" customHeight="1" x14ac:dyDescent="0.25">
      <c r="A19" s="1016" t="s">
        <v>73</v>
      </c>
      <c r="B19" s="1077" t="s">
        <v>74</v>
      </c>
      <c r="C19" s="815"/>
      <c r="D19" s="1048"/>
      <c r="E19" s="1048"/>
      <c r="F19" s="1048"/>
      <c r="G19" s="1048"/>
      <c r="H19" s="1135"/>
      <c r="I19" s="1135"/>
      <c r="J19" s="1135"/>
      <c r="K19" s="1001"/>
      <c r="L19" s="1001"/>
      <c r="M19" s="1001"/>
      <c r="N19" s="1001"/>
      <c r="O19" s="1001"/>
      <c r="P19" s="1001"/>
      <c r="Q19" s="1001"/>
      <c r="R19" s="1001"/>
      <c r="S19" s="1001"/>
      <c r="T19" s="1001"/>
      <c r="U19" s="1001"/>
      <c r="V19" s="1001"/>
      <c r="W19" s="1001"/>
      <c r="X19" s="1001"/>
      <c r="Y19" s="1001"/>
      <c r="Z19" s="1001"/>
      <c r="AA19" s="1001"/>
      <c r="AB19" s="1001"/>
      <c r="AC19" s="1001"/>
      <c r="AD19" s="1001"/>
      <c r="AE19" s="1001"/>
      <c r="AF19" s="1001"/>
      <c r="AG19" s="1001"/>
      <c r="AH19" s="1001"/>
      <c r="AI19" s="1001"/>
      <c r="AJ19" s="1001"/>
      <c r="AK19" s="1001"/>
      <c r="AL19" s="1001"/>
      <c r="AM19" s="1001"/>
      <c r="AN19" s="1001"/>
      <c r="AO19" s="1001"/>
      <c r="AP19" s="1001"/>
      <c r="AQ19" s="1001"/>
      <c r="AR19" s="1001"/>
      <c r="AS19" s="1001"/>
      <c r="AT19" s="1001"/>
      <c r="AU19" s="1001"/>
      <c r="AV19" s="1001"/>
      <c r="AW19" s="1001"/>
      <c r="AX19" s="1001"/>
      <c r="AY19" s="1001"/>
      <c r="AZ19" s="1001"/>
      <c r="BA19" s="1001"/>
      <c r="BB19" s="1001"/>
      <c r="BC19" s="1001"/>
      <c r="BD19" s="1001"/>
    </row>
    <row r="20" spans="1:56" s="408" customFormat="1" ht="12" customHeight="1" x14ac:dyDescent="0.25">
      <c r="A20" s="1016" t="s">
        <v>75</v>
      </c>
      <c r="B20" s="1077" t="s">
        <v>76</v>
      </c>
      <c r="C20" s="815">
        <f>SUM(D20:J20)</f>
        <v>0</v>
      </c>
      <c r="D20" s="1048"/>
      <c r="E20" s="1048"/>
      <c r="F20" s="1048"/>
      <c r="G20" s="1048"/>
      <c r="H20" s="1135"/>
      <c r="I20" s="1135"/>
      <c r="J20" s="1135"/>
      <c r="K20" s="1001"/>
      <c r="L20" s="1001"/>
      <c r="M20" s="1001"/>
      <c r="N20" s="1001"/>
      <c r="O20" s="1001"/>
      <c r="P20" s="1001"/>
      <c r="Q20" s="1001"/>
      <c r="R20" s="1001"/>
      <c r="S20" s="1001"/>
      <c r="T20" s="1001"/>
      <c r="U20" s="1001"/>
      <c r="V20" s="1001"/>
      <c r="W20" s="1001"/>
      <c r="X20" s="1001"/>
      <c r="Y20" s="1001"/>
      <c r="Z20" s="1001"/>
      <c r="AA20" s="1001"/>
      <c r="AB20" s="1001"/>
      <c r="AC20" s="1001"/>
      <c r="AD20" s="1001"/>
      <c r="AE20" s="1001"/>
      <c r="AF20" s="1001"/>
      <c r="AG20" s="1001"/>
      <c r="AH20" s="1001"/>
      <c r="AI20" s="1001"/>
      <c r="AJ20" s="1001"/>
      <c r="AK20" s="1001"/>
      <c r="AL20" s="1001"/>
      <c r="AM20" s="1001"/>
      <c r="AN20" s="1001"/>
      <c r="AO20" s="1001"/>
      <c r="AP20" s="1001"/>
      <c r="AQ20" s="1001"/>
      <c r="AR20" s="1001"/>
      <c r="AS20" s="1001"/>
      <c r="AT20" s="1001"/>
      <c r="AU20" s="1001"/>
      <c r="AV20" s="1001"/>
      <c r="AW20" s="1001"/>
      <c r="AX20" s="1001"/>
      <c r="AY20" s="1001"/>
      <c r="AZ20" s="1001"/>
      <c r="BA20" s="1001"/>
      <c r="BB20" s="1001"/>
      <c r="BC20" s="1001"/>
      <c r="BD20" s="1001"/>
    </row>
    <row r="21" spans="1:56" s="408" customFormat="1" ht="12" customHeight="1" thickBot="1" x14ac:dyDescent="0.3">
      <c r="A21" s="1019" t="s">
        <v>77</v>
      </c>
      <c r="B21" s="1078" t="s">
        <v>78</v>
      </c>
      <c r="C21" s="818"/>
      <c r="D21" s="1055"/>
      <c r="E21" s="1055"/>
      <c r="F21" s="1055"/>
      <c r="G21" s="1055"/>
      <c r="H21" s="1151"/>
      <c r="I21" s="1151"/>
      <c r="J21" s="1151"/>
      <c r="K21" s="1001"/>
      <c r="L21" s="1001"/>
      <c r="M21" s="1001"/>
      <c r="N21" s="1001"/>
      <c r="O21" s="1001"/>
      <c r="P21" s="1001"/>
      <c r="Q21" s="1001"/>
      <c r="R21" s="1001"/>
      <c r="S21" s="1001"/>
      <c r="T21" s="1001"/>
      <c r="U21" s="1001"/>
      <c r="V21" s="1001"/>
      <c r="W21" s="1001"/>
      <c r="X21" s="1001"/>
      <c r="Y21" s="1001"/>
      <c r="Z21" s="1001"/>
      <c r="AA21" s="1001"/>
      <c r="AB21" s="1001"/>
      <c r="AC21" s="1001"/>
      <c r="AD21" s="1001"/>
      <c r="AE21" s="1001"/>
      <c r="AF21" s="1001"/>
      <c r="AG21" s="1001"/>
      <c r="AH21" s="1001"/>
      <c r="AI21" s="1001"/>
      <c r="AJ21" s="1001"/>
      <c r="AK21" s="1001"/>
      <c r="AL21" s="1001"/>
      <c r="AM21" s="1001"/>
      <c r="AN21" s="1001"/>
      <c r="AO21" s="1001"/>
      <c r="AP21" s="1001"/>
      <c r="AQ21" s="1001"/>
      <c r="AR21" s="1001"/>
      <c r="AS21" s="1001"/>
      <c r="AT21" s="1001"/>
      <c r="AU21" s="1001"/>
      <c r="AV21" s="1001"/>
      <c r="AW21" s="1001"/>
      <c r="AX21" s="1001"/>
      <c r="AY21" s="1001"/>
      <c r="AZ21" s="1001"/>
      <c r="BA21" s="1001"/>
      <c r="BB21" s="1001"/>
      <c r="BC21" s="1001"/>
      <c r="BD21" s="1001"/>
    </row>
    <row r="22" spans="1:56" s="408" customFormat="1" ht="12" customHeight="1" thickBot="1" x14ac:dyDescent="0.3">
      <c r="A22" s="1011" t="s">
        <v>79</v>
      </c>
      <c r="B22" s="1011" t="s">
        <v>80</v>
      </c>
      <c r="C22" s="817">
        <f t="shared" ref="C22:J22" si="2">SUM(C23:C27)</f>
        <v>0</v>
      </c>
      <c r="D22" s="817">
        <f t="shared" si="2"/>
        <v>0</v>
      </c>
      <c r="E22" s="817">
        <f t="shared" si="2"/>
        <v>0</v>
      </c>
      <c r="F22" s="817">
        <f t="shared" si="2"/>
        <v>0</v>
      </c>
      <c r="G22" s="817">
        <f t="shared" si="2"/>
        <v>0</v>
      </c>
      <c r="H22" s="817">
        <f t="shared" si="2"/>
        <v>0</v>
      </c>
      <c r="I22" s="817"/>
      <c r="J22" s="817">
        <f t="shared" si="2"/>
        <v>0</v>
      </c>
      <c r="K22" s="1001"/>
      <c r="L22" s="1001"/>
      <c r="M22" s="1001"/>
      <c r="N22" s="1001"/>
      <c r="O22" s="1001"/>
      <c r="P22" s="1001"/>
      <c r="Q22" s="1001"/>
      <c r="R22" s="1001"/>
      <c r="S22" s="1001"/>
      <c r="T22" s="1001"/>
      <c r="U22" s="1001"/>
      <c r="V22" s="1001"/>
      <c r="W22" s="1001"/>
      <c r="X22" s="1001"/>
      <c r="Y22" s="1001"/>
      <c r="Z22" s="1001"/>
      <c r="AA22" s="1001"/>
      <c r="AB22" s="1001"/>
      <c r="AC22" s="1001"/>
      <c r="AD22" s="1001"/>
      <c r="AE22" s="1001"/>
      <c r="AF22" s="1001"/>
      <c r="AG22" s="1001"/>
      <c r="AH22" s="1001"/>
      <c r="AI22" s="1001"/>
      <c r="AJ22" s="1001"/>
      <c r="AK22" s="1001"/>
      <c r="AL22" s="1001"/>
      <c r="AM22" s="1001"/>
      <c r="AN22" s="1001"/>
      <c r="AO22" s="1001"/>
      <c r="AP22" s="1001"/>
      <c r="AQ22" s="1001"/>
      <c r="AR22" s="1001"/>
      <c r="AS22" s="1001"/>
      <c r="AT22" s="1001"/>
      <c r="AU22" s="1001"/>
      <c r="AV22" s="1001"/>
      <c r="AW22" s="1001"/>
      <c r="AX22" s="1001"/>
      <c r="AY22" s="1001"/>
      <c r="AZ22" s="1001"/>
      <c r="BA22" s="1001"/>
      <c r="BB22" s="1001"/>
      <c r="BC22" s="1001"/>
      <c r="BD22" s="1001"/>
    </row>
    <row r="23" spans="1:56" s="408" customFormat="1" ht="12" customHeight="1" x14ac:dyDescent="0.25">
      <c r="A23" s="1013" t="s">
        <v>81</v>
      </c>
      <c r="B23" s="1076" t="s">
        <v>82</v>
      </c>
      <c r="C23" s="819"/>
      <c r="D23" s="1045"/>
      <c r="E23" s="1045"/>
      <c r="F23" s="1045"/>
      <c r="G23" s="1045"/>
      <c r="H23" s="1133"/>
      <c r="I23" s="1133"/>
      <c r="J23" s="1133"/>
      <c r="K23" s="1001"/>
      <c r="L23" s="1001"/>
      <c r="M23" s="1001"/>
      <c r="N23" s="1001"/>
      <c r="O23" s="1001"/>
      <c r="P23" s="1001"/>
      <c r="Q23" s="1001"/>
      <c r="R23" s="1001"/>
      <c r="S23" s="1001"/>
      <c r="T23" s="1001"/>
      <c r="U23" s="1001"/>
      <c r="V23" s="1001"/>
      <c r="W23" s="1001"/>
      <c r="X23" s="1001"/>
      <c r="Y23" s="1001"/>
      <c r="Z23" s="1001"/>
      <c r="AA23" s="1001"/>
      <c r="AB23" s="1001"/>
      <c r="AC23" s="1001"/>
      <c r="AD23" s="1001"/>
      <c r="AE23" s="1001"/>
      <c r="AF23" s="1001"/>
      <c r="AG23" s="1001"/>
      <c r="AH23" s="1001"/>
      <c r="AI23" s="1001"/>
      <c r="AJ23" s="1001"/>
      <c r="AK23" s="1001"/>
      <c r="AL23" s="1001"/>
      <c r="AM23" s="1001"/>
      <c r="AN23" s="1001"/>
      <c r="AO23" s="1001"/>
      <c r="AP23" s="1001"/>
      <c r="AQ23" s="1001"/>
      <c r="AR23" s="1001"/>
      <c r="AS23" s="1001"/>
      <c r="AT23" s="1001"/>
      <c r="AU23" s="1001"/>
      <c r="AV23" s="1001"/>
      <c r="AW23" s="1001"/>
      <c r="AX23" s="1001"/>
      <c r="AY23" s="1001"/>
      <c r="AZ23" s="1001"/>
      <c r="BA23" s="1001"/>
      <c r="BB23" s="1001"/>
      <c r="BC23" s="1001"/>
      <c r="BD23" s="1001"/>
    </row>
    <row r="24" spans="1:56" s="408" customFormat="1" ht="12" customHeight="1" x14ac:dyDescent="0.25">
      <c r="A24" s="1016" t="s">
        <v>83</v>
      </c>
      <c r="B24" s="1077" t="s">
        <v>84</v>
      </c>
      <c r="C24" s="815"/>
      <c r="D24" s="1048"/>
      <c r="E24" s="1048"/>
      <c r="F24" s="1048"/>
      <c r="G24" s="1048"/>
      <c r="H24" s="1135"/>
      <c r="I24" s="1135"/>
      <c r="J24" s="1135"/>
      <c r="K24" s="1001"/>
      <c r="L24" s="1001"/>
      <c r="M24" s="1001"/>
      <c r="N24" s="1001"/>
      <c r="O24" s="1001"/>
      <c r="P24" s="1001"/>
      <c r="Q24" s="1001"/>
      <c r="R24" s="1001"/>
      <c r="S24" s="1001"/>
      <c r="T24" s="1001"/>
      <c r="U24" s="1001"/>
      <c r="V24" s="1001"/>
      <c r="W24" s="1001"/>
      <c r="X24" s="1001"/>
      <c r="Y24" s="1001"/>
      <c r="Z24" s="1001"/>
      <c r="AA24" s="1001"/>
      <c r="AB24" s="1001"/>
      <c r="AC24" s="1001"/>
      <c r="AD24" s="1001"/>
      <c r="AE24" s="1001"/>
      <c r="AF24" s="1001"/>
      <c r="AG24" s="1001"/>
      <c r="AH24" s="1001"/>
      <c r="AI24" s="1001"/>
      <c r="AJ24" s="1001"/>
      <c r="AK24" s="1001"/>
      <c r="AL24" s="1001"/>
      <c r="AM24" s="1001"/>
      <c r="AN24" s="1001"/>
      <c r="AO24" s="1001"/>
      <c r="AP24" s="1001"/>
      <c r="AQ24" s="1001"/>
      <c r="AR24" s="1001"/>
      <c r="AS24" s="1001"/>
      <c r="AT24" s="1001"/>
      <c r="AU24" s="1001"/>
      <c r="AV24" s="1001"/>
      <c r="AW24" s="1001"/>
      <c r="AX24" s="1001"/>
      <c r="AY24" s="1001"/>
      <c r="AZ24" s="1001"/>
      <c r="BA24" s="1001"/>
      <c r="BB24" s="1001"/>
      <c r="BC24" s="1001"/>
      <c r="BD24" s="1001"/>
    </row>
    <row r="25" spans="1:56" s="408" customFormat="1" ht="12" customHeight="1" x14ac:dyDescent="0.25">
      <c r="A25" s="1016" t="s">
        <v>85</v>
      </c>
      <c r="B25" s="1077" t="s">
        <v>86</v>
      </c>
      <c r="C25" s="815"/>
      <c r="D25" s="1048"/>
      <c r="E25" s="1048"/>
      <c r="F25" s="1048"/>
      <c r="G25" s="1048"/>
      <c r="H25" s="1135"/>
      <c r="I25" s="1135"/>
      <c r="J25" s="1135"/>
      <c r="K25" s="1001"/>
      <c r="L25" s="1001"/>
      <c r="M25" s="1001"/>
      <c r="N25" s="1001"/>
      <c r="O25" s="1001"/>
      <c r="P25" s="1001"/>
      <c r="Q25" s="1001"/>
      <c r="R25" s="1001"/>
      <c r="S25" s="1001"/>
      <c r="T25" s="1001"/>
      <c r="U25" s="1001"/>
      <c r="V25" s="1001"/>
      <c r="W25" s="1001"/>
      <c r="X25" s="1001"/>
      <c r="Y25" s="1001"/>
      <c r="Z25" s="1001"/>
      <c r="AA25" s="1001"/>
      <c r="AB25" s="1001"/>
      <c r="AC25" s="1001"/>
      <c r="AD25" s="1001"/>
      <c r="AE25" s="1001"/>
      <c r="AF25" s="1001"/>
      <c r="AG25" s="1001"/>
      <c r="AH25" s="1001"/>
      <c r="AI25" s="1001"/>
      <c r="AJ25" s="1001"/>
      <c r="AK25" s="1001"/>
      <c r="AL25" s="1001"/>
      <c r="AM25" s="1001"/>
      <c r="AN25" s="1001"/>
      <c r="AO25" s="1001"/>
      <c r="AP25" s="1001"/>
      <c r="AQ25" s="1001"/>
      <c r="AR25" s="1001"/>
      <c r="AS25" s="1001"/>
      <c r="AT25" s="1001"/>
      <c r="AU25" s="1001"/>
      <c r="AV25" s="1001"/>
      <c r="AW25" s="1001"/>
      <c r="AX25" s="1001"/>
      <c r="AY25" s="1001"/>
      <c r="AZ25" s="1001"/>
      <c r="BA25" s="1001"/>
      <c r="BB25" s="1001"/>
      <c r="BC25" s="1001"/>
      <c r="BD25" s="1001"/>
    </row>
    <row r="26" spans="1:56" s="408" customFormat="1" ht="12" customHeight="1" x14ac:dyDescent="0.25">
      <c r="A26" s="1016" t="s">
        <v>87</v>
      </c>
      <c r="B26" s="1077" t="s">
        <v>88</v>
      </c>
      <c r="C26" s="815"/>
      <c r="D26" s="1048"/>
      <c r="E26" s="1048"/>
      <c r="F26" s="1048"/>
      <c r="G26" s="1048"/>
      <c r="H26" s="1135"/>
      <c r="I26" s="1135"/>
      <c r="J26" s="1135"/>
      <c r="K26" s="1001"/>
      <c r="L26" s="1001"/>
      <c r="M26" s="1001"/>
      <c r="N26" s="1001"/>
      <c r="O26" s="1001"/>
      <c r="P26" s="1001"/>
      <c r="Q26" s="1001"/>
      <c r="R26" s="1001"/>
      <c r="S26" s="1001"/>
      <c r="T26" s="1001"/>
      <c r="U26" s="1001"/>
      <c r="V26" s="1001"/>
      <c r="W26" s="1001"/>
      <c r="X26" s="1001"/>
      <c r="Y26" s="1001"/>
      <c r="Z26" s="1001"/>
      <c r="AA26" s="1001"/>
      <c r="AB26" s="1001"/>
      <c r="AC26" s="1001"/>
      <c r="AD26" s="1001"/>
      <c r="AE26" s="1001"/>
      <c r="AF26" s="1001"/>
      <c r="AG26" s="1001"/>
      <c r="AH26" s="1001"/>
      <c r="AI26" s="1001"/>
      <c r="AJ26" s="1001"/>
      <c r="AK26" s="1001"/>
      <c r="AL26" s="1001"/>
      <c r="AM26" s="1001"/>
      <c r="AN26" s="1001"/>
      <c r="AO26" s="1001"/>
      <c r="AP26" s="1001"/>
      <c r="AQ26" s="1001"/>
      <c r="AR26" s="1001"/>
      <c r="AS26" s="1001"/>
      <c r="AT26" s="1001"/>
      <c r="AU26" s="1001"/>
      <c r="AV26" s="1001"/>
      <c r="AW26" s="1001"/>
      <c r="AX26" s="1001"/>
      <c r="AY26" s="1001"/>
      <c r="AZ26" s="1001"/>
      <c r="BA26" s="1001"/>
      <c r="BB26" s="1001"/>
      <c r="BC26" s="1001"/>
      <c r="BD26" s="1001"/>
    </row>
    <row r="27" spans="1:56" s="408" customFormat="1" ht="12" customHeight="1" x14ac:dyDescent="0.25">
      <c r="A27" s="1016" t="s">
        <v>89</v>
      </c>
      <c r="B27" s="1077" t="s">
        <v>90</v>
      </c>
      <c r="C27" s="815"/>
      <c r="D27" s="1048"/>
      <c r="E27" s="1048"/>
      <c r="F27" s="1048"/>
      <c r="G27" s="1048"/>
      <c r="H27" s="1135"/>
      <c r="I27" s="1135"/>
      <c r="J27" s="1135"/>
      <c r="K27" s="1001"/>
      <c r="L27" s="1001"/>
      <c r="M27" s="1001"/>
      <c r="N27" s="1001"/>
      <c r="O27" s="1001"/>
      <c r="P27" s="1001"/>
      <c r="Q27" s="1001"/>
      <c r="R27" s="1001"/>
      <c r="S27" s="1001"/>
      <c r="T27" s="1001"/>
      <c r="U27" s="1001"/>
      <c r="V27" s="1001"/>
      <c r="W27" s="1001"/>
      <c r="X27" s="1001"/>
      <c r="Y27" s="1001"/>
      <c r="Z27" s="1001"/>
      <c r="AA27" s="1001"/>
      <c r="AB27" s="1001"/>
      <c r="AC27" s="1001"/>
      <c r="AD27" s="1001"/>
      <c r="AE27" s="1001"/>
      <c r="AF27" s="1001"/>
      <c r="AG27" s="1001"/>
      <c r="AH27" s="1001"/>
      <c r="AI27" s="1001"/>
      <c r="AJ27" s="1001"/>
      <c r="AK27" s="1001"/>
      <c r="AL27" s="1001"/>
      <c r="AM27" s="1001"/>
      <c r="AN27" s="1001"/>
      <c r="AO27" s="1001"/>
      <c r="AP27" s="1001"/>
      <c r="AQ27" s="1001"/>
      <c r="AR27" s="1001"/>
      <c r="AS27" s="1001"/>
      <c r="AT27" s="1001"/>
      <c r="AU27" s="1001"/>
      <c r="AV27" s="1001"/>
      <c r="AW27" s="1001"/>
      <c r="AX27" s="1001"/>
      <c r="AY27" s="1001"/>
      <c r="AZ27" s="1001"/>
      <c r="BA27" s="1001"/>
      <c r="BB27" s="1001"/>
      <c r="BC27" s="1001"/>
      <c r="BD27" s="1001"/>
    </row>
    <row r="28" spans="1:56" s="408" customFormat="1" ht="12" customHeight="1" thickBot="1" x14ac:dyDescent="0.3">
      <c r="A28" s="1019" t="s">
        <v>91</v>
      </c>
      <c r="B28" s="1078" t="s">
        <v>92</v>
      </c>
      <c r="C28" s="818"/>
      <c r="D28" s="1055"/>
      <c r="E28" s="1055"/>
      <c r="F28" s="1055"/>
      <c r="G28" s="1055"/>
      <c r="H28" s="1151"/>
      <c r="I28" s="1151"/>
      <c r="J28" s="1151"/>
      <c r="K28" s="1001"/>
      <c r="L28" s="1001"/>
      <c r="M28" s="1001"/>
      <c r="N28" s="1001"/>
      <c r="O28" s="1001"/>
      <c r="P28" s="1001"/>
      <c r="Q28" s="1001"/>
      <c r="R28" s="1001"/>
      <c r="S28" s="1001"/>
      <c r="T28" s="1001"/>
      <c r="U28" s="1001"/>
      <c r="V28" s="1001"/>
      <c r="W28" s="1001"/>
      <c r="X28" s="1001"/>
      <c r="Y28" s="1001"/>
      <c r="Z28" s="1001"/>
      <c r="AA28" s="1001"/>
      <c r="AB28" s="1001"/>
      <c r="AC28" s="1001"/>
      <c r="AD28" s="1001"/>
      <c r="AE28" s="1001"/>
      <c r="AF28" s="1001"/>
      <c r="AG28" s="1001"/>
      <c r="AH28" s="1001"/>
      <c r="AI28" s="1001"/>
      <c r="AJ28" s="1001"/>
      <c r="AK28" s="1001"/>
      <c r="AL28" s="1001"/>
      <c r="AM28" s="1001"/>
      <c r="AN28" s="1001"/>
      <c r="AO28" s="1001"/>
      <c r="AP28" s="1001"/>
      <c r="AQ28" s="1001"/>
      <c r="AR28" s="1001"/>
      <c r="AS28" s="1001"/>
      <c r="AT28" s="1001"/>
      <c r="AU28" s="1001"/>
      <c r="AV28" s="1001"/>
      <c r="AW28" s="1001"/>
      <c r="AX28" s="1001"/>
      <c r="AY28" s="1001"/>
      <c r="AZ28" s="1001"/>
      <c r="BA28" s="1001"/>
      <c r="BB28" s="1001"/>
      <c r="BC28" s="1001"/>
      <c r="BD28" s="1001"/>
    </row>
    <row r="29" spans="1:56" s="408" customFormat="1" ht="12" customHeight="1" thickBot="1" x14ac:dyDescent="0.3">
      <c r="A29" s="1011" t="s">
        <v>93</v>
      </c>
      <c r="B29" s="1011" t="s">
        <v>94</v>
      </c>
      <c r="C29" s="816">
        <f t="shared" ref="C29:J29" si="3">+C30+C33+C34+C35</f>
        <v>0</v>
      </c>
      <c r="D29" s="816">
        <f t="shared" si="3"/>
        <v>0</v>
      </c>
      <c r="E29" s="816">
        <f t="shared" si="3"/>
        <v>0</v>
      </c>
      <c r="F29" s="816">
        <f t="shared" si="3"/>
        <v>0</v>
      </c>
      <c r="G29" s="816">
        <f t="shared" si="3"/>
        <v>0</v>
      </c>
      <c r="H29" s="816">
        <f t="shared" si="3"/>
        <v>0</v>
      </c>
      <c r="I29" s="816"/>
      <c r="J29" s="816">
        <f t="shared" si="3"/>
        <v>0</v>
      </c>
      <c r="K29" s="1001"/>
      <c r="L29" s="1001"/>
      <c r="M29" s="1001"/>
      <c r="N29" s="1001"/>
      <c r="O29" s="1001"/>
      <c r="P29" s="1001"/>
      <c r="Q29" s="1001"/>
      <c r="R29" s="1001"/>
      <c r="S29" s="1001"/>
      <c r="T29" s="1001"/>
      <c r="U29" s="1001"/>
      <c r="V29" s="1001"/>
      <c r="W29" s="1001"/>
      <c r="X29" s="1001"/>
      <c r="Y29" s="1001"/>
      <c r="Z29" s="1001"/>
      <c r="AA29" s="1001"/>
      <c r="AB29" s="1001"/>
      <c r="AC29" s="1001"/>
      <c r="AD29" s="1001"/>
      <c r="AE29" s="1001"/>
      <c r="AF29" s="1001"/>
      <c r="AG29" s="1001"/>
      <c r="AH29" s="1001"/>
      <c r="AI29" s="1001"/>
      <c r="AJ29" s="1001"/>
      <c r="AK29" s="1001"/>
      <c r="AL29" s="1001"/>
      <c r="AM29" s="1001"/>
      <c r="AN29" s="1001"/>
      <c r="AO29" s="1001"/>
      <c r="AP29" s="1001"/>
      <c r="AQ29" s="1001"/>
      <c r="AR29" s="1001"/>
      <c r="AS29" s="1001"/>
      <c r="AT29" s="1001"/>
      <c r="AU29" s="1001"/>
      <c r="AV29" s="1001"/>
      <c r="AW29" s="1001"/>
      <c r="AX29" s="1001"/>
      <c r="AY29" s="1001"/>
      <c r="AZ29" s="1001"/>
      <c r="BA29" s="1001"/>
      <c r="BB29" s="1001"/>
      <c r="BC29" s="1001"/>
      <c r="BD29" s="1001"/>
    </row>
    <row r="30" spans="1:56" s="408" customFormat="1" ht="12" customHeight="1" x14ac:dyDescent="0.25">
      <c r="A30" s="1013" t="s">
        <v>95</v>
      </c>
      <c r="B30" s="1076" t="s">
        <v>96</v>
      </c>
      <c r="C30" s="823">
        <f>+C31+C32</f>
        <v>0</v>
      </c>
      <c r="D30" s="1045"/>
      <c r="E30" s="1045"/>
      <c r="F30" s="1045"/>
      <c r="G30" s="1045"/>
      <c r="H30" s="1133"/>
      <c r="I30" s="1133"/>
      <c r="J30" s="1133"/>
      <c r="K30" s="1001"/>
      <c r="L30" s="1001"/>
      <c r="M30" s="1001"/>
      <c r="N30" s="1001"/>
      <c r="O30" s="1001"/>
      <c r="P30" s="1001"/>
      <c r="Q30" s="1001"/>
      <c r="R30" s="1001"/>
      <c r="S30" s="1001"/>
      <c r="T30" s="1001"/>
      <c r="U30" s="1001"/>
      <c r="V30" s="1001"/>
      <c r="W30" s="1001"/>
      <c r="X30" s="1001"/>
      <c r="Y30" s="1001"/>
      <c r="Z30" s="1001"/>
      <c r="AA30" s="1001"/>
      <c r="AB30" s="1001"/>
      <c r="AC30" s="1001"/>
      <c r="AD30" s="1001"/>
      <c r="AE30" s="1001"/>
      <c r="AF30" s="1001"/>
      <c r="AG30" s="1001"/>
      <c r="AH30" s="1001"/>
      <c r="AI30" s="1001"/>
      <c r="AJ30" s="1001"/>
      <c r="AK30" s="1001"/>
      <c r="AL30" s="1001"/>
      <c r="AM30" s="1001"/>
      <c r="AN30" s="1001"/>
      <c r="AO30" s="1001"/>
      <c r="AP30" s="1001"/>
      <c r="AQ30" s="1001"/>
      <c r="AR30" s="1001"/>
      <c r="AS30" s="1001"/>
      <c r="AT30" s="1001"/>
      <c r="AU30" s="1001"/>
      <c r="AV30" s="1001"/>
      <c r="AW30" s="1001"/>
      <c r="AX30" s="1001"/>
      <c r="AY30" s="1001"/>
      <c r="AZ30" s="1001"/>
      <c r="BA30" s="1001"/>
      <c r="BB30" s="1001"/>
      <c r="BC30" s="1001"/>
      <c r="BD30" s="1001"/>
    </row>
    <row r="31" spans="1:56" s="408" customFormat="1" ht="12" customHeight="1" x14ac:dyDescent="0.25">
      <c r="A31" s="1016" t="s">
        <v>97</v>
      </c>
      <c r="B31" s="1077" t="s">
        <v>98</v>
      </c>
      <c r="C31" s="815"/>
      <c r="D31" s="1048"/>
      <c r="E31" s="1048"/>
      <c r="F31" s="1048"/>
      <c r="G31" s="1048"/>
      <c r="H31" s="1135"/>
      <c r="I31" s="1135"/>
      <c r="J31" s="1135"/>
      <c r="K31" s="1001"/>
      <c r="L31" s="1001"/>
      <c r="M31" s="1001"/>
      <c r="N31" s="1001"/>
      <c r="O31" s="1001"/>
      <c r="P31" s="1001"/>
      <c r="Q31" s="1001"/>
      <c r="R31" s="1001"/>
      <c r="S31" s="1001"/>
      <c r="T31" s="1001"/>
      <c r="U31" s="1001"/>
      <c r="V31" s="1001"/>
      <c r="W31" s="1001"/>
      <c r="X31" s="1001"/>
      <c r="Y31" s="1001"/>
      <c r="Z31" s="1001"/>
      <c r="AA31" s="1001"/>
      <c r="AB31" s="1001"/>
      <c r="AC31" s="1001"/>
      <c r="AD31" s="1001"/>
      <c r="AE31" s="1001"/>
      <c r="AF31" s="1001"/>
      <c r="AG31" s="1001"/>
      <c r="AH31" s="1001"/>
      <c r="AI31" s="1001"/>
      <c r="AJ31" s="1001"/>
      <c r="AK31" s="1001"/>
      <c r="AL31" s="1001"/>
      <c r="AM31" s="1001"/>
      <c r="AN31" s="1001"/>
      <c r="AO31" s="1001"/>
      <c r="AP31" s="1001"/>
      <c r="AQ31" s="1001"/>
      <c r="AR31" s="1001"/>
      <c r="AS31" s="1001"/>
      <c r="AT31" s="1001"/>
      <c r="AU31" s="1001"/>
      <c r="AV31" s="1001"/>
      <c r="AW31" s="1001"/>
      <c r="AX31" s="1001"/>
      <c r="AY31" s="1001"/>
      <c r="AZ31" s="1001"/>
      <c r="BA31" s="1001"/>
      <c r="BB31" s="1001"/>
      <c r="BC31" s="1001"/>
      <c r="BD31" s="1001"/>
    </row>
    <row r="32" spans="1:56" s="408" customFormat="1" ht="12" customHeight="1" x14ac:dyDescent="0.25">
      <c r="A32" s="1016" t="s">
        <v>99</v>
      </c>
      <c r="B32" s="1077" t="s">
        <v>100</v>
      </c>
      <c r="C32" s="815"/>
      <c r="D32" s="1048"/>
      <c r="E32" s="1048"/>
      <c r="F32" s="1048"/>
      <c r="G32" s="1048"/>
      <c r="H32" s="1135"/>
      <c r="I32" s="1135"/>
      <c r="J32" s="1135"/>
      <c r="K32" s="1001"/>
      <c r="L32" s="1001"/>
      <c r="M32" s="1001"/>
      <c r="N32" s="1001"/>
      <c r="O32" s="1001"/>
      <c r="P32" s="1001"/>
      <c r="Q32" s="1001"/>
      <c r="R32" s="1001"/>
      <c r="S32" s="1001"/>
      <c r="T32" s="1001"/>
      <c r="U32" s="1001"/>
      <c r="V32" s="1001"/>
      <c r="W32" s="1001"/>
      <c r="X32" s="1001"/>
      <c r="Y32" s="1001"/>
      <c r="Z32" s="1001"/>
      <c r="AA32" s="1001"/>
      <c r="AB32" s="1001"/>
      <c r="AC32" s="1001"/>
      <c r="AD32" s="1001"/>
      <c r="AE32" s="1001"/>
      <c r="AF32" s="1001"/>
      <c r="AG32" s="1001"/>
      <c r="AH32" s="1001"/>
      <c r="AI32" s="1001"/>
      <c r="AJ32" s="1001"/>
      <c r="AK32" s="1001"/>
      <c r="AL32" s="1001"/>
      <c r="AM32" s="1001"/>
      <c r="AN32" s="1001"/>
      <c r="AO32" s="1001"/>
      <c r="AP32" s="1001"/>
      <c r="AQ32" s="1001"/>
      <c r="AR32" s="1001"/>
      <c r="AS32" s="1001"/>
      <c r="AT32" s="1001"/>
      <c r="AU32" s="1001"/>
      <c r="AV32" s="1001"/>
      <c r="AW32" s="1001"/>
      <c r="AX32" s="1001"/>
      <c r="AY32" s="1001"/>
      <c r="AZ32" s="1001"/>
      <c r="BA32" s="1001"/>
      <c r="BB32" s="1001"/>
      <c r="BC32" s="1001"/>
      <c r="BD32" s="1001"/>
    </row>
    <row r="33" spans="1:56" s="408" customFormat="1" ht="12" customHeight="1" x14ac:dyDescent="0.25">
      <c r="A33" s="1016" t="s">
        <v>101</v>
      </c>
      <c r="B33" s="1077" t="s">
        <v>102</v>
      </c>
      <c r="C33" s="815"/>
      <c r="D33" s="1048"/>
      <c r="E33" s="1048"/>
      <c r="F33" s="1048"/>
      <c r="G33" s="1048"/>
      <c r="H33" s="1135"/>
      <c r="I33" s="1135"/>
      <c r="J33" s="1135"/>
      <c r="K33" s="1001"/>
      <c r="L33" s="1001"/>
      <c r="M33" s="1001"/>
      <c r="N33" s="1001"/>
      <c r="O33" s="1001"/>
      <c r="P33" s="1001"/>
      <c r="Q33" s="1001"/>
      <c r="R33" s="1001"/>
      <c r="S33" s="1001"/>
      <c r="T33" s="1001"/>
      <c r="U33" s="1001"/>
      <c r="V33" s="1001"/>
      <c r="W33" s="1001"/>
      <c r="X33" s="1001"/>
      <c r="Y33" s="1001"/>
      <c r="Z33" s="1001"/>
      <c r="AA33" s="1001"/>
      <c r="AB33" s="1001"/>
      <c r="AC33" s="1001"/>
      <c r="AD33" s="1001"/>
      <c r="AE33" s="1001"/>
      <c r="AF33" s="1001"/>
      <c r="AG33" s="1001"/>
      <c r="AH33" s="1001"/>
      <c r="AI33" s="1001"/>
      <c r="AJ33" s="1001"/>
      <c r="AK33" s="1001"/>
      <c r="AL33" s="1001"/>
      <c r="AM33" s="1001"/>
      <c r="AN33" s="1001"/>
      <c r="AO33" s="1001"/>
      <c r="AP33" s="1001"/>
      <c r="AQ33" s="1001"/>
      <c r="AR33" s="1001"/>
      <c r="AS33" s="1001"/>
      <c r="AT33" s="1001"/>
      <c r="AU33" s="1001"/>
      <c r="AV33" s="1001"/>
      <c r="AW33" s="1001"/>
      <c r="AX33" s="1001"/>
      <c r="AY33" s="1001"/>
      <c r="AZ33" s="1001"/>
      <c r="BA33" s="1001"/>
      <c r="BB33" s="1001"/>
      <c r="BC33" s="1001"/>
      <c r="BD33" s="1001"/>
    </row>
    <row r="34" spans="1:56" s="408" customFormat="1" ht="12" customHeight="1" x14ac:dyDescent="0.25">
      <c r="A34" s="1016" t="s">
        <v>103</v>
      </c>
      <c r="B34" s="1077" t="s">
        <v>104</v>
      </c>
      <c r="C34" s="815"/>
      <c r="D34" s="1048"/>
      <c r="E34" s="1048"/>
      <c r="F34" s="1048"/>
      <c r="G34" s="1048"/>
      <c r="H34" s="1135"/>
      <c r="I34" s="1135"/>
      <c r="J34" s="1135"/>
      <c r="K34" s="1001"/>
      <c r="L34" s="1001"/>
      <c r="M34" s="1001"/>
      <c r="N34" s="1001"/>
      <c r="O34" s="1001"/>
      <c r="P34" s="1001"/>
      <c r="Q34" s="1001"/>
      <c r="R34" s="1001"/>
      <c r="S34" s="1001"/>
      <c r="T34" s="1001"/>
      <c r="U34" s="1001"/>
      <c r="V34" s="1001"/>
      <c r="W34" s="1001"/>
      <c r="X34" s="1001"/>
      <c r="Y34" s="1001"/>
      <c r="Z34" s="1001"/>
      <c r="AA34" s="1001"/>
      <c r="AB34" s="1001"/>
      <c r="AC34" s="1001"/>
      <c r="AD34" s="1001"/>
      <c r="AE34" s="1001"/>
      <c r="AF34" s="1001"/>
      <c r="AG34" s="1001"/>
      <c r="AH34" s="1001"/>
      <c r="AI34" s="1001"/>
      <c r="AJ34" s="1001"/>
      <c r="AK34" s="1001"/>
      <c r="AL34" s="1001"/>
      <c r="AM34" s="1001"/>
      <c r="AN34" s="1001"/>
      <c r="AO34" s="1001"/>
      <c r="AP34" s="1001"/>
      <c r="AQ34" s="1001"/>
      <c r="AR34" s="1001"/>
      <c r="AS34" s="1001"/>
      <c r="AT34" s="1001"/>
      <c r="AU34" s="1001"/>
      <c r="AV34" s="1001"/>
      <c r="AW34" s="1001"/>
      <c r="AX34" s="1001"/>
      <c r="AY34" s="1001"/>
      <c r="AZ34" s="1001"/>
      <c r="BA34" s="1001"/>
      <c r="BB34" s="1001"/>
      <c r="BC34" s="1001"/>
      <c r="BD34" s="1001"/>
    </row>
    <row r="35" spans="1:56" s="408" customFormat="1" ht="12" customHeight="1" thickBot="1" x14ac:dyDescent="0.3">
      <c r="A35" s="1019" t="s">
        <v>105</v>
      </c>
      <c r="B35" s="1078" t="s">
        <v>106</v>
      </c>
      <c r="C35" s="818"/>
      <c r="D35" s="1055"/>
      <c r="E35" s="1055"/>
      <c r="F35" s="1055"/>
      <c r="G35" s="1055"/>
      <c r="H35" s="1151"/>
      <c r="I35" s="1151"/>
      <c r="J35" s="1151"/>
      <c r="K35" s="1001"/>
      <c r="L35" s="1001"/>
      <c r="M35" s="1001"/>
      <c r="N35" s="1001"/>
      <c r="O35" s="1001"/>
      <c r="P35" s="1001"/>
      <c r="Q35" s="1001"/>
      <c r="R35" s="1001"/>
      <c r="S35" s="1001"/>
      <c r="T35" s="1001"/>
      <c r="U35" s="1001"/>
      <c r="V35" s="1001"/>
      <c r="W35" s="1001"/>
      <c r="X35" s="1001"/>
      <c r="Y35" s="1001"/>
      <c r="Z35" s="1001"/>
      <c r="AA35" s="1001"/>
      <c r="AB35" s="1001"/>
      <c r="AC35" s="1001"/>
      <c r="AD35" s="1001"/>
      <c r="AE35" s="1001"/>
      <c r="AF35" s="1001"/>
      <c r="AG35" s="1001"/>
      <c r="AH35" s="1001"/>
      <c r="AI35" s="1001"/>
      <c r="AJ35" s="1001"/>
      <c r="AK35" s="1001"/>
      <c r="AL35" s="1001"/>
      <c r="AM35" s="1001"/>
      <c r="AN35" s="1001"/>
      <c r="AO35" s="1001"/>
      <c r="AP35" s="1001"/>
      <c r="AQ35" s="1001"/>
      <c r="AR35" s="1001"/>
      <c r="AS35" s="1001"/>
      <c r="AT35" s="1001"/>
      <c r="AU35" s="1001"/>
      <c r="AV35" s="1001"/>
      <c r="AW35" s="1001"/>
      <c r="AX35" s="1001"/>
      <c r="AY35" s="1001"/>
      <c r="AZ35" s="1001"/>
      <c r="BA35" s="1001"/>
      <c r="BB35" s="1001"/>
      <c r="BC35" s="1001"/>
      <c r="BD35" s="1001"/>
    </row>
    <row r="36" spans="1:56" s="408" customFormat="1" ht="12" customHeight="1" thickBot="1" x14ac:dyDescent="0.3">
      <c r="A36" s="1011" t="s">
        <v>107</v>
      </c>
      <c r="B36" s="1011" t="s">
        <v>108</v>
      </c>
      <c r="C36" s="817">
        <f>SUM(D36:J36)</f>
        <v>1905000</v>
      </c>
      <c r="D36" s="817">
        <f t="shared" ref="D36:J36" si="4">SUM(D37:D46)</f>
        <v>0</v>
      </c>
      <c r="E36" s="817">
        <f t="shared" si="4"/>
        <v>0</v>
      </c>
      <c r="F36" s="817">
        <f t="shared" si="4"/>
        <v>0</v>
      </c>
      <c r="G36" s="817">
        <f>SUM(G37:G46)</f>
        <v>513675</v>
      </c>
      <c r="H36" s="817">
        <f>SUM(H37:H46)</f>
        <v>1391325</v>
      </c>
      <c r="I36" s="817"/>
      <c r="J36" s="817">
        <f t="shared" si="4"/>
        <v>0</v>
      </c>
      <c r="K36" s="1001"/>
      <c r="L36" s="1001"/>
      <c r="M36" s="1001"/>
      <c r="N36" s="1001"/>
      <c r="O36" s="1001"/>
      <c r="P36" s="1001"/>
      <c r="Q36" s="1001"/>
      <c r="R36" s="1001"/>
      <c r="S36" s="1001"/>
      <c r="T36" s="1001"/>
      <c r="U36" s="1001"/>
      <c r="V36" s="1001"/>
      <c r="W36" s="1001"/>
      <c r="X36" s="1001"/>
      <c r="Y36" s="1001"/>
      <c r="Z36" s="1001"/>
      <c r="AA36" s="1001"/>
      <c r="AB36" s="1001"/>
      <c r="AC36" s="1001"/>
      <c r="AD36" s="1001"/>
      <c r="AE36" s="1001"/>
      <c r="AF36" s="1001"/>
      <c r="AG36" s="1001"/>
      <c r="AH36" s="1001"/>
      <c r="AI36" s="1001"/>
      <c r="AJ36" s="1001"/>
      <c r="AK36" s="1001"/>
      <c r="AL36" s="1001"/>
      <c r="AM36" s="1001"/>
      <c r="AN36" s="1001"/>
      <c r="AO36" s="1001"/>
      <c r="AP36" s="1001"/>
      <c r="AQ36" s="1001"/>
      <c r="AR36" s="1001"/>
      <c r="AS36" s="1001"/>
      <c r="AT36" s="1001"/>
      <c r="AU36" s="1001"/>
      <c r="AV36" s="1001"/>
      <c r="AW36" s="1001"/>
      <c r="AX36" s="1001"/>
      <c r="AY36" s="1001"/>
      <c r="AZ36" s="1001"/>
      <c r="BA36" s="1001"/>
      <c r="BB36" s="1001"/>
      <c r="BC36" s="1001"/>
      <c r="BD36" s="1001"/>
    </row>
    <row r="37" spans="1:56" s="408" customFormat="1" ht="12" customHeight="1" x14ac:dyDescent="0.25">
      <c r="A37" s="1013" t="s">
        <v>109</v>
      </c>
      <c r="B37" s="1076" t="s">
        <v>110</v>
      </c>
      <c r="C37" s="819"/>
      <c r="D37" s="1045"/>
      <c r="E37" s="1045"/>
      <c r="F37" s="1045"/>
      <c r="G37" s="1045"/>
      <c r="H37" s="1045"/>
      <c r="I37" s="1045"/>
      <c r="J37" s="1133"/>
      <c r="K37" s="1001"/>
      <c r="L37" s="1001"/>
      <c r="M37" s="1001"/>
      <c r="N37" s="1001"/>
      <c r="O37" s="1001"/>
      <c r="P37" s="1001"/>
      <c r="Q37" s="1001"/>
      <c r="R37" s="1001"/>
      <c r="S37" s="1001"/>
      <c r="T37" s="1001"/>
      <c r="U37" s="1001"/>
      <c r="V37" s="1001"/>
      <c r="W37" s="1001"/>
      <c r="X37" s="1001"/>
      <c r="Y37" s="1001"/>
      <c r="Z37" s="1001"/>
      <c r="AA37" s="1001"/>
      <c r="AB37" s="1001"/>
      <c r="AC37" s="1001"/>
      <c r="AD37" s="1001"/>
      <c r="AE37" s="1001"/>
      <c r="AF37" s="1001"/>
      <c r="AG37" s="1001"/>
      <c r="AH37" s="1001"/>
      <c r="AI37" s="1001"/>
      <c r="AJ37" s="1001"/>
      <c r="AK37" s="1001"/>
      <c r="AL37" s="1001"/>
      <c r="AM37" s="1001"/>
      <c r="AN37" s="1001"/>
      <c r="AO37" s="1001"/>
      <c r="AP37" s="1001"/>
      <c r="AQ37" s="1001"/>
      <c r="AR37" s="1001"/>
      <c r="AS37" s="1001"/>
      <c r="AT37" s="1001"/>
      <c r="AU37" s="1001"/>
      <c r="AV37" s="1001"/>
      <c r="AW37" s="1001"/>
      <c r="AX37" s="1001"/>
      <c r="AY37" s="1001"/>
      <c r="AZ37" s="1001"/>
      <c r="BA37" s="1001"/>
      <c r="BB37" s="1001"/>
      <c r="BC37" s="1001"/>
      <c r="BD37" s="1001"/>
    </row>
    <row r="38" spans="1:56" s="408" customFormat="1" ht="12" customHeight="1" x14ac:dyDescent="0.25">
      <c r="A38" s="1016" t="s">
        <v>111</v>
      </c>
      <c r="B38" s="1077" t="s">
        <v>112</v>
      </c>
      <c r="C38" s="815"/>
      <c r="D38" s="1048"/>
      <c r="E38" s="1048"/>
      <c r="F38" s="1048"/>
      <c r="G38" s="1048">
        <v>500000</v>
      </c>
      <c r="H38" s="1048">
        <v>1290325</v>
      </c>
      <c r="I38" s="1048"/>
      <c r="J38" s="1135"/>
      <c r="K38" s="1001"/>
      <c r="L38" s="1001"/>
      <c r="M38" s="1001"/>
      <c r="N38" s="1001"/>
      <c r="O38" s="1001"/>
      <c r="P38" s="1001"/>
      <c r="Q38" s="1001"/>
      <c r="R38" s="1001"/>
      <c r="S38" s="1001"/>
      <c r="T38" s="1001"/>
      <c r="U38" s="1001"/>
      <c r="V38" s="1001"/>
      <c r="W38" s="1001"/>
      <c r="X38" s="1001"/>
      <c r="Y38" s="1001"/>
      <c r="Z38" s="1001"/>
      <c r="AA38" s="1001"/>
      <c r="AB38" s="1001"/>
      <c r="AC38" s="1001"/>
      <c r="AD38" s="1001"/>
      <c r="AE38" s="1001"/>
      <c r="AF38" s="1001"/>
      <c r="AG38" s="1001"/>
      <c r="AH38" s="1001"/>
      <c r="AI38" s="1001"/>
      <c r="AJ38" s="1001"/>
      <c r="AK38" s="1001"/>
      <c r="AL38" s="1001"/>
      <c r="AM38" s="1001"/>
      <c r="AN38" s="1001"/>
      <c r="AO38" s="1001"/>
      <c r="AP38" s="1001"/>
      <c r="AQ38" s="1001"/>
      <c r="AR38" s="1001"/>
      <c r="AS38" s="1001"/>
      <c r="AT38" s="1001"/>
      <c r="AU38" s="1001"/>
      <c r="AV38" s="1001"/>
      <c r="AW38" s="1001"/>
      <c r="AX38" s="1001"/>
      <c r="AY38" s="1001"/>
      <c r="AZ38" s="1001"/>
      <c r="BA38" s="1001"/>
      <c r="BB38" s="1001"/>
      <c r="BC38" s="1001"/>
      <c r="BD38" s="1001"/>
    </row>
    <row r="39" spans="1:56" s="408" customFormat="1" ht="12" customHeight="1" x14ac:dyDescent="0.25">
      <c r="A39" s="1016" t="s">
        <v>113</v>
      </c>
      <c r="B39" s="1077" t="s">
        <v>114</v>
      </c>
      <c r="C39" s="815"/>
      <c r="D39" s="1048"/>
      <c r="E39" s="1048"/>
      <c r="F39" s="1048"/>
      <c r="G39" s="1048"/>
      <c r="H39" s="1048">
        <v>100000</v>
      </c>
      <c r="I39" s="1048"/>
      <c r="J39" s="1135"/>
      <c r="K39" s="1001"/>
      <c r="L39" s="1001"/>
      <c r="M39" s="1001"/>
      <c r="N39" s="1001"/>
      <c r="O39" s="1001"/>
      <c r="P39" s="1001"/>
      <c r="Q39" s="1001"/>
      <c r="R39" s="1001"/>
      <c r="S39" s="1001"/>
      <c r="T39" s="1001"/>
      <c r="U39" s="1001"/>
      <c r="V39" s="1001"/>
      <c r="W39" s="1001"/>
      <c r="X39" s="1001"/>
      <c r="Y39" s="1001"/>
      <c r="Z39" s="1001"/>
      <c r="AA39" s="1001"/>
      <c r="AB39" s="1001"/>
      <c r="AC39" s="1001"/>
      <c r="AD39" s="1001"/>
      <c r="AE39" s="1001"/>
      <c r="AF39" s="1001"/>
      <c r="AG39" s="1001"/>
      <c r="AH39" s="1001"/>
      <c r="AI39" s="1001"/>
      <c r="AJ39" s="1001"/>
      <c r="AK39" s="1001"/>
      <c r="AL39" s="1001"/>
      <c r="AM39" s="1001"/>
      <c r="AN39" s="1001"/>
      <c r="AO39" s="1001"/>
      <c r="AP39" s="1001"/>
      <c r="AQ39" s="1001"/>
      <c r="AR39" s="1001"/>
      <c r="AS39" s="1001"/>
      <c r="AT39" s="1001"/>
      <c r="AU39" s="1001"/>
      <c r="AV39" s="1001"/>
      <c r="AW39" s="1001"/>
      <c r="AX39" s="1001"/>
      <c r="AY39" s="1001"/>
      <c r="AZ39" s="1001"/>
      <c r="BA39" s="1001"/>
      <c r="BB39" s="1001"/>
      <c r="BC39" s="1001"/>
      <c r="BD39" s="1001"/>
    </row>
    <row r="40" spans="1:56" s="408" customFormat="1" ht="12" customHeight="1" x14ac:dyDescent="0.25">
      <c r="A40" s="1016" t="s">
        <v>115</v>
      </c>
      <c r="B40" s="1077" t="s">
        <v>116</v>
      </c>
      <c r="C40" s="815"/>
      <c r="D40" s="1048"/>
      <c r="E40" s="1048"/>
      <c r="F40" s="1048"/>
      <c r="G40" s="1048"/>
      <c r="H40" s="1048"/>
      <c r="I40" s="1048"/>
      <c r="J40" s="1135"/>
      <c r="K40" s="1001"/>
      <c r="L40" s="1001"/>
      <c r="M40" s="1001"/>
      <c r="N40" s="1001"/>
      <c r="O40" s="1001"/>
      <c r="P40" s="1001"/>
      <c r="Q40" s="1001"/>
      <c r="R40" s="1001"/>
      <c r="S40" s="1001"/>
      <c r="T40" s="1001"/>
      <c r="U40" s="1001"/>
      <c r="V40" s="1001"/>
      <c r="W40" s="1001"/>
      <c r="X40" s="1001"/>
      <c r="Y40" s="1001"/>
      <c r="Z40" s="1001"/>
      <c r="AA40" s="1001"/>
      <c r="AB40" s="1001"/>
      <c r="AC40" s="1001"/>
      <c r="AD40" s="1001"/>
      <c r="AE40" s="1001"/>
      <c r="AF40" s="1001"/>
      <c r="AG40" s="1001"/>
      <c r="AH40" s="1001"/>
      <c r="AI40" s="1001"/>
      <c r="AJ40" s="1001"/>
      <c r="AK40" s="1001"/>
      <c r="AL40" s="1001"/>
      <c r="AM40" s="1001"/>
      <c r="AN40" s="1001"/>
      <c r="AO40" s="1001"/>
      <c r="AP40" s="1001"/>
      <c r="AQ40" s="1001"/>
      <c r="AR40" s="1001"/>
      <c r="AS40" s="1001"/>
      <c r="AT40" s="1001"/>
      <c r="AU40" s="1001"/>
      <c r="AV40" s="1001"/>
      <c r="AW40" s="1001"/>
      <c r="AX40" s="1001"/>
      <c r="AY40" s="1001"/>
      <c r="AZ40" s="1001"/>
      <c r="BA40" s="1001"/>
      <c r="BB40" s="1001"/>
      <c r="BC40" s="1001"/>
      <c r="BD40" s="1001"/>
    </row>
    <row r="41" spans="1:56" s="408" customFormat="1" ht="12" customHeight="1" x14ac:dyDescent="0.25">
      <c r="A41" s="1016" t="s">
        <v>117</v>
      </c>
      <c r="B41" s="1077" t="s">
        <v>118</v>
      </c>
      <c r="C41" s="815"/>
      <c r="D41" s="1048"/>
      <c r="E41" s="1048"/>
      <c r="F41" s="1048"/>
      <c r="G41" s="1048"/>
      <c r="H41" s="1048"/>
      <c r="I41" s="1048"/>
      <c r="J41" s="1135"/>
      <c r="K41" s="1001"/>
      <c r="L41" s="1001"/>
      <c r="M41" s="1001"/>
      <c r="N41" s="1001"/>
      <c r="O41" s="1001"/>
      <c r="P41" s="1001"/>
      <c r="Q41" s="1001"/>
      <c r="R41" s="1001"/>
      <c r="S41" s="1001"/>
      <c r="T41" s="1001"/>
      <c r="U41" s="1001"/>
      <c r="V41" s="1001"/>
      <c r="W41" s="1001"/>
      <c r="X41" s="1001"/>
      <c r="Y41" s="1001"/>
      <c r="Z41" s="1001"/>
      <c r="AA41" s="1001"/>
      <c r="AB41" s="1001"/>
      <c r="AC41" s="1001"/>
      <c r="AD41" s="1001"/>
      <c r="AE41" s="1001"/>
      <c r="AF41" s="1001"/>
      <c r="AG41" s="1001"/>
      <c r="AH41" s="1001"/>
      <c r="AI41" s="1001"/>
      <c r="AJ41" s="1001"/>
      <c r="AK41" s="1001"/>
      <c r="AL41" s="1001"/>
      <c r="AM41" s="1001"/>
      <c r="AN41" s="1001"/>
      <c r="AO41" s="1001"/>
      <c r="AP41" s="1001"/>
      <c r="AQ41" s="1001"/>
      <c r="AR41" s="1001"/>
      <c r="AS41" s="1001"/>
      <c r="AT41" s="1001"/>
      <c r="AU41" s="1001"/>
      <c r="AV41" s="1001"/>
      <c r="AW41" s="1001"/>
      <c r="AX41" s="1001"/>
      <c r="AY41" s="1001"/>
      <c r="AZ41" s="1001"/>
      <c r="BA41" s="1001"/>
      <c r="BB41" s="1001"/>
      <c r="BC41" s="1001"/>
      <c r="BD41" s="1001"/>
    </row>
    <row r="42" spans="1:56" s="408" customFormat="1" ht="12" customHeight="1" x14ac:dyDescent="0.25">
      <c r="A42" s="1016" t="s">
        <v>119</v>
      </c>
      <c r="B42" s="1077" t="s">
        <v>120</v>
      </c>
      <c r="C42" s="815"/>
      <c r="D42" s="1048"/>
      <c r="E42" s="1048"/>
      <c r="F42" s="1048"/>
      <c r="G42" s="1048">
        <v>13675</v>
      </c>
      <c r="H42" s="1048"/>
      <c r="I42" s="1048"/>
      <c r="J42" s="1135"/>
      <c r="K42" s="1001"/>
      <c r="L42" s="1001"/>
      <c r="M42" s="1001"/>
      <c r="N42" s="1001"/>
      <c r="O42" s="1001"/>
      <c r="P42" s="1001"/>
      <c r="Q42" s="1001"/>
      <c r="R42" s="1001"/>
      <c r="S42" s="1001"/>
      <c r="T42" s="1001"/>
      <c r="U42" s="1001"/>
      <c r="V42" s="1001"/>
      <c r="W42" s="1001"/>
      <c r="X42" s="1001"/>
      <c r="Y42" s="1001"/>
      <c r="Z42" s="1001"/>
      <c r="AA42" s="1001"/>
      <c r="AB42" s="1001"/>
      <c r="AC42" s="1001"/>
      <c r="AD42" s="1001"/>
      <c r="AE42" s="1001"/>
      <c r="AF42" s="1001"/>
      <c r="AG42" s="1001"/>
      <c r="AH42" s="1001"/>
      <c r="AI42" s="1001"/>
      <c r="AJ42" s="1001"/>
      <c r="AK42" s="1001"/>
      <c r="AL42" s="1001"/>
      <c r="AM42" s="1001"/>
      <c r="AN42" s="1001"/>
      <c r="AO42" s="1001"/>
      <c r="AP42" s="1001"/>
      <c r="AQ42" s="1001"/>
      <c r="AR42" s="1001"/>
      <c r="AS42" s="1001"/>
      <c r="AT42" s="1001"/>
      <c r="AU42" s="1001"/>
      <c r="AV42" s="1001"/>
      <c r="AW42" s="1001"/>
      <c r="AX42" s="1001"/>
      <c r="AY42" s="1001"/>
      <c r="AZ42" s="1001"/>
      <c r="BA42" s="1001"/>
      <c r="BB42" s="1001"/>
      <c r="BC42" s="1001"/>
      <c r="BD42" s="1001"/>
    </row>
    <row r="43" spans="1:56" s="408" customFormat="1" ht="12" customHeight="1" x14ac:dyDescent="0.25">
      <c r="A43" s="1016" t="s">
        <v>121</v>
      </c>
      <c r="B43" s="1077" t="s">
        <v>122</v>
      </c>
      <c r="C43" s="815"/>
      <c r="D43" s="1048"/>
      <c r="E43" s="1048"/>
      <c r="F43" s="1048"/>
      <c r="G43" s="1048"/>
      <c r="H43" s="1135"/>
      <c r="I43" s="1135"/>
      <c r="J43" s="1135"/>
      <c r="K43" s="1001"/>
      <c r="L43" s="1001"/>
      <c r="M43" s="1001"/>
      <c r="N43" s="1001"/>
      <c r="O43" s="1001"/>
      <c r="P43" s="1001"/>
      <c r="Q43" s="1001"/>
      <c r="R43" s="1001"/>
      <c r="S43" s="1001"/>
      <c r="T43" s="1001"/>
      <c r="U43" s="1001"/>
      <c r="V43" s="1001"/>
      <c r="W43" s="1001"/>
      <c r="X43" s="1001"/>
      <c r="Y43" s="1001"/>
      <c r="Z43" s="1001"/>
      <c r="AA43" s="1001"/>
      <c r="AB43" s="1001"/>
      <c r="AC43" s="1001"/>
      <c r="AD43" s="1001"/>
      <c r="AE43" s="1001"/>
      <c r="AF43" s="1001"/>
      <c r="AG43" s="1001"/>
      <c r="AH43" s="1001"/>
      <c r="AI43" s="1001"/>
      <c r="AJ43" s="1001"/>
      <c r="AK43" s="1001"/>
      <c r="AL43" s="1001"/>
      <c r="AM43" s="1001"/>
      <c r="AN43" s="1001"/>
      <c r="AO43" s="1001"/>
      <c r="AP43" s="1001"/>
      <c r="AQ43" s="1001"/>
      <c r="AR43" s="1001"/>
      <c r="AS43" s="1001"/>
      <c r="AT43" s="1001"/>
      <c r="AU43" s="1001"/>
      <c r="AV43" s="1001"/>
      <c r="AW43" s="1001"/>
      <c r="AX43" s="1001"/>
      <c r="AY43" s="1001"/>
      <c r="AZ43" s="1001"/>
      <c r="BA43" s="1001"/>
      <c r="BB43" s="1001"/>
      <c r="BC43" s="1001"/>
      <c r="BD43" s="1001"/>
    </row>
    <row r="44" spans="1:56" s="408" customFormat="1" ht="12" customHeight="1" x14ac:dyDescent="0.25">
      <c r="A44" s="1016" t="s">
        <v>123</v>
      </c>
      <c r="B44" s="1077" t="s">
        <v>124</v>
      </c>
      <c r="C44" s="815"/>
      <c r="D44" s="1048"/>
      <c r="E44" s="1048"/>
      <c r="F44" s="1048"/>
      <c r="G44" s="1048"/>
      <c r="H44" s="1135">
        <v>1000</v>
      </c>
      <c r="I44" s="1135"/>
      <c r="J44" s="1135"/>
      <c r="K44" s="1001"/>
      <c r="L44" s="1001"/>
      <c r="M44" s="1001"/>
      <c r="N44" s="1001"/>
      <c r="O44" s="1001"/>
      <c r="P44" s="1001"/>
      <c r="Q44" s="1001"/>
      <c r="R44" s="1001"/>
      <c r="S44" s="1001"/>
      <c r="T44" s="1001"/>
      <c r="U44" s="1001"/>
      <c r="V44" s="1001"/>
      <c r="W44" s="1001"/>
      <c r="X44" s="1001"/>
      <c r="Y44" s="1001"/>
      <c r="Z44" s="1001"/>
      <c r="AA44" s="1001"/>
      <c r="AB44" s="1001"/>
      <c r="AC44" s="1001"/>
      <c r="AD44" s="1001"/>
      <c r="AE44" s="1001"/>
      <c r="AF44" s="1001"/>
      <c r="AG44" s="1001"/>
      <c r="AH44" s="1001"/>
      <c r="AI44" s="1001"/>
      <c r="AJ44" s="1001"/>
      <c r="AK44" s="1001"/>
      <c r="AL44" s="1001"/>
      <c r="AM44" s="1001"/>
      <c r="AN44" s="1001"/>
      <c r="AO44" s="1001"/>
      <c r="AP44" s="1001"/>
      <c r="AQ44" s="1001"/>
      <c r="AR44" s="1001"/>
      <c r="AS44" s="1001"/>
      <c r="AT44" s="1001"/>
      <c r="AU44" s="1001"/>
      <c r="AV44" s="1001"/>
      <c r="AW44" s="1001"/>
      <c r="AX44" s="1001"/>
      <c r="AY44" s="1001"/>
      <c r="AZ44" s="1001"/>
      <c r="BA44" s="1001"/>
      <c r="BB44" s="1001"/>
      <c r="BC44" s="1001"/>
      <c r="BD44" s="1001"/>
    </row>
    <row r="45" spans="1:56" s="408" customFormat="1" ht="12" customHeight="1" x14ac:dyDescent="0.25">
      <c r="A45" s="1016" t="s">
        <v>125</v>
      </c>
      <c r="B45" s="1077" t="s">
        <v>126</v>
      </c>
      <c r="C45" s="822"/>
      <c r="D45" s="1048"/>
      <c r="E45" s="1048"/>
      <c r="F45" s="1048"/>
      <c r="G45" s="1048"/>
      <c r="H45" s="1135"/>
      <c r="I45" s="1135"/>
      <c r="J45" s="1135"/>
      <c r="K45" s="1001"/>
      <c r="L45" s="1001"/>
      <c r="M45" s="1001"/>
      <c r="N45" s="1001"/>
      <c r="O45" s="1001"/>
      <c r="P45" s="1001"/>
      <c r="Q45" s="1001"/>
      <c r="R45" s="1001"/>
      <c r="S45" s="1001"/>
      <c r="T45" s="1001"/>
      <c r="U45" s="1001"/>
      <c r="V45" s="1001"/>
      <c r="W45" s="1001"/>
      <c r="X45" s="1001"/>
      <c r="Y45" s="1001"/>
      <c r="Z45" s="1001"/>
      <c r="AA45" s="1001"/>
      <c r="AB45" s="1001"/>
      <c r="AC45" s="1001"/>
      <c r="AD45" s="1001"/>
      <c r="AE45" s="1001"/>
      <c r="AF45" s="1001"/>
      <c r="AG45" s="1001"/>
      <c r="AH45" s="1001"/>
      <c r="AI45" s="1001"/>
      <c r="AJ45" s="1001"/>
      <c r="AK45" s="1001"/>
      <c r="AL45" s="1001"/>
      <c r="AM45" s="1001"/>
      <c r="AN45" s="1001"/>
      <c r="AO45" s="1001"/>
      <c r="AP45" s="1001"/>
      <c r="AQ45" s="1001"/>
      <c r="AR45" s="1001"/>
      <c r="AS45" s="1001"/>
      <c r="AT45" s="1001"/>
      <c r="AU45" s="1001"/>
      <c r="AV45" s="1001"/>
      <c r="AW45" s="1001"/>
      <c r="AX45" s="1001"/>
      <c r="AY45" s="1001"/>
      <c r="AZ45" s="1001"/>
      <c r="BA45" s="1001"/>
      <c r="BB45" s="1001"/>
      <c r="BC45" s="1001"/>
      <c r="BD45" s="1001"/>
    </row>
    <row r="46" spans="1:56" s="408" customFormat="1" ht="12" customHeight="1" thickBot="1" x14ac:dyDescent="0.3">
      <c r="A46" s="1019" t="s">
        <v>127</v>
      </c>
      <c r="B46" s="1078" t="s">
        <v>128</v>
      </c>
      <c r="C46" s="1081"/>
      <c r="D46" s="1055"/>
      <c r="E46" s="1055"/>
      <c r="F46" s="1055"/>
      <c r="G46" s="1055"/>
      <c r="H46" s="1151"/>
      <c r="I46" s="1151"/>
      <c r="J46" s="1151"/>
      <c r="K46" s="1001"/>
      <c r="L46" s="1001"/>
      <c r="M46" s="1001"/>
      <c r="N46" s="1001"/>
      <c r="O46" s="1001"/>
      <c r="P46" s="1001"/>
      <c r="Q46" s="1001"/>
      <c r="R46" s="1001"/>
      <c r="S46" s="1001"/>
      <c r="T46" s="1001"/>
      <c r="U46" s="1001"/>
      <c r="V46" s="1001"/>
      <c r="W46" s="1001"/>
      <c r="X46" s="1001"/>
      <c r="Y46" s="1001"/>
      <c r="Z46" s="1001"/>
      <c r="AA46" s="1001"/>
      <c r="AB46" s="1001"/>
      <c r="AC46" s="1001"/>
      <c r="AD46" s="1001"/>
      <c r="AE46" s="1001"/>
      <c r="AF46" s="1001"/>
      <c r="AG46" s="1001"/>
      <c r="AH46" s="1001"/>
      <c r="AI46" s="1001"/>
      <c r="AJ46" s="1001"/>
      <c r="AK46" s="1001"/>
      <c r="AL46" s="1001"/>
      <c r="AM46" s="1001"/>
      <c r="AN46" s="1001"/>
      <c r="AO46" s="1001"/>
      <c r="AP46" s="1001"/>
      <c r="AQ46" s="1001"/>
      <c r="AR46" s="1001"/>
      <c r="AS46" s="1001"/>
      <c r="AT46" s="1001"/>
      <c r="AU46" s="1001"/>
      <c r="AV46" s="1001"/>
      <c r="AW46" s="1001"/>
      <c r="AX46" s="1001"/>
      <c r="AY46" s="1001"/>
      <c r="AZ46" s="1001"/>
      <c r="BA46" s="1001"/>
      <c r="BB46" s="1001"/>
      <c r="BC46" s="1001"/>
      <c r="BD46" s="1001"/>
    </row>
    <row r="47" spans="1:56" s="408" customFormat="1" ht="12" customHeight="1" thickBot="1" x14ac:dyDescent="0.3">
      <c r="A47" s="1011" t="s">
        <v>129</v>
      </c>
      <c r="B47" s="1011" t="s">
        <v>130</v>
      </c>
      <c r="C47" s="817">
        <f>SUM(C48:C52)</f>
        <v>0</v>
      </c>
      <c r="D47" s="1063"/>
      <c r="E47" s="1063"/>
      <c r="F47" s="1063"/>
      <c r="G47" s="1063"/>
      <c r="H47" s="1152"/>
      <c r="I47" s="1152"/>
      <c r="J47" s="1152"/>
      <c r="K47" s="1001"/>
      <c r="L47" s="1001"/>
      <c r="M47" s="1001"/>
      <c r="N47" s="1001"/>
      <c r="O47" s="1001"/>
      <c r="P47" s="1001"/>
      <c r="Q47" s="1001"/>
      <c r="R47" s="1001"/>
      <c r="S47" s="1001"/>
      <c r="T47" s="1001"/>
      <c r="U47" s="1001"/>
      <c r="V47" s="1001"/>
      <c r="W47" s="1001"/>
      <c r="X47" s="1001"/>
      <c r="Y47" s="1001"/>
      <c r="Z47" s="1001"/>
      <c r="AA47" s="1001"/>
      <c r="AB47" s="1001"/>
      <c r="AC47" s="1001"/>
      <c r="AD47" s="1001"/>
      <c r="AE47" s="1001"/>
      <c r="AF47" s="1001"/>
      <c r="AG47" s="1001"/>
      <c r="AH47" s="1001"/>
      <c r="AI47" s="1001"/>
      <c r="AJ47" s="1001"/>
      <c r="AK47" s="1001"/>
      <c r="AL47" s="1001"/>
      <c r="AM47" s="1001"/>
      <c r="AN47" s="1001"/>
      <c r="AO47" s="1001"/>
      <c r="AP47" s="1001"/>
      <c r="AQ47" s="1001"/>
      <c r="AR47" s="1001"/>
      <c r="AS47" s="1001"/>
      <c r="AT47" s="1001"/>
      <c r="AU47" s="1001"/>
      <c r="AV47" s="1001"/>
      <c r="AW47" s="1001"/>
      <c r="AX47" s="1001"/>
      <c r="AY47" s="1001"/>
      <c r="AZ47" s="1001"/>
      <c r="BA47" s="1001"/>
      <c r="BB47" s="1001"/>
      <c r="BC47" s="1001"/>
      <c r="BD47" s="1001"/>
    </row>
    <row r="48" spans="1:56" s="408" customFormat="1" ht="12" customHeight="1" x14ac:dyDescent="0.25">
      <c r="A48" s="1013" t="s">
        <v>131</v>
      </c>
      <c r="B48" s="1076" t="s">
        <v>132</v>
      </c>
      <c r="C48" s="1080"/>
      <c r="D48" s="1045"/>
      <c r="E48" s="1045"/>
      <c r="F48" s="1045"/>
      <c r="G48" s="1045"/>
      <c r="H48" s="1133"/>
      <c r="I48" s="1133"/>
      <c r="J48" s="1133"/>
      <c r="K48" s="1001"/>
      <c r="L48" s="1001"/>
      <c r="M48" s="1001"/>
      <c r="N48" s="1001"/>
      <c r="O48" s="1001"/>
      <c r="P48" s="1001"/>
      <c r="Q48" s="1001"/>
      <c r="R48" s="1001"/>
      <c r="S48" s="1001"/>
      <c r="T48" s="1001"/>
      <c r="U48" s="1001"/>
      <c r="V48" s="1001"/>
      <c r="W48" s="1001"/>
      <c r="X48" s="1001"/>
      <c r="Y48" s="1001"/>
      <c r="Z48" s="1001"/>
      <c r="AA48" s="1001"/>
      <c r="AB48" s="1001"/>
      <c r="AC48" s="1001"/>
      <c r="AD48" s="1001"/>
      <c r="AE48" s="1001"/>
      <c r="AF48" s="1001"/>
      <c r="AG48" s="1001"/>
      <c r="AH48" s="1001"/>
      <c r="AI48" s="1001"/>
      <c r="AJ48" s="1001"/>
      <c r="AK48" s="1001"/>
      <c r="AL48" s="1001"/>
      <c r="AM48" s="1001"/>
      <c r="AN48" s="1001"/>
      <c r="AO48" s="1001"/>
      <c r="AP48" s="1001"/>
      <c r="AQ48" s="1001"/>
      <c r="AR48" s="1001"/>
      <c r="AS48" s="1001"/>
      <c r="AT48" s="1001"/>
      <c r="AU48" s="1001"/>
      <c r="AV48" s="1001"/>
      <c r="AW48" s="1001"/>
      <c r="AX48" s="1001"/>
      <c r="AY48" s="1001"/>
      <c r="AZ48" s="1001"/>
      <c r="BA48" s="1001"/>
      <c r="BB48" s="1001"/>
      <c r="BC48" s="1001"/>
      <c r="BD48" s="1001"/>
    </row>
    <row r="49" spans="1:56" s="408" customFormat="1" ht="12" customHeight="1" x14ac:dyDescent="0.25">
      <c r="A49" s="1016" t="s">
        <v>133</v>
      </c>
      <c r="B49" s="1077" t="s">
        <v>134</v>
      </c>
      <c r="C49" s="822"/>
      <c r="D49" s="1048"/>
      <c r="E49" s="1048"/>
      <c r="F49" s="1048"/>
      <c r="G49" s="1048"/>
      <c r="H49" s="1135"/>
      <c r="I49" s="1135"/>
      <c r="J49" s="1135"/>
      <c r="K49" s="1001"/>
      <c r="L49" s="1001"/>
      <c r="M49" s="1001"/>
      <c r="N49" s="1001"/>
      <c r="O49" s="1001"/>
      <c r="P49" s="1001"/>
      <c r="Q49" s="1001"/>
      <c r="R49" s="1001"/>
      <c r="S49" s="1001"/>
      <c r="T49" s="1001"/>
      <c r="U49" s="1001"/>
      <c r="V49" s="1001"/>
      <c r="W49" s="1001"/>
      <c r="X49" s="1001"/>
      <c r="Y49" s="1001"/>
      <c r="Z49" s="1001"/>
      <c r="AA49" s="1001"/>
      <c r="AB49" s="1001"/>
      <c r="AC49" s="1001"/>
      <c r="AD49" s="1001"/>
      <c r="AE49" s="1001"/>
      <c r="AF49" s="1001"/>
      <c r="AG49" s="1001"/>
      <c r="AH49" s="1001"/>
      <c r="AI49" s="1001"/>
      <c r="AJ49" s="1001"/>
      <c r="AK49" s="1001"/>
      <c r="AL49" s="1001"/>
      <c r="AM49" s="1001"/>
      <c r="AN49" s="1001"/>
      <c r="AO49" s="1001"/>
      <c r="AP49" s="1001"/>
      <c r="AQ49" s="1001"/>
      <c r="AR49" s="1001"/>
      <c r="AS49" s="1001"/>
      <c r="AT49" s="1001"/>
      <c r="AU49" s="1001"/>
      <c r="AV49" s="1001"/>
      <c r="AW49" s="1001"/>
      <c r="AX49" s="1001"/>
      <c r="AY49" s="1001"/>
      <c r="AZ49" s="1001"/>
      <c r="BA49" s="1001"/>
      <c r="BB49" s="1001"/>
      <c r="BC49" s="1001"/>
      <c r="BD49" s="1001"/>
    </row>
    <row r="50" spans="1:56" s="408" customFormat="1" ht="12" customHeight="1" x14ac:dyDescent="0.25">
      <c r="A50" s="1016" t="s">
        <v>135</v>
      </c>
      <c r="B50" s="1077" t="s">
        <v>136</v>
      </c>
      <c r="C50" s="822"/>
      <c r="D50" s="1048"/>
      <c r="E50" s="1048"/>
      <c r="F50" s="1048"/>
      <c r="G50" s="1048"/>
      <c r="H50" s="1135"/>
      <c r="I50" s="1135"/>
      <c r="J50" s="1135"/>
      <c r="K50" s="1001"/>
      <c r="L50" s="1001"/>
      <c r="M50" s="1001"/>
      <c r="N50" s="1001"/>
      <c r="O50" s="1001"/>
      <c r="P50" s="1001"/>
      <c r="Q50" s="1001"/>
      <c r="R50" s="1001"/>
      <c r="S50" s="1001"/>
      <c r="T50" s="1001"/>
      <c r="U50" s="1001"/>
      <c r="V50" s="1001"/>
      <c r="W50" s="1001"/>
      <c r="X50" s="1001"/>
      <c r="Y50" s="1001"/>
      <c r="Z50" s="1001"/>
      <c r="AA50" s="1001"/>
      <c r="AB50" s="1001"/>
      <c r="AC50" s="1001"/>
      <c r="AD50" s="1001"/>
      <c r="AE50" s="1001"/>
      <c r="AF50" s="1001"/>
      <c r="AG50" s="1001"/>
      <c r="AH50" s="1001"/>
      <c r="AI50" s="1001"/>
      <c r="AJ50" s="1001"/>
      <c r="AK50" s="1001"/>
      <c r="AL50" s="1001"/>
      <c r="AM50" s="1001"/>
      <c r="AN50" s="1001"/>
      <c r="AO50" s="1001"/>
      <c r="AP50" s="1001"/>
      <c r="AQ50" s="1001"/>
      <c r="AR50" s="1001"/>
      <c r="AS50" s="1001"/>
      <c r="AT50" s="1001"/>
      <c r="AU50" s="1001"/>
      <c r="AV50" s="1001"/>
      <c r="AW50" s="1001"/>
      <c r="AX50" s="1001"/>
      <c r="AY50" s="1001"/>
      <c r="AZ50" s="1001"/>
      <c r="BA50" s="1001"/>
      <c r="BB50" s="1001"/>
      <c r="BC50" s="1001"/>
      <c r="BD50" s="1001"/>
    </row>
    <row r="51" spans="1:56" s="408" customFormat="1" ht="12" customHeight="1" x14ac:dyDescent="0.25">
      <c r="A51" s="1016" t="s">
        <v>137</v>
      </c>
      <c r="B51" s="1077" t="s">
        <v>138</v>
      </c>
      <c r="C51" s="822"/>
      <c r="D51" s="1048"/>
      <c r="E51" s="1048"/>
      <c r="F51" s="1048"/>
      <c r="G51" s="1048"/>
      <c r="H51" s="1135"/>
      <c r="I51" s="1135"/>
      <c r="J51" s="1135"/>
      <c r="K51" s="1001"/>
      <c r="L51" s="1001"/>
      <c r="M51" s="1001"/>
      <c r="N51" s="1001"/>
      <c r="O51" s="1001"/>
      <c r="P51" s="1001"/>
      <c r="Q51" s="1001"/>
      <c r="R51" s="1001"/>
      <c r="S51" s="1001"/>
      <c r="T51" s="1001"/>
      <c r="U51" s="1001"/>
      <c r="V51" s="1001"/>
      <c r="W51" s="1001"/>
      <c r="X51" s="1001"/>
      <c r="Y51" s="1001"/>
      <c r="Z51" s="1001"/>
      <c r="AA51" s="1001"/>
      <c r="AB51" s="1001"/>
      <c r="AC51" s="1001"/>
      <c r="AD51" s="1001"/>
      <c r="AE51" s="1001"/>
      <c r="AF51" s="1001"/>
      <c r="AG51" s="1001"/>
      <c r="AH51" s="1001"/>
      <c r="AI51" s="1001"/>
      <c r="AJ51" s="1001"/>
      <c r="AK51" s="1001"/>
      <c r="AL51" s="1001"/>
      <c r="AM51" s="1001"/>
      <c r="AN51" s="1001"/>
      <c r="AO51" s="1001"/>
      <c r="AP51" s="1001"/>
      <c r="AQ51" s="1001"/>
      <c r="AR51" s="1001"/>
      <c r="AS51" s="1001"/>
      <c r="AT51" s="1001"/>
      <c r="AU51" s="1001"/>
      <c r="AV51" s="1001"/>
      <c r="AW51" s="1001"/>
      <c r="AX51" s="1001"/>
      <c r="AY51" s="1001"/>
      <c r="AZ51" s="1001"/>
      <c r="BA51" s="1001"/>
      <c r="BB51" s="1001"/>
      <c r="BC51" s="1001"/>
      <c r="BD51" s="1001"/>
    </row>
    <row r="52" spans="1:56" s="408" customFormat="1" ht="12" customHeight="1" thickBot="1" x14ac:dyDescent="0.3">
      <c r="A52" s="1019" t="s">
        <v>139</v>
      </c>
      <c r="B52" s="1078" t="s">
        <v>140</v>
      </c>
      <c r="C52" s="1081"/>
      <c r="D52" s="1055"/>
      <c r="E52" s="1055"/>
      <c r="F52" s="1055"/>
      <c r="G52" s="1055"/>
      <c r="H52" s="1151"/>
      <c r="I52" s="1151"/>
      <c r="J52" s="1151"/>
      <c r="K52" s="1001"/>
      <c r="L52" s="1001"/>
      <c r="M52" s="1001"/>
      <c r="N52" s="1001"/>
      <c r="O52" s="1001"/>
      <c r="P52" s="1001"/>
      <c r="Q52" s="1001"/>
      <c r="R52" s="1001"/>
      <c r="S52" s="1001"/>
      <c r="T52" s="1001"/>
      <c r="U52" s="1001"/>
      <c r="V52" s="1001"/>
      <c r="W52" s="1001"/>
      <c r="X52" s="1001"/>
      <c r="Y52" s="1001"/>
      <c r="Z52" s="1001"/>
      <c r="AA52" s="1001"/>
      <c r="AB52" s="1001"/>
      <c r="AC52" s="1001"/>
      <c r="AD52" s="1001"/>
      <c r="AE52" s="1001"/>
      <c r="AF52" s="1001"/>
      <c r="AG52" s="1001"/>
      <c r="AH52" s="1001"/>
      <c r="AI52" s="1001"/>
      <c r="AJ52" s="1001"/>
      <c r="AK52" s="1001"/>
      <c r="AL52" s="1001"/>
      <c r="AM52" s="1001"/>
      <c r="AN52" s="1001"/>
      <c r="AO52" s="1001"/>
      <c r="AP52" s="1001"/>
      <c r="AQ52" s="1001"/>
      <c r="AR52" s="1001"/>
      <c r="AS52" s="1001"/>
      <c r="AT52" s="1001"/>
      <c r="AU52" s="1001"/>
      <c r="AV52" s="1001"/>
      <c r="AW52" s="1001"/>
      <c r="AX52" s="1001"/>
      <c r="AY52" s="1001"/>
      <c r="AZ52" s="1001"/>
      <c r="BA52" s="1001"/>
      <c r="BB52" s="1001"/>
      <c r="BC52" s="1001"/>
      <c r="BD52" s="1001"/>
    </row>
    <row r="53" spans="1:56" s="408" customFormat="1" ht="17.25" customHeight="1" thickBot="1" x14ac:dyDescent="0.3">
      <c r="A53" s="1011" t="s">
        <v>141</v>
      </c>
      <c r="B53" s="1011" t="s">
        <v>142</v>
      </c>
      <c r="C53" s="817">
        <f>SUM(C54:C56)</f>
        <v>0</v>
      </c>
      <c r="D53" s="1063"/>
      <c r="E53" s="1063"/>
      <c r="F53" s="1063"/>
      <c r="G53" s="1063"/>
      <c r="H53" s="1152"/>
      <c r="I53" s="1152"/>
      <c r="J53" s="1152"/>
      <c r="K53" s="1001"/>
      <c r="L53" s="1001"/>
      <c r="M53" s="1001"/>
      <c r="N53" s="1001"/>
      <c r="O53" s="1001"/>
      <c r="P53" s="1001"/>
      <c r="Q53" s="1001"/>
      <c r="R53" s="1001"/>
      <c r="S53" s="1001"/>
      <c r="T53" s="1001"/>
      <c r="U53" s="1001"/>
      <c r="V53" s="1001"/>
      <c r="W53" s="1001"/>
      <c r="X53" s="1001"/>
      <c r="Y53" s="1001"/>
      <c r="Z53" s="1001"/>
      <c r="AA53" s="1001"/>
      <c r="AB53" s="1001"/>
      <c r="AC53" s="1001"/>
      <c r="AD53" s="1001"/>
      <c r="AE53" s="1001"/>
      <c r="AF53" s="1001"/>
      <c r="AG53" s="1001"/>
      <c r="AH53" s="1001"/>
      <c r="AI53" s="1001"/>
      <c r="AJ53" s="1001"/>
      <c r="AK53" s="1001"/>
      <c r="AL53" s="1001"/>
      <c r="AM53" s="1001"/>
      <c r="AN53" s="1001"/>
      <c r="AO53" s="1001"/>
      <c r="AP53" s="1001"/>
      <c r="AQ53" s="1001"/>
      <c r="AR53" s="1001"/>
      <c r="AS53" s="1001"/>
      <c r="AT53" s="1001"/>
      <c r="AU53" s="1001"/>
      <c r="AV53" s="1001"/>
      <c r="AW53" s="1001"/>
      <c r="AX53" s="1001"/>
      <c r="AY53" s="1001"/>
      <c r="AZ53" s="1001"/>
      <c r="BA53" s="1001"/>
      <c r="BB53" s="1001"/>
      <c r="BC53" s="1001"/>
      <c r="BD53" s="1001"/>
    </row>
    <row r="54" spans="1:56" s="408" customFormat="1" ht="12" customHeight="1" x14ac:dyDescent="0.25">
      <c r="A54" s="1013" t="s">
        <v>143</v>
      </c>
      <c r="B54" s="1076" t="s">
        <v>144</v>
      </c>
      <c r="C54" s="819"/>
      <c r="D54" s="1045"/>
      <c r="E54" s="1045"/>
      <c r="F54" s="1045"/>
      <c r="G54" s="1045"/>
      <c r="H54" s="1133"/>
      <c r="I54" s="1133"/>
      <c r="J54" s="1133"/>
      <c r="K54" s="1001"/>
      <c r="L54" s="1001"/>
      <c r="M54" s="1001"/>
      <c r="N54" s="1001"/>
      <c r="O54" s="1001"/>
      <c r="P54" s="1001"/>
      <c r="Q54" s="1001"/>
      <c r="R54" s="1001"/>
      <c r="S54" s="1001"/>
      <c r="T54" s="1001"/>
      <c r="U54" s="1001"/>
      <c r="V54" s="1001"/>
      <c r="W54" s="1001"/>
      <c r="X54" s="1001"/>
      <c r="Y54" s="1001"/>
      <c r="Z54" s="1001"/>
      <c r="AA54" s="1001"/>
      <c r="AB54" s="1001"/>
      <c r="AC54" s="1001"/>
      <c r="AD54" s="1001"/>
      <c r="AE54" s="1001"/>
      <c r="AF54" s="1001"/>
      <c r="AG54" s="1001"/>
      <c r="AH54" s="1001"/>
      <c r="AI54" s="1001"/>
      <c r="AJ54" s="1001"/>
      <c r="AK54" s="1001"/>
      <c r="AL54" s="1001"/>
      <c r="AM54" s="1001"/>
      <c r="AN54" s="1001"/>
      <c r="AO54" s="1001"/>
      <c r="AP54" s="1001"/>
      <c r="AQ54" s="1001"/>
      <c r="AR54" s="1001"/>
      <c r="AS54" s="1001"/>
      <c r="AT54" s="1001"/>
      <c r="AU54" s="1001"/>
      <c r="AV54" s="1001"/>
      <c r="AW54" s="1001"/>
      <c r="AX54" s="1001"/>
      <c r="AY54" s="1001"/>
      <c r="AZ54" s="1001"/>
      <c r="BA54" s="1001"/>
      <c r="BB54" s="1001"/>
      <c r="BC54" s="1001"/>
      <c r="BD54" s="1001"/>
    </row>
    <row r="55" spans="1:56" s="408" customFormat="1" ht="12" customHeight="1" x14ac:dyDescent="0.25">
      <c r="A55" s="1016" t="s">
        <v>145</v>
      </c>
      <c r="B55" s="1077" t="s">
        <v>146</v>
      </c>
      <c r="C55" s="815"/>
      <c r="D55" s="1048"/>
      <c r="E55" s="1048"/>
      <c r="F55" s="1048"/>
      <c r="G55" s="1048"/>
      <c r="H55" s="1135"/>
      <c r="I55" s="1135"/>
      <c r="J55" s="1135"/>
      <c r="K55" s="1001"/>
      <c r="L55" s="1001"/>
      <c r="M55" s="1001"/>
      <c r="N55" s="1001"/>
      <c r="O55" s="1001"/>
      <c r="P55" s="1001"/>
      <c r="Q55" s="1001"/>
      <c r="R55" s="1001"/>
      <c r="S55" s="1001"/>
      <c r="T55" s="1001"/>
      <c r="U55" s="1001"/>
      <c r="V55" s="1001"/>
      <c r="W55" s="1001"/>
      <c r="X55" s="1001"/>
      <c r="Y55" s="1001"/>
      <c r="Z55" s="1001"/>
      <c r="AA55" s="1001"/>
      <c r="AB55" s="1001"/>
      <c r="AC55" s="1001"/>
      <c r="AD55" s="1001"/>
      <c r="AE55" s="1001"/>
      <c r="AF55" s="1001"/>
      <c r="AG55" s="1001"/>
      <c r="AH55" s="1001"/>
      <c r="AI55" s="1001"/>
      <c r="AJ55" s="1001"/>
      <c r="AK55" s="1001"/>
      <c r="AL55" s="1001"/>
      <c r="AM55" s="1001"/>
      <c r="AN55" s="1001"/>
      <c r="AO55" s="1001"/>
      <c r="AP55" s="1001"/>
      <c r="AQ55" s="1001"/>
      <c r="AR55" s="1001"/>
      <c r="AS55" s="1001"/>
      <c r="AT55" s="1001"/>
      <c r="AU55" s="1001"/>
      <c r="AV55" s="1001"/>
      <c r="AW55" s="1001"/>
      <c r="AX55" s="1001"/>
      <c r="AY55" s="1001"/>
      <c r="AZ55" s="1001"/>
      <c r="BA55" s="1001"/>
      <c r="BB55" s="1001"/>
      <c r="BC55" s="1001"/>
      <c r="BD55" s="1001"/>
    </row>
    <row r="56" spans="1:56" s="408" customFormat="1" ht="12" customHeight="1" x14ac:dyDescent="0.25">
      <c r="A56" s="1016" t="s">
        <v>147</v>
      </c>
      <c r="B56" s="1077" t="s">
        <v>148</v>
      </c>
      <c r="C56" s="815">
        <f>SUM(D56:J56)</f>
        <v>0</v>
      </c>
      <c r="D56" s="1048"/>
      <c r="E56" s="1048"/>
      <c r="F56" s="1048"/>
      <c r="G56" s="1048"/>
      <c r="H56" s="1135"/>
      <c r="I56" s="1135"/>
      <c r="J56" s="1135"/>
      <c r="K56" s="1001"/>
      <c r="L56" s="1001"/>
      <c r="M56" s="1001"/>
      <c r="N56" s="1001"/>
      <c r="O56" s="1001"/>
      <c r="P56" s="1001"/>
      <c r="Q56" s="1001"/>
      <c r="R56" s="1001"/>
      <c r="S56" s="1001"/>
      <c r="T56" s="1001"/>
      <c r="U56" s="1001"/>
      <c r="V56" s="1001"/>
      <c r="W56" s="1001"/>
      <c r="X56" s="1001"/>
      <c r="Y56" s="1001"/>
      <c r="Z56" s="1001"/>
      <c r="AA56" s="1001"/>
      <c r="AB56" s="1001"/>
      <c r="AC56" s="1001"/>
      <c r="AD56" s="1001"/>
      <c r="AE56" s="1001"/>
      <c r="AF56" s="1001"/>
      <c r="AG56" s="1001"/>
      <c r="AH56" s="1001"/>
      <c r="AI56" s="1001"/>
      <c r="AJ56" s="1001"/>
      <c r="AK56" s="1001"/>
      <c r="AL56" s="1001"/>
      <c r="AM56" s="1001"/>
      <c r="AN56" s="1001"/>
      <c r="AO56" s="1001"/>
      <c r="AP56" s="1001"/>
      <c r="AQ56" s="1001"/>
      <c r="AR56" s="1001"/>
      <c r="AS56" s="1001"/>
      <c r="AT56" s="1001"/>
      <c r="AU56" s="1001"/>
      <c r="AV56" s="1001"/>
      <c r="AW56" s="1001"/>
      <c r="AX56" s="1001"/>
      <c r="AY56" s="1001"/>
      <c r="AZ56" s="1001"/>
      <c r="BA56" s="1001"/>
      <c r="BB56" s="1001"/>
      <c r="BC56" s="1001"/>
      <c r="BD56" s="1001"/>
    </row>
    <row r="57" spans="1:56" s="408" customFormat="1" ht="12" customHeight="1" thickBot="1" x14ac:dyDescent="0.3">
      <c r="A57" s="1019" t="s">
        <v>149</v>
      </c>
      <c r="B57" s="1078" t="s">
        <v>150</v>
      </c>
      <c r="C57" s="818"/>
      <c r="D57" s="1055"/>
      <c r="E57" s="1055"/>
      <c r="F57" s="1055"/>
      <c r="G57" s="1055"/>
      <c r="H57" s="1151"/>
      <c r="I57" s="1151"/>
      <c r="J57" s="1151"/>
      <c r="K57" s="1001"/>
      <c r="L57" s="1001"/>
      <c r="M57" s="1001"/>
      <c r="N57" s="1001"/>
      <c r="O57" s="1001"/>
      <c r="P57" s="1001"/>
      <c r="Q57" s="1001"/>
      <c r="R57" s="1001"/>
      <c r="S57" s="1001"/>
      <c r="T57" s="1001"/>
      <c r="U57" s="1001"/>
      <c r="V57" s="1001"/>
      <c r="W57" s="1001"/>
      <c r="X57" s="1001"/>
      <c r="Y57" s="1001"/>
      <c r="Z57" s="1001"/>
      <c r="AA57" s="1001"/>
      <c r="AB57" s="1001"/>
      <c r="AC57" s="1001"/>
      <c r="AD57" s="1001"/>
      <c r="AE57" s="1001"/>
      <c r="AF57" s="1001"/>
      <c r="AG57" s="1001"/>
      <c r="AH57" s="1001"/>
      <c r="AI57" s="1001"/>
      <c r="AJ57" s="1001"/>
      <c r="AK57" s="1001"/>
      <c r="AL57" s="1001"/>
      <c r="AM57" s="1001"/>
      <c r="AN57" s="1001"/>
      <c r="AO57" s="1001"/>
      <c r="AP57" s="1001"/>
      <c r="AQ57" s="1001"/>
      <c r="AR57" s="1001"/>
      <c r="AS57" s="1001"/>
      <c r="AT57" s="1001"/>
      <c r="AU57" s="1001"/>
      <c r="AV57" s="1001"/>
      <c r="AW57" s="1001"/>
      <c r="AX57" s="1001"/>
      <c r="AY57" s="1001"/>
      <c r="AZ57" s="1001"/>
      <c r="BA57" s="1001"/>
      <c r="BB57" s="1001"/>
      <c r="BC57" s="1001"/>
      <c r="BD57" s="1001"/>
    </row>
    <row r="58" spans="1:56" s="408" customFormat="1" ht="12" customHeight="1" thickBot="1" x14ac:dyDescent="0.3">
      <c r="A58" s="1011" t="s">
        <v>151</v>
      </c>
      <c r="B58" s="1079" t="s">
        <v>152</v>
      </c>
      <c r="C58" s="817">
        <f>SUM(C59:C61)</f>
        <v>0</v>
      </c>
      <c r="D58" s="1063"/>
      <c r="E58" s="1063"/>
      <c r="F58" s="1063"/>
      <c r="G58" s="1063"/>
      <c r="H58" s="1152"/>
      <c r="I58" s="1152"/>
      <c r="J58" s="1152"/>
      <c r="K58" s="1001"/>
      <c r="L58" s="1001"/>
      <c r="M58" s="1001"/>
      <c r="N58" s="1001"/>
      <c r="O58" s="1001"/>
      <c r="P58" s="1001"/>
      <c r="Q58" s="1001"/>
      <c r="R58" s="1001"/>
      <c r="S58" s="1001"/>
      <c r="T58" s="1001"/>
      <c r="U58" s="1001"/>
      <c r="V58" s="1001"/>
      <c r="W58" s="1001"/>
      <c r="X58" s="1001"/>
      <c r="Y58" s="1001"/>
      <c r="Z58" s="1001"/>
      <c r="AA58" s="1001"/>
      <c r="AB58" s="1001"/>
      <c r="AC58" s="1001"/>
      <c r="AD58" s="1001"/>
      <c r="AE58" s="1001"/>
      <c r="AF58" s="1001"/>
      <c r="AG58" s="1001"/>
      <c r="AH58" s="1001"/>
      <c r="AI58" s="1001"/>
      <c r="AJ58" s="1001"/>
      <c r="AK58" s="1001"/>
      <c r="AL58" s="1001"/>
      <c r="AM58" s="1001"/>
      <c r="AN58" s="1001"/>
      <c r="AO58" s="1001"/>
      <c r="AP58" s="1001"/>
      <c r="AQ58" s="1001"/>
      <c r="AR58" s="1001"/>
      <c r="AS58" s="1001"/>
      <c r="AT58" s="1001"/>
      <c r="AU58" s="1001"/>
      <c r="AV58" s="1001"/>
      <c r="AW58" s="1001"/>
      <c r="AX58" s="1001"/>
      <c r="AY58" s="1001"/>
      <c r="AZ58" s="1001"/>
      <c r="BA58" s="1001"/>
      <c r="BB58" s="1001"/>
      <c r="BC58" s="1001"/>
      <c r="BD58" s="1001"/>
    </row>
    <row r="59" spans="1:56" s="408" customFormat="1" ht="12" customHeight="1" x14ac:dyDescent="0.25">
      <c r="A59" s="1013" t="s">
        <v>153</v>
      </c>
      <c r="B59" s="1076" t="s">
        <v>154</v>
      </c>
      <c r="C59" s="822"/>
      <c r="D59" s="1045"/>
      <c r="E59" s="1045"/>
      <c r="F59" s="1045"/>
      <c r="G59" s="1045"/>
      <c r="H59" s="1133"/>
      <c r="I59" s="1133"/>
      <c r="J59" s="1133"/>
      <c r="K59" s="1001"/>
      <c r="L59" s="1001"/>
      <c r="M59" s="1001"/>
      <c r="N59" s="1001"/>
      <c r="O59" s="1001"/>
      <c r="P59" s="1001"/>
      <c r="Q59" s="1001"/>
      <c r="R59" s="1001"/>
      <c r="S59" s="1001"/>
      <c r="T59" s="1001"/>
      <c r="U59" s="1001"/>
      <c r="V59" s="1001"/>
      <c r="W59" s="1001"/>
      <c r="X59" s="1001"/>
      <c r="Y59" s="1001"/>
      <c r="Z59" s="1001"/>
      <c r="AA59" s="1001"/>
      <c r="AB59" s="1001"/>
      <c r="AC59" s="1001"/>
      <c r="AD59" s="1001"/>
      <c r="AE59" s="1001"/>
      <c r="AF59" s="1001"/>
      <c r="AG59" s="1001"/>
      <c r="AH59" s="1001"/>
      <c r="AI59" s="1001"/>
      <c r="AJ59" s="1001"/>
      <c r="AK59" s="1001"/>
      <c r="AL59" s="1001"/>
      <c r="AM59" s="1001"/>
      <c r="AN59" s="1001"/>
      <c r="AO59" s="1001"/>
      <c r="AP59" s="1001"/>
      <c r="AQ59" s="1001"/>
      <c r="AR59" s="1001"/>
      <c r="AS59" s="1001"/>
      <c r="AT59" s="1001"/>
      <c r="AU59" s="1001"/>
      <c r="AV59" s="1001"/>
      <c r="AW59" s="1001"/>
      <c r="AX59" s="1001"/>
      <c r="AY59" s="1001"/>
      <c r="AZ59" s="1001"/>
      <c r="BA59" s="1001"/>
      <c r="BB59" s="1001"/>
      <c r="BC59" s="1001"/>
      <c r="BD59" s="1001"/>
    </row>
    <row r="60" spans="1:56" s="408" customFormat="1" ht="12" customHeight="1" x14ac:dyDescent="0.25">
      <c r="A60" s="1016" t="s">
        <v>155</v>
      </c>
      <c r="B60" s="1077" t="s">
        <v>156</v>
      </c>
      <c r="C60" s="822"/>
      <c r="D60" s="1048"/>
      <c r="E60" s="1048"/>
      <c r="F60" s="1048"/>
      <c r="G60" s="1048"/>
      <c r="H60" s="1135"/>
      <c r="I60" s="1135"/>
      <c r="J60" s="1135"/>
      <c r="K60" s="1001"/>
      <c r="L60" s="1001"/>
      <c r="M60" s="1001"/>
      <c r="N60" s="1001"/>
      <c r="O60" s="1001"/>
      <c r="P60" s="1001"/>
      <c r="Q60" s="1001"/>
      <c r="R60" s="1001"/>
      <c r="S60" s="1001"/>
      <c r="T60" s="1001"/>
      <c r="U60" s="1001"/>
      <c r="V60" s="1001"/>
      <c r="W60" s="1001"/>
      <c r="X60" s="1001"/>
      <c r="Y60" s="1001"/>
      <c r="Z60" s="1001"/>
      <c r="AA60" s="1001"/>
      <c r="AB60" s="1001"/>
      <c r="AC60" s="1001"/>
      <c r="AD60" s="1001"/>
      <c r="AE60" s="1001"/>
      <c r="AF60" s="1001"/>
      <c r="AG60" s="1001"/>
      <c r="AH60" s="1001"/>
      <c r="AI60" s="1001"/>
      <c r="AJ60" s="1001"/>
      <c r="AK60" s="1001"/>
      <c r="AL60" s="1001"/>
      <c r="AM60" s="1001"/>
      <c r="AN60" s="1001"/>
      <c r="AO60" s="1001"/>
      <c r="AP60" s="1001"/>
      <c r="AQ60" s="1001"/>
      <c r="AR60" s="1001"/>
      <c r="AS60" s="1001"/>
      <c r="AT60" s="1001"/>
      <c r="AU60" s="1001"/>
      <c r="AV60" s="1001"/>
      <c r="AW60" s="1001"/>
      <c r="AX60" s="1001"/>
      <c r="AY60" s="1001"/>
      <c r="AZ60" s="1001"/>
      <c r="BA60" s="1001"/>
      <c r="BB60" s="1001"/>
      <c r="BC60" s="1001"/>
      <c r="BD60" s="1001"/>
    </row>
    <row r="61" spans="1:56" s="408" customFormat="1" ht="12" customHeight="1" x14ac:dyDescent="0.25">
      <c r="A61" s="1016" t="s">
        <v>157</v>
      </c>
      <c r="B61" s="1077" t="s">
        <v>158</v>
      </c>
      <c r="C61" s="822"/>
      <c r="D61" s="1048"/>
      <c r="E61" s="1048"/>
      <c r="F61" s="1048"/>
      <c r="G61" s="1048"/>
      <c r="H61" s="1135"/>
      <c r="I61" s="1135"/>
      <c r="J61" s="1135"/>
      <c r="K61" s="1001"/>
      <c r="L61" s="1001"/>
      <c r="M61" s="1001"/>
      <c r="N61" s="1001"/>
      <c r="O61" s="1001"/>
      <c r="P61" s="1001"/>
      <c r="Q61" s="1001"/>
      <c r="R61" s="1001"/>
      <c r="S61" s="1001"/>
      <c r="T61" s="1001"/>
      <c r="U61" s="1001"/>
      <c r="V61" s="1001"/>
      <c r="W61" s="1001"/>
      <c r="X61" s="1001"/>
      <c r="Y61" s="1001"/>
      <c r="Z61" s="1001"/>
      <c r="AA61" s="1001"/>
      <c r="AB61" s="1001"/>
      <c r="AC61" s="1001"/>
      <c r="AD61" s="1001"/>
      <c r="AE61" s="1001"/>
      <c r="AF61" s="1001"/>
      <c r="AG61" s="1001"/>
      <c r="AH61" s="1001"/>
      <c r="AI61" s="1001"/>
      <c r="AJ61" s="1001"/>
      <c r="AK61" s="1001"/>
      <c r="AL61" s="1001"/>
      <c r="AM61" s="1001"/>
      <c r="AN61" s="1001"/>
      <c r="AO61" s="1001"/>
      <c r="AP61" s="1001"/>
      <c r="AQ61" s="1001"/>
      <c r="AR61" s="1001"/>
      <c r="AS61" s="1001"/>
      <c r="AT61" s="1001"/>
      <c r="AU61" s="1001"/>
      <c r="AV61" s="1001"/>
      <c r="AW61" s="1001"/>
      <c r="AX61" s="1001"/>
      <c r="AY61" s="1001"/>
      <c r="AZ61" s="1001"/>
      <c r="BA61" s="1001"/>
      <c r="BB61" s="1001"/>
      <c r="BC61" s="1001"/>
      <c r="BD61" s="1001"/>
    </row>
    <row r="62" spans="1:56" s="408" customFormat="1" ht="12" customHeight="1" thickBot="1" x14ac:dyDescent="0.3">
      <c r="A62" s="1019" t="s">
        <v>159</v>
      </c>
      <c r="B62" s="1078" t="s">
        <v>160</v>
      </c>
      <c r="C62" s="822"/>
      <c r="D62" s="1055"/>
      <c r="E62" s="1055"/>
      <c r="F62" s="1055"/>
      <c r="G62" s="1055"/>
      <c r="H62" s="1151"/>
      <c r="I62" s="1151"/>
      <c r="J62" s="1151"/>
      <c r="K62" s="1001"/>
      <c r="L62" s="1001"/>
      <c r="M62" s="1001"/>
      <c r="N62" s="1001"/>
      <c r="O62" s="1001"/>
      <c r="P62" s="1001"/>
      <c r="Q62" s="1001"/>
      <c r="R62" s="1001"/>
      <c r="S62" s="1001"/>
      <c r="T62" s="1001"/>
      <c r="U62" s="1001"/>
      <c r="V62" s="1001"/>
      <c r="W62" s="1001"/>
      <c r="X62" s="1001"/>
      <c r="Y62" s="1001"/>
      <c r="Z62" s="1001"/>
      <c r="AA62" s="1001"/>
      <c r="AB62" s="1001"/>
      <c r="AC62" s="1001"/>
      <c r="AD62" s="1001"/>
      <c r="AE62" s="1001"/>
      <c r="AF62" s="1001"/>
      <c r="AG62" s="1001"/>
      <c r="AH62" s="1001"/>
      <c r="AI62" s="1001"/>
      <c r="AJ62" s="1001"/>
      <c r="AK62" s="1001"/>
      <c r="AL62" s="1001"/>
      <c r="AM62" s="1001"/>
      <c r="AN62" s="1001"/>
      <c r="AO62" s="1001"/>
      <c r="AP62" s="1001"/>
      <c r="AQ62" s="1001"/>
      <c r="AR62" s="1001"/>
      <c r="AS62" s="1001"/>
      <c r="AT62" s="1001"/>
      <c r="AU62" s="1001"/>
      <c r="AV62" s="1001"/>
      <c r="AW62" s="1001"/>
      <c r="AX62" s="1001"/>
      <c r="AY62" s="1001"/>
      <c r="AZ62" s="1001"/>
      <c r="BA62" s="1001"/>
      <c r="BB62" s="1001"/>
      <c r="BC62" s="1001"/>
      <c r="BD62" s="1001"/>
    </row>
    <row r="63" spans="1:56" s="408" customFormat="1" ht="12" customHeight="1" thickBot="1" x14ac:dyDescent="0.3">
      <c r="A63" s="1011" t="s">
        <v>161</v>
      </c>
      <c r="B63" s="1011" t="s">
        <v>162</v>
      </c>
      <c r="C63" s="816">
        <f t="shared" ref="C63:J63" si="5">+C8+C15+C22+C29+C36+C47+C53+C58</f>
        <v>1905000</v>
      </c>
      <c r="D63" s="816">
        <f t="shared" si="5"/>
        <v>0</v>
      </c>
      <c r="E63" s="816">
        <f t="shared" si="5"/>
        <v>0</v>
      </c>
      <c r="F63" s="816">
        <f t="shared" si="5"/>
        <v>0</v>
      </c>
      <c r="G63" s="816">
        <f t="shared" si="5"/>
        <v>513675</v>
      </c>
      <c r="H63" s="816">
        <f t="shared" si="5"/>
        <v>1391325</v>
      </c>
      <c r="I63" s="816"/>
      <c r="J63" s="816">
        <f t="shared" si="5"/>
        <v>0</v>
      </c>
      <c r="K63" s="1001"/>
      <c r="L63" s="1001"/>
      <c r="M63" s="1001"/>
      <c r="N63" s="1001"/>
      <c r="O63" s="1001"/>
      <c r="P63" s="1001"/>
      <c r="Q63" s="1001"/>
      <c r="R63" s="1001"/>
      <c r="S63" s="1001"/>
      <c r="T63" s="1001"/>
      <c r="U63" s="1001"/>
      <c r="V63" s="1001"/>
      <c r="W63" s="1001"/>
      <c r="X63" s="1001"/>
      <c r="Y63" s="1001"/>
      <c r="Z63" s="1001"/>
      <c r="AA63" s="1001"/>
      <c r="AB63" s="1001"/>
      <c r="AC63" s="1001"/>
      <c r="AD63" s="1001"/>
      <c r="AE63" s="1001"/>
      <c r="AF63" s="1001"/>
      <c r="AG63" s="1001"/>
      <c r="AH63" s="1001"/>
      <c r="AI63" s="1001"/>
      <c r="AJ63" s="1001"/>
      <c r="AK63" s="1001"/>
      <c r="AL63" s="1001"/>
      <c r="AM63" s="1001"/>
      <c r="AN63" s="1001"/>
      <c r="AO63" s="1001"/>
      <c r="AP63" s="1001"/>
      <c r="AQ63" s="1001"/>
      <c r="AR63" s="1001"/>
      <c r="AS63" s="1001"/>
      <c r="AT63" s="1001"/>
      <c r="AU63" s="1001"/>
      <c r="AV63" s="1001"/>
      <c r="AW63" s="1001"/>
      <c r="AX63" s="1001"/>
      <c r="AY63" s="1001"/>
      <c r="AZ63" s="1001"/>
      <c r="BA63" s="1001"/>
      <c r="BB63" s="1001"/>
      <c r="BC63" s="1001"/>
      <c r="BD63" s="1001"/>
    </row>
    <row r="64" spans="1:56" s="408" customFormat="1" ht="12" customHeight="1" thickBot="1" x14ac:dyDescent="0.3">
      <c r="A64" s="1082" t="s">
        <v>163</v>
      </c>
      <c r="B64" s="1079" t="s">
        <v>164</v>
      </c>
      <c r="C64" s="817">
        <f>+C65+C66+C67</f>
        <v>0</v>
      </c>
      <c r="D64" s="1063"/>
      <c r="E64" s="1063"/>
      <c r="F64" s="1063"/>
      <c r="G64" s="1063"/>
      <c r="H64" s="1152"/>
      <c r="I64" s="1152"/>
      <c r="J64" s="1152"/>
      <c r="K64" s="1001"/>
      <c r="L64" s="1001"/>
      <c r="M64" s="1001"/>
      <c r="N64" s="1001"/>
      <c r="O64" s="1001"/>
      <c r="P64" s="1001"/>
      <c r="Q64" s="1001"/>
      <c r="R64" s="1001"/>
      <c r="S64" s="1001"/>
      <c r="T64" s="1001"/>
      <c r="U64" s="1001"/>
      <c r="V64" s="1001"/>
      <c r="W64" s="1001"/>
      <c r="X64" s="1001"/>
      <c r="Y64" s="1001"/>
      <c r="Z64" s="1001"/>
      <c r="AA64" s="1001"/>
      <c r="AB64" s="1001"/>
      <c r="AC64" s="1001"/>
      <c r="AD64" s="1001"/>
      <c r="AE64" s="1001"/>
      <c r="AF64" s="1001"/>
      <c r="AG64" s="1001"/>
      <c r="AH64" s="1001"/>
      <c r="AI64" s="1001"/>
      <c r="AJ64" s="1001"/>
      <c r="AK64" s="1001"/>
      <c r="AL64" s="1001"/>
      <c r="AM64" s="1001"/>
      <c r="AN64" s="1001"/>
      <c r="AO64" s="1001"/>
      <c r="AP64" s="1001"/>
      <c r="AQ64" s="1001"/>
      <c r="AR64" s="1001"/>
      <c r="AS64" s="1001"/>
      <c r="AT64" s="1001"/>
      <c r="AU64" s="1001"/>
      <c r="AV64" s="1001"/>
      <c r="AW64" s="1001"/>
      <c r="AX64" s="1001"/>
      <c r="AY64" s="1001"/>
      <c r="AZ64" s="1001"/>
      <c r="BA64" s="1001"/>
      <c r="BB64" s="1001"/>
      <c r="BC64" s="1001"/>
      <c r="BD64" s="1001"/>
    </row>
    <row r="65" spans="1:56" s="408" customFormat="1" ht="12" customHeight="1" x14ac:dyDescent="0.25">
      <c r="A65" s="1013" t="s">
        <v>165</v>
      </c>
      <c r="B65" s="1076" t="s">
        <v>166</v>
      </c>
      <c r="C65" s="822"/>
      <c r="D65" s="1045"/>
      <c r="E65" s="1045"/>
      <c r="F65" s="1045"/>
      <c r="G65" s="1045"/>
      <c r="H65" s="1133"/>
      <c r="I65" s="1133"/>
      <c r="J65" s="1133"/>
      <c r="K65" s="1001"/>
      <c r="L65" s="1001"/>
      <c r="M65" s="1001"/>
      <c r="N65" s="1001"/>
      <c r="O65" s="1001"/>
      <c r="P65" s="1001"/>
      <c r="Q65" s="1001"/>
      <c r="R65" s="1001"/>
      <c r="S65" s="1001"/>
      <c r="T65" s="1001"/>
      <c r="U65" s="1001"/>
      <c r="V65" s="1001"/>
      <c r="W65" s="1001"/>
      <c r="X65" s="1001"/>
      <c r="Y65" s="1001"/>
      <c r="Z65" s="1001"/>
      <c r="AA65" s="1001"/>
      <c r="AB65" s="1001"/>
      <c r="AC65" s="1001"/>
      <c r="AD65" s="1001"/>
      <c r="AE65" s="1001"/>
      <c r="AF65" s="1001"/>
      <c r="AG65" s="1001"/>
      <c r="AH65" s="1001"/>
      <c r="AI65" s="1001"/>
      <c r="AJ65" s="1001"/>
      <c r="AK65" s="1001"/>
      <c r="AL65" s="1001"/>
      <c r="AM65" s="1001"/>
      <c r="AN65" s="1001"/>
      <c r="AO65" s="1001"/>
      <c r="AP65" s="1001"/>
      <c r="AQ65" s="1001"/>
      <c r="AR65" s="1001"/>
      <c r="AS65" s="1001"/>
      <c r="AT65" s="1001"/>
      <c r="AU65" s="1001"/>
      <c r="AV65" s="1001"/>
      <c r="AW65" s="1001"/>
      <c r="AX65" s="1001"/>
      <c r="AY65" s="1001"/>
      <c r="AZ65" s="1001"/>
      <c r="BA65" s="1001"/>
      <c r="BB65" s="1001"/>
      <c r="BC65" s="1001"/>
      <c r="BD65" s="1001"/>
    </row>
    <row r="66" spans="1:56" s="408" customFormat="1" ht="12" customHeight="1" x14ac:dyDescent="0.25">
      <c r="A66" s="1016" t="s">
        <v>167</v>
      </c>
      <c r="B66" s="1077" t="s">
        <v>168</v>
      </c>
      <c r="C66" s="822"/>
      <c r="D66" s="1048"/>
      <c r="E66" s="1048"/>
      <c r="F66" s="1048"/>
      <c r="G66" s="1048"/>
      <c r="H66" s="1135"/>
      <c r="I66" s="1135"/>
      <c r="J66" s="1135"/>
      <c r="K66" s="1001"/>
      <c r="L66" s="1001"/>
      <c r="M66" s="1001"/>
      <c r="N66" s="1001"/>
      <c r="O66" s="1001"/>
      <c r="P66" s="1001"/>
      <c r="Q66" s="1001"/>
      <c r="R66" s="1001"/>
      <c r="S66" s="1001"/>
      <c r="T66" s="1001"/>
      <c r="U66" s="1001"/>
      <c r="V66" s="1001"/>
      <c r="W66" s="1001"/>
      <c r="X66" s="1001"/>
      <c r="Y66" s="1001"/>
      <c r="Z66" s="1001"/>
      <c r="AA66" s="1001"/>
      <c r="AB66" s="1001"/>
      <c r="AC66" s="1001"/>
      <c r="AD66" s="1001"/>
      <c r="AE66" s="1001"/>
      <c r="AF66" s="1001"/>
      <c r="AG66" s="1001"/>
      <c r="AH66" s="1001"/>
      <c r="AI66" s="1001"/>
      <c r="AJ66" s="1001"/>
      <c r="AK66" s="1001"/>
      <c r="AL66" s="1001"/>
      <c r="AM66" s="1001"/>
      <c r="AN66" s="1001"/>
      <c r="AO66" s="1001"/>
      <c r="AP66" s="1001"/>
      <c r="AQ66" s="1001"/>
      <c r="AR66" s="1001"/>
      <c r="AS66" s="1001"/>
      <c r="AT66" s="1001"/>
      <c r="AU66" s="1001"/>
      <c r="AV66" s="1001"/>
      <c r="AW66" s="1001"/>
      <c r="AX66" s="1001"/>
      <c r="AY66" s="1001"/>
      <c r="AZ66" s="1001"/>
      <c r="BA66" s="1001"/>
      <c r="BB66" s="1001"/>
      <c r="BC66" s="1001"/>
      <c r="BD66" s="1001"/>
    </row>
    <row r="67" spans="1:56" s="408" customFormat="1" ht="12" customHeight="1" thickBot="1" x14ac:dyDescent="0.3">
      <c r="A67" s="1019" t="s">
        <v>169</v>
      </c>
      <c r="B67" s="1083" t="s">
        <v>170</v>
      </c>
      <c r="C67" s="822"/>
      <c r="D67" s="1055"/>
      <c r="E67" s="1055"/>
      <c r="F67" s="1055"/>
      <c r="G67" s="1055"/>
      <c r="H67" s="1151"/>
      <c r="I67" s="1151"/>
      <c r="J67" s="1151"/>
      <c r="K67" s="1001"/>
      <c r="L67" s="1001"/>
      <c r="M67" s="1001"/>
      <c r="N67" s="1001"/>
      <c r="O67" s="1001"/>
      <c r="P67" s="1001"/>
      <c r="Q67" s="1001"/>
      <c r="R67" s="1001"/>
      <c r="S67" s="1001"/>
      <c r="T67" s="1001"/>
      <c r="U67" s="1001"/>
      <c r="V67" s="1001"/>
      <c r="W67" s="1001"/>
      <c r="X67" s="1001"/>
      <c r="Y67" s="1001"/>
      <c r="Z67" s="1001"/>
      <c r="AA67" s="1001"/>
      <c r="AB67" s="1001"/>
      <c r="AC67" s="1001"/>
      <c r="AD67" s="1001"/>
      <c r="AE67" s="1001"/>
      <c r="AF67" s="1001"/>
      <c r="AG67" s="1001"/>
      <c r="AH67" s="1001"/>
      <c r="AI67" s="1001"/>
      <c r="AJ67" s="1001"/>
      <c r="AK67" s="1001"/>
      <c r="AL67" s="1001"/>
      <c r="AM67" s="1001"/>
      <c r="AN67" s="1001"/>
      <c r="AO67" s="1001"/>
      <c r="AP67" s="1001"/>
      <c r="AQ67" s="1001"/>
      <c r="AR67" s="1001"/>
      <c r="AS67" s="1001"/>
      <c r="AT67" s="1001"/>
      <c r="AU67" s="1001"/>
      <c r="AV67" s="1001"/>
      <c r="AW67" s="1001"/>
      <c r="AX67" s="1001"/>
      <c r="AY67" s="1001"/>
      <c r="AZ67" s="1001"/>
      <c r="BA67" s="1001"/>
      <c r="BB67" s="1001"/>
      <c r="BC67" s="1001"/>
      <c r="BD67" s="1001"/>
    </row>
    <row r="68" spans="1:56" s="408" customFormat="1" ht="12" customHeight="1" thickBot="1" x14ac:dyDescent="0.3">
      <c r="A68" s="1082" t="s">
        <v>171</v>
      </c>
      <c r="B68" s="1079" t="s">
        <v>172</v>
      </c>
      <c r="C68" s="817">
        <f>+C69+C70+C71+C72</f>
        <v>0</v>
      </c>
      <c r="D68" s="1063"/>
      <c r="E68" s="1063"/>
      <c r="F68" s="1063"/>
      <c r="G68" s="1063"/>
      <c r="H68" s="1152"/>
      <c r="I68" s="1152"/>
      <c r="J68" s="1152"/>
      <c r="K68" s="1001"/>
      <c r="L68" s="1001"/>
      <c r="M68" s="1001"/>
      <c r="N68" s="1001"/>
      <c r="O68" s="1001"/>
      <c r="P68" s="1001"/>
      <c r="Q68" s="1001"/>
      <c r="R68" s="1001"/>
      <c r="S68" s="1001"/>
      <c r="T68" s="1001"/>
      <c r="U68" s="1001"/>
      <c r="V68" s="1001"/>
      <c r="W68" s="1001"/>
      <c r="X68" s="1001"/>
      <c r="Y68" s="1001"/>
      <c r="Z68" s="1001"/>
      <c r="AA68" s="1001"/>
      <c r="AB68" s="1001"/>
      <c r="AC68" s="1001"/>
      <c r="AD68" s="1001"/>
      <c r="AE68" s="1001"/>
      <c r="AF68" s="1001"/>
      <c r="AG68" s="1001"/>
      <c r="AH68" s="1001"/>
      <c r="AI68" s="1001"/>
      <c r="AJ68" s="1001"/>
      <c r="AK68" s="1001"/>
      <c r="AL68" s="1001"/>
      <c r="AM68" s="1001"/>
      <c r="AN68" s="1001"/>
      <c r="AO68" s="1001"/>
      <c r="AP68" s="1001"/>
      <c r="AQ68" s="1001"/>
      <c r="AR68" s="1001"/>
      <c r="AS68" s="1001"/>
      <c r="AT68" s="1001"/>
      <c r="AU68" s="1001"/>
      <c r="AV68" s="1001"/>
      <c r="AW68" s="1001"/>
      <c r="AX68" s="1001"/>
      <c r="AY68" s="1001"/>
      <c r="AZ68" s="1001"/>
      <c r="BA68" s="1001"/>
      <c r="BB68" s="1001"/>
      <c r="BC68" s="1001"/>
      <c r="BD68" s="1001"/>
    </row>
    <row r="69" spans="1:56" s="408" customFormat="1" ht="13.5" customHeight="1" x14ac:dyDescent="0.25">
      <c r="A69" s="1013" t="s">
        <v>173</v>
      </c>
      <c r="B69" s="1076" t="s">
        <v>174</v>
      </c>
      <c r="C69" s="822"/>
      <c r="D69" s="1045"/>
      <c r="E69" s="1045"/>
      <c r="F69" s="1045"/>
      <c r="G69" s="1045"/>
      <c r="H69" s="1133"/>
      <c r="I69" s="1133"/>
      <c r="J69" s="1133"/>
      <c r="K69" s="1001"/>
      <c r="L69" s="1001"/>
      <c r="M69" s="1001"/>
      <c r="N69" s="1001"/>
      <c r="O69" s="1001"/>
      <c r="P69" s="1001"/>
      <c r="Q69" s="1001"/>
      <c r="R69" s="1001"/>
      <c r="S69" s="1001"/>
      <c r="T69" s="1001"/>
      <c r="U69" s="1001"/>
      <c r="V69" s="1001"/>
      <c r="W69" s="1001"/>
      <c r="X69" s="1001"/>
      <c r="Y69" s="1001"/>
      <c r="Z69" s="1001"/>
      <c r="AA69" s="1001"/>
      <c r="AB69" s="1001"/>
      <c r="AC69" s="1001"/>
      <c r="AD69" s="1001"/>
      <c r="AE69" s="1001"/>
      <c r="AF69" s="1001"/>
      <c r="AG69" s="1001"/>
      <c r="AH69" s="1001"/>
      <c r="AI69" s="1001"/>
      <c r="AJ69" s="1001"/>
      <c r="AK69" s="1001"/>
      <c r="AL69" s="1001"/>
      <c r="AM69" s="1001"/>
      <c r="AN69" s="1001"/>
      <c r="AO69" s="1001"/>
      <c r="AP69" s="1001"/>
      <c r="AQ69" s="1001"/>
      <c r="AR69" s="1001"/>
      <c r="AS69" s="1001"/>
      <c r="AT69" s="1001"/>
      <c r="AU69" s="1001"/>
      <c r="AV69" s="1001"/>
      <c r="AW69" s="1001"/>
      <c r="AX69" s="1001"/>
      <c r="AY69" s="1001"/>
      <c r="AZ69" s="1001"/>
      <c r="BA69" s="1001"/>
      <c r="BB69" s="1001"/>
      <c r="BC69" s="1001"/>
      <c r="BD69" s="1001"/>
    </row>
    <row r="70" spans="1:56" s="408" customFormat="1" ht="12" customHeight="1" x14ac:dyDescent="0.25">
      <c r="A70" s="1016" t="s">
        <v>175</v>
      </c>
      <c r="B70" s="1077" t="s">
        <v>176</v>
      </c>
      <c r="C70" s="822"/>
      <c r="D70" s="1048"/>
      <c r="E70" s="1048"/>
      <c r="F70" s="1048"/>
      <c r="G70" s="1048"/>
      <c r="H70" s="1135"/>
      <c r="I70" s="1135"/>
      <c r="J70" s="1135"/>
      <c r="K70" s="1001"/>
      <c r="L70" s="1001"/>
      <c r="M70" s="1001"/>
      <c r="N70" s="1001"/>
      <c r="O70" s="1001"/>
      <c r="P70" s="1001"/>
      <c r="Q70" s="1001"/>
      <c r="R70" s="1001"/>
      <c r="S70" s="1001"/>
      <c r="T70" s="1001"/>
      <c r="U70" s="1001"/>
      <c r="V70" s="1001"/>
      <c r="W70" s="1001"/>
      <c r="X70" s="1001"/>
      <c r="Y70" s="1001"/>
      <c r="Z70" s="1001"/>
      <c r="AA70" s="1001"/>
      <c r="AB70" s="1001"/>
      <c r="AC70" s="1001"/>
      <c r="AD70" s="1001"/>
      <c r="AE70" s="1001"/>
      <c r="AF70" s="1001"/>
      <c r="AG70" s="1001"/>
      <c r="AH70" s="1001"/>
      <c r="AI70" s="1001"/>
      <c r="AJ70" s="1001"/>
      <c r="AK70" s="1001"/>
      <c r="AL70" s="1001"/>
      <c r="AM70" s="1001"/>
      <c r="AN70" s="1001"/>
      <c r="AO70" s="1001"/>
      <c r="AP70" s="1001"/>
      <c r="AQ70" s="1001"/>
      <c r="AR70" s="1001"/>
      <c r="AS70" s="1001"/>
      <c r="AT70" s="1001"/>
      <c r="AU70" s="1001"/>
      <c r="AV70" s="1001"/>
      <c r="AW70" s="1001"/>
      <c r="AX70" s="1001"/>
      <c r="AY70" s="1001"/>
      <c r="AZ70" s="1001"/>
      <c r="BA70" s="1001"/>
      <c r="BB70" s="1001"/>
      <c r="BC70" s="1001"/>
      <c r="BD70" s="1001"/>
    </row>
    <row r="71" spans="1:56" s="408" customFormat="1" ht="12" customHeight="1" x14ac:dyDescent="0.25">
      <c r="A71" s="1016" t="s">
        <v>177</v>
      </c>
      <c r="B71" s="1077" t="s">
        <v>178</v>
      </c>
      <c r="C71" s="822"/>
      <c r="D71" s="1048"/>
      <c r="E71" s="1048"/>
      <c r="F71" s="1048"/>
      <c r="G71" s="1048"/>
      <c r="H71" s="1135"/>
      <c r="I71" s="1135"/>
      <c r="J71" s="1135"/>
      <c r="K71" s="1001"/>
      <c r="L71" s="1001"/>
      <c r="M71" s="1001"/>
      <c r="N71" s="1001"/>
      <c r="O71" s="1001"/>
      <c r="P71" s="1001"/>
      <c r="Q71" s="1001"/>
      <c r="R71" s="1001"/>
      <c r="S71" s="1001"/>
      <c r="T71" s="1001"/>
      <c r="U71" s="1001"/>
      <c r="V71" s="1001"/>
      <c r="W71" s="1001"/>
      <c r="X71" s="1001"/>
      <c r="Y71" s="1001"/>
      <c r="Z71" s="1001"/>
      <c r="AA71" s="1001"/>
      <c r="AB71" s="1001"/>
      <c r="AC71" s="1001"/>
      <c r="AD71" s="1001"/>
      <c r="AE71" s="1001"/>
      <c r="AF71" s="1001"/>
      <c r="AG71" s="1001"/>
      <c r="AH71" s="1001"/>
      <c r="AI71" s="1001"/>
      <c r="AJ71" s="1001"/>
      <c r="AK71" s="1001"/>
      <c r="AL71" s="1001"/>
      <c r="AM71" s="1001"/>
      <c r="AN71" s="1001"/>
      <c r="AO71" s="1001"/>
      <c r="AP71" s="1001"/>
      <c r="AQ71" s="1001"/>
      <c r="AR71" s="1001"/>
      <c r="AS71" s="1001"/>
      <c r="AT71" s="1001"/>
      <c r="AU71" s="1001"/>
      <c r="AV71" s="1001"/>
      <c r="AW71" s="1001"/>
      <c r="AX71" s="1001"/>
      <c r="AY71" s="1001"/>
      <c r="AZ71" s="1001"/>
      <c r="BA71" s="1001"/>
      <c r="BB71" s="1001"/>
      <c r="BC71" s="1001"/>
      <c r="BD71" s="1001"/>
    </row>
    <row r="72" spans="1:56" s="408" customFormat="1" ht="12" customHeight="1" thickBot="1" x14ac:dyDescent="0.3">
      <c r="A72" s="1019" t="s">
        <v>179</v>
      </c>
      <c r="B72" s="1078" t="s">
        <v>180</v>
      </c>
      <c r="C72" s="822"/>
      <c r="D72" s="1055"/>
      <c r="E72" s="1055"/>
      <c r="F72" s="1055"/>
      <c r="G72" s="1055"/>
      <c r="H72" s="1151"/>
      <c r="I72" s="1151"/>
      <c r="J72" s="1151"/>
      <c r="K72" s="1001"/>
      <c r="L72" s="1001"/>
      <c r="M72" s="1001"/>
      <c r="N72" s="1001"/>
      <c r="O72" s="1001"/>
      <c r="P72" s="1001"/>
      <c r="Q72" s="1001"/>
      <c r="R72" s="1001"/>
      <c r="S72" s="1001"/>
      <c r="T72" s="1001"/>
      <c r="U72" s="1001"/>
      <c r="V72" s="1001"/>
      <c r="W72" s="1001"/>
      <c r="X72" s="1001"/>
      <c r="Y72" s="1001"/>
      <c r="Z72" s="1001"/>
      <c r="AA72" s="1001"/>
      <c r="AB72" s="1001"/>
      <c r="AC72" s="1001"/>
      <c r="AD72" s="1001"/>
      <c r="AE72" s="1001"/>
      <c r="AF72" s="1001"/>
      <c r="AG72" s="1001"/>
      <c r="AH72" s="1001"/>
      <c r="AI72" s="1001"/>
      <c r="AJ72" s="1001"/>
      <c r="AK72" s="1001"/>
      <c r="AL72" s="1001"/>
      <c r="AM72" s="1001"/>
      <c r="AN72" s="1001"/>
      <c r="AO72" s="1001"/>
      <c r="AP72" s="1001"/>
      <c r="AQ72" s="1001"/>
      <c r="AR72" s="1001"/>
      <c r="AS72" s="1001"/>
      <c r="AT72" s="1001"/>
      <c r="AU72" s="1001"/>
      <c r="AV72" s="1001"/>
      <c r="AW72" s="1001"/>
      <c r="AX72" s="1001"/>
      <c r="AY72" s="1001"/>
      <c r="AZ72" s="1001"/>
      <c r="BA72" s="1001"/>
      <c r="BB72" s="1001"/>
      <c r="BC72" s="1001"/>
      <c r="BD72" s="1001"/>
    </row>
    <row r="73" spans="1:56" s="408" customFormat="1" ht="12" customHeight="1" thickBot="1" x14ac:dyDescent="0.3">
      <c r="A73" s="1082" t="s">
        <v>181</v>
      </c>
      <c r="B73" s="1079" t="s">
        <v>182</v>
      </c>
      <c r="C73" s="817">
        <f>+C74+C75</f>
        <v>721266</v>
      </c>
      <c r="D73" s="1063"/>
      <c r="E73" s="1063"/>
      <c r="F73" s="1063"/>
      <c r="G73" s="1063"/>
      <c r="H73" s="1152"/>
      <c r="I73" s="1152"/>
      <c r="J73" s="1152"/>
      <c r="K73" s="1001"/>
      <c r="L73" s="1001"/>
      <c r="M73" s="1001"/>
      <c r="N73" s="1001"/>
      <c r="O73" s="1001"/>
      <c r="P73" s="1001"/>
      <c r="Q73" s="1001"/>
      <c r="R73" s="1001"/>
      <c r="S73" s="1001"/>
      <c r="T73" s="1001"/>
      <c r="U73" s="1001"/>
      <c r="V73" s="1001"/>
      <c r="W73" s="1001"/>
      <c r="X73" s="1001"/>
      <c r="Y73" s="1001"/>
      <c r="Z73" s="1001"/>
      <c r="AA73" s="1001"/>
      <c r="AB73" s="1001"/>
      <c r="AC73" s="1001"/>
      <c r="AD73" s="1001"/>
      <c r="AE73" s="1001"/>
      <c r="AF73" s="1001"/>
      <c r="AG73" s="1001"/>
      <c r="AH73" s="1001"/>
      <c r="AI73" s="1001"/>
      <c r="AJ73" s="1001"/>
      <c r="AK73" s="1001"/>
      <c r="AL73" s="1001"/>
      <c r="AM73" s="1001"/>
      <c r="AN73" s="1001"/>
      <c r="AO73" s="1001"/>
      <c r="AP73" s="1001"/>
      <c r="AQ73" s="1001"/>
      <c r="AR73" s="1001"/>
      <c r="AS73" s="1001"/>
      <c r="AT73" s="1001"/>
      <c r="AU73" s="1001"/>
      <c r="AV73" s="1001"/>
      <c r="AW73" s="1001"/>
      <c r="AX73" s="1001"/>
      <c r="AY73" s="1001"/>
      <c r="AZ73" s="1001"/>
      <c r="BA73" s="1001"/>
      <c r="BB73" s="1001"/>
      <c r="BC73" s="1001"/>
      <c r="BD73" s="1001"/>
    </row>
    <row r="74" spans="1:56" s="408" customFormat="1" ht="12" customHeight="1" x14ac:dyDescent="0.25">
      <c r="A74" s="1013" t="s">
        <v>183</v>
      </c>
      <c r="B74" s="1076" t="s">
        <v>184</v>
      </c>
      <c r="C74" s="822">
        <f>SUM(D74:J74)</f>
        <v>721266</v>
      </c>
      <c r="D74" s="1045"/>
      <c r="E74" s="1045"/>
      <c r="F74" s="1045"/>
      <c r="G74" s="1045"/>
      <c r="H74" s="1133"/>
      <c r="I74" s="1133"/>
      <c r="J74" s="402">
        <v>721266</v>
      </c>
      <c r="K74" s="1001"/>
      <c r="L74" s="1001"/>
      <c r="M74" s="1001"/>
      <c r="N74" s="1001"/>
      <c r="O74" s="1001"/>
      <c r="P74" s="1001"/>
      <c r="Q74" s="1001"/>
      <c r="R74" s="1001"/>
      <c r="S74" s="1001"/>
      <c r="T74" s="1001"/>
      <c r="U74" s="1001"/>
      <c r="V74" s="1001"/>
      <c r="W74" s="1001"/>
      <c r="X74" s="1001"/>
      <c r="Y74" s="1001"/>
      <c r="Z74" s="1001"/>
      <c r="AA74" s="1001"/>
      <c r="AB74" s="1001"/>
      <c r="AC74" s="1001"/>
      <c r="AD74" s="1001"/>
      <c r="AE74" s="1001"/>
      <c r="AF74" s="1001"/>
      <c r="AG74" s="1001"/>
      <c r="AH74" s="1001"/>
      <c r="AI74" s="1001"/>
      <c r="AJ74" s="1001"/>
      <c r="AK74" s="1001"/>
      <c r="AL74" s="1001"/>
      <c r="AM74" s="1001"/>
      <c r="AN74" s="1001"/>
      <c r="AO74" s="1001"/>
      <c r="AP74" s="1001"/>
      <c r="AQ74" s="1001"/>
      <c r="AR74" s="1001"/>
      <c r="AS74" s="1001"/>
      <c r="AT74" s="1001"/>
      <c r="AU74" s="1001"/>
      <c r="AV74" s="1001"/>
      <c r="AW74" s="1001"/>
      <c r="AX74" s="1001"/>
      <c r="AY74" s="1001"/>
      <c r="AZ74" s="1001"/>
      <c r="BA74" s="1001"/>
      <c r="BB74" s="1001"/>
      <c r="BC74" s="1001"/>
      <c r="BD74" s="1001"/>
    </row>
    <row r="75" spans="1:56" s="408" customFormat="1" ht="12" customHeight="1" thickBot="1" x14ac:dyDescent="0.3">
      <c r="A75" s="1019" t="s">
        <v>185</v>
      </c>
      <c r="B75" s="1078" t="s">
        <v>186</v>
      </c>
      <c r="C75" s="822"/>
      <c r="D75" s="1055"/>
      <c r="E75" s="1055"/>
      <c r="F75" s="1055"/>
      <c r="G75" s="1055"/>
      <c r="H75" s="1151"/>
      <c r="I75" s="1151"/>
      <c r="J75" s="1151"/>
      <c r="K75" s="1001"/>
      <c r="L75" s="1001"/>
      <c r="M75" s="1001"/>
      <c r="N75" s="1001"/>
      <c r="O75" s="1001"/>
      <c r="P75" s="1001"/>
      <c r="Q75" s="1001"/>
      <c r="R75" s="1001"/>
      <c r="S75" s="1001"/>
      <c r="T75" s="1001"/>
      <c r="U75" s="1001"/>
      <c r="V75" s="1001"/>
      <c r="W75" s="1001"/>
      <c r="X75" s="1001"/>
      <c r="Y75" s="1001"/>
      <c r="Z75" s="1001"/>
      <c r="AA75" s="1001"/>
      <c r="AB75" s="1001"/>
      <c r="AC75" s="1001"/>
      <c r="AD75" s="1001"/>
      <c r="AE75" s="1001"/>
      <c r="AF75" s="1001"/>
      <c r="AG75" s="1001"/>
      <c r="AH75" s="1001"/>
      <c r="AI75" s="1001"/>
      <c r="AJ75" s="1001"/>
      <c r="AK75" s="1001"/>
      <c r="AL75" s="1001"/>
      <c r="AM75" s="1001"/>
      <c r="AN75" s="1001"/>
      <c r="AO75" s="1001"/>
      <c r="AP75" s="1001"/>
      <c r="AQ75" s="1001"/>
      <c r="AR75" s="1001"/>
      <c r="AS75" s="1001"/>
      <c r="AT75" s="1001"/>
      <c r="AU75" s="1001"/>
      <c r="AV75" s="1001"/>
      <c r="AW75" s="1001"/>
      <c r="AX75" s="1001"/>
      <c r="AY75" s="1001"/>
      <c r="AZ75" s="1001"/>
      <c r="BA75" s="1001"/>
      <c r="BB75" s="1001"/>
      <c r="BC75" s="1001"/>
      <c r="BD75" s="1001"/>
    </row>
    <row r="76" spans="1:56" s="408" customFormat="1" ht="12" customHeight="1" thickBot="1" x14ac:dyDescent="0.3">
      <c r="A76" s="1082" t="s">
        <v>187</v>
      </c>
      <c r="B76" s="1079" t="s">
        <v>188</v>
      </c>
      <c r="C76" s="817">
        <f t="shared" ref="C76:J76" si="6">+C77+C78+C79</f>
        <v>87543706</v>
      </c>
      <c r="D76" s="817">
        <f t="shared" si="6"/>
        <v>0</v>
      </c>
      <c r="E76" s="817">
        <f t="shared" si="6"/>
        <v>0</v>
      </c>
      <c r="F76" s="817">
        <f t="shared" si="6"/>
        <v>0</v>
      </c>
      <c r="G76" s="817">
        <f t="shared" si="6"/>
        <v>0</v>
      </c>
      <c r="H76" s="817">
        <f t="shared" si="6"/>
        <v>0</v>
      </c>
      <c r="I76" s="817"/>
      <c r="J76" s="817">
        <f t="shared" si="6"/>
        <v>87543706</v>
      </c>
      <c r="K76" s="1001"/>
      <c r="L76" s="1001"/>
      <c r="M76" s="1001"/>
      <c r="N76" s="1001"/>
      <c r="O76" s="1001"/>
      <c r="P76" s="1001"/>
      <c r="Q76" s="1001"/>
      <c r="R76" s="1001"/>
      <c r="S76" s="1001"/>
      <c r="T76" s="1001"/>
      <c r="U76" s="1001"/>
      <c r="V76" s="1001"/>
      <c r="W76" s="1001"/>
      <c r="X76" s="1001"/>
      <c r="Y76" s="1001"/>
      <c r="Z76" s="1001"/>
      <c r="AA76" s="1001"/>
      <c r="AB76" s="1001"/>
      <c r="AC76" s="1001"/>
      <c r="AD76" s="1001"/>
      <c r="AE76" s="1001"/>
      <c r="AF76" s="1001"/>
      <c r="AG76" s="1001"/>
      <c r="AH76" s="1001"/>
      <c r="AI76" s="1001"/>
      <c r="AJ76" s="1001"/>
      <c r="AK76" s="1001"/>
      <c r="AL76" s="1001"/>
      <c r="AM76" s="1001"/>
      <c r="AN76" s="1001"/>
      <c r="AO76" s="1001"/>
      <c r="AP76" s="1001"/>
      <c r="AQ76" s="1001"/>
      <c r="AR76" s="1001"/>
      <c r="AS76" s="1001"/>
      <c r="AT76" s="1001"/>
      <c r="AU76" s="1001"/>
      <c r="AV76" s="1001"/>
      <c r="AW76" s="1001"/>
      <c r="AX76" s="1001"/>
      <c r="AY76" s="1001"/>
      <c r="AZ76" s="1001"/>
      <c r="BA76" s="1001"/>
      <c r="BB76" s="1001"/>
      <c r="BC76" s="1001"/>
      <c r="BD76" s="1001"/>
    </row>
    <row r="77" spans="1:56" s="408" customFormat="1" ht="12" customHeight="1" x14ac:dyDescent="0.25">
      <c r="A77" s="1013" t="s">
        <v>189</v>
      </c>
      <c r="B77" s="1076" t="s">
        <v>190</v>
      </c>
      <c r="C77" s="822"/>
      <c r="D77" s="1045"/>
      <c r="E77" s="1045"/>
      <c r="F77" s="1045"/>
      <c r="G77" s="1045"/>
      <c r="H77" s="1133"/>
      <c r="I77" s="1133"/>
      <c r="J77" s="1133"/>
      <c r="K77" s="1001"/>
      <c r="L77" s="1001"/>
      <c r="M77" s="1001"/>
      <c r="N77" s="1001"/>
      <c r="O77" s="1001"/>
      <c r="P77" s="1001"/>
      <c r="Q77" s="1001"/>
      <c r="R77" s="1001"/>
      <c r="S77" s="1001"/>
      <c r="T77" s="1001"/>
      <c r="U77" s="1001"/>
      <c r="V77" s="1001"/>
      <c r="W77" s="1001"/>
      <c r="X77" s="1001"/>
      <c r="Y77" s="1001"/>
      <c r="Z77" s="1001"/>
      <c r="AA77" s="1001"/>
      <c r="AB77" s="1001"/>
      <c r="AC77" s="1001"/>
      <c r="AD77" s="1001"/>
      <c r="AE77" s="1001"/>
      <c r="AF77" s="1001"/>
      <c r="AG77" s="1001"/>
      <c r="AH77" s="1001"/>
      <c r="AI77" s="1001"/>
      <c r="AJ77" s="1001"/>
      <c r="AK77" s="1001"/>
      <c r="AL77" s="1001"/>
      <c r="AM77" s="1001"/>
      <c r="AN77" s="1001"/>
      <c r="AO77" s="1001"/>
      <c r="AP77" s="1001"/>
      <c r="AQ77" s="1001"/>
      <c r="AR77" s="1001"/>
      <c r="AS77" s="1001"/>
      <c r="AT77" s="1001"/>
      <c r="AU77" s="1001"/>
      <c r="AV77" s="1001"/>
      <c r="AW77" s="1001"/>
      <c r="AX77" s="1001"/>
      <c r="AY77" s="1001"/>
      <c r="AZ77" s="1001"/>
      <c r="BA77" s="1001"/>
      <c r="BB77" s="1001"/>
      <c r="BC77" s="1001"/>
      <c r="BD77" s="1001"/>
    </row>
    <row r="78" spans="1:56" s="408" customFormat="1" ht="12" customHeight="1" x14ac:dyDescent="0.25">
      <c r="A78" s="1016" t="s">
        <v>191</v>
      </c>
      <c r="B78" s="1077" t="s">
        <v>192</v>
      </c>
      <c r="C78" s="822"/>
      <c r="D78" s="1048"/>
      <c r="E78" s="1048"/>
      <c r="F78" s="1048"/>
      <c r="G78" s="1048"/>
      <c r="H78" s="1135"/>
      <c r="I78" s="1135"/>
      <c r="J78" s="1135"/>
      <c r="K78" s="1001"/>
      <c r="L78" s="1001"/>
      <c r="M78" s="1001"/>
      <c r="N78" s="1001"/>
      <c r="O78" s="1001"/>
      <c r="P78" s="1001"/>
      <c r="Q78" s="1001"/>
      <c r="R78" s="1001"/>
      <c r="S78" s="1001"/>
      <c r="T78" s="1001"/>
      <c r="U78" s="1001"/>
      <c r="V78" s="1001"/>
      <c r="W78" s="1001"/>
      <c r="X78" s="1001"/>
      <c r="Y78" s="1001"/>
      <c r="Z78" s="1001"/>
      <c r="AA78" s="1001"/>
      <c r="AB78" s="1001"/>
      <c r="AC78" s="1001"/>
      <c r="AD78" s="1001"/>
      <c r="AE78" s="1001"/>
      <c r="AF78" s="1001"/>
      <c r="AG78" s="1001"/>
      <c r="AH78" s="1001"/>
      <c r="AI78" s="1001"/>
      <c r="AJ78" s="1001"/>
      <c r="AK78" s="1001"/>
      <c r="AL78" s="1001"/>
      <c r="AM78" s="1001"/>
      <c r="AN78" s="1001"/>
      <c r="AO78" s="1001"/>
      <c r="AP78" s="1001"/>
      <c r="AQ78" s="1001"/>
      <c r="AR78" s="1001"/>
      <c r="AS78" s="1001"/>
      <c r="AT78" s="1001"/>
      <c r="AU78" s="1001"/>
      <c r="AV78" s="1001"/>
      <c r="AW78" s="1001"/>
      <c r="AX78" s="1001"/>
      <c r="AY78" s="1001"/>
      <c r="AZ78" s="1001"/>
      <c r="BA78" s="1001"/>
      <c r="BB78" s="1001"/>
      <c r="BC78" s="1001"/>
      <c r="BD78" s="1001"/>
    </row>
    <row r="79" spans="1:56" s="408" customFormat="1" ht="12" customHeight="1" thickBot="1" x14ac:dyDescent="0.3">
      <c r="A79" s="1019" t="s">
        <v>193</v>
      </c>
      <c r="B79" s="1084" t="s">
        <v>1793</v>
      </c>
      <c r="C79" s="822">
        <f>SUM(D79:J79)</f>
        <v>87543706</v>
      </c>
      <c r="D79" s="822"/>
      <c r="E79" s="822"/>
      <c r="F79" s="822"/>
      <c r="G79" s="822"/>
      <c r="H79" s="1151"/>
      <c r="I79" s="1151"/>
      <c r="J79" s="1081">
        <v>87543706</v>
      </c>
      <c r="K79" s="1001"/>
      <c r="L79" s="1001"/>
      <c r="M79" s="1001"/>
      <c r="N79" s="1001"/>
      <c r="O79" s="1001"/>
      <c r="P79" s="1001"/>
      <c r="Q79" s="1001"/>
      <c r="R79" s="1001"/>
      <c r="S79" s="1001"/>
      <c r="T79" s="1001"/>
      <c r="U79" s="1001"/>
      <c r="V79" s="1001"/>
      <c r="W79" s="1001"/>
      <c r="X79" s="1001"/>
      <c r="Y79" s="1001"/>
      <c r="Z79" s="1001"/>
      <c r="AA79" s="1001"/>
      <c r="AB79" s="1001"/>
      <c r="AC79" s="1001"/>
      <c r="AD79" s="1001"/>
      <c r="AE79" s="1001"/>
      <c r="AF79" s="1001"/>
      <c r="AG79" s="1001"/>
      <c r="AH79" s="1001"/>
      <c r="AI79" s="1001"/>
      <c r="AJ79" s="1001"/>
      <c r="AK79" s="1001"/>
      <c r="AL79" s="1001"/>
      <c r="AM79" s="1001"/>
      <c r="AN79" s="1001"/>
      <c r="AO79" s="1001"/>
      <c r="AP79" s="1001"/>
      <c r="AQ79" s="1001"/>
      <c r="AR79" s="1001"/>
      <c r="AS79" s="1001"/>
      <c r="AT79" s="1001"/>
      <c r="AU79" s="1001"/>
      <c r="AV79" s="1001"/>
      <c r="AW79" s="1001"/>
      <c r="AX79" s="1001"/>
      <c r="AY79" s="1001"/>
      <c r="AZ79" s="1001"/>
      <c r="BA79" s="1001"/>
      <c r="BB79" s="1001"/>
      <c r="BC79" s="1001"/>
      <c r="BD79" s="1001"/>
    </row>
    <row r="80" spans="1:56" s="408" customFormat="1" ht="12" customHeight="1" thickBot="1" x14ac:dyDescent="0.3">
      <c r="A80" s="1082" t="s">
        <v>195</v>
      </c>
      <c r="B80" s="1079" t="s">
        <v>196</v>
      </c>
      <c r="C80" s="817">
        <f t="shared" ref="C80:J80" si="7">+C81+C82+C83+C84</f>
        <v>0</v>
      </c>
      <c r="D80" s="817">
        <f t="shared" si="7"/>
        <v>0</v>
      </c>
      <c r="E80" s="817">
        <f t="shared" si="7"/>
        <v>0</v>
      </c>
      <c r="F80" s="817">
        <f t="shared" si="7"/>
        <v>0</v>
      </c>
      <c r="G80" s="817">
        <f t="shared" si="7"/>
        <v>0</v>
      </c>
      <c r="H80" s="817">
        <f t="shared" si="7"/>
        <v>0</v>
      </c>
      <c r="I80" s="817"/>
      <c r="J80" s="817">
        <f t="shared" si="7"/>
        <v>0</v>
      </c>
      <c r="K80" s="1001"/>
      <c r="L80" s="1001"/>
      <c r="M80" s="1001"/>
      <c r="N80" s="1001"/>
      <c r="O80" s="1001"/>
      <c r="P80" s="1001"/>
      <c r="Q80" s="1001"/>
      <c r="R80" s="1001"/>
      <c r="S80" s="1001"/>
      <c r="T80" s="1001"/>
      <c r="U80" s="1001"/>
      <c r="V80" s="1001"/>
      <c r="W80" s="1001"/>
      <c r="X80" s="1001"/>
      <c r="Y80" s="1001"/>
      <c r="Z80" s="1001"/>
      <c r="AA80" s="1001"/>
      <c r="AB80" s="1001"/>
      <c r="AC80" s="1001"/>
      <c r="AD80" s="1001"/>
      <c r="AE80" s="1001"/>
      <c r="AF80" s="1001"/>
      <c r="AG80" s="1001"/>
      <c r="AH80" s="1001"/>
      <c r="AI80" s="1001"/>
      <c r="AJ80" s="1001"/>
      <c r="AK80" s="1001"/>
      <c r="AL80" s="1001"/>
      <c r="AM80" s="1001"/>
      <c r="AN80" s="1001"/>
      <c r="AO80" s="1001"/>
      <c r="AP80" s="1001"/>
      <c r="AQ80" s="1001"/>
      <c r="AR80" s="1001"/>
      <c r="AS80" s="1001"/>
      <c r="AT80" s="1001"/>
      <c r="AU80" s="1001"/>
      <c r="AV80" s="1001"/>
      <c r="AW80" s="1001"/>
      <c r="AX80" s="1001"/>
      <c r="AY80" s="1001"/>
      <c r="AZ80" s="1001"/>
      <c r="BA80" s="1001"/>
      <c r="BB80" s="1001"/>
      <c r="BC80" s="1001"/>
      <c r="BD80" s="1001"/>
    </row>
    <row r="81" spans="1:56" s="408" customFormat="1" ht="12" customHeight="1" x14ac:dyDescent="0.25">
      <c r="A81" s="1085" t="s">
        <v>197</v>
      </c>
      <c r="B81" s="1076" t="s">
        <v>198</v>
      </c>
      <c r="C81" s="822"/>
      <c r="D81" s="1045"/>
      <c r="E81" s="1045"/>
      <c r="F81" s="1045"/>
      <c r="G81" s="1045"/>
      <c r="H81" s="1133"/>
      <c r="I81" s="1133"/>
      <c r="J81" s="1133"/>
      <c r="K81" s="1001"/>
      <c r="L81" s="1001"/>
      <c r="M81" s="1001"/>
      <c r="N81" s="1001"/>
      <c r="O81" s="1001"/>
      <c r="P81" s="1001"/>
      <c r="Q81" s="1001"/>
      <c r="R81" s="1001"/>
      <c r="S81" s="1001"/>
      <c r="T81" s="1001"/>
      <c r="U81" s="1001"/>
      <c r="V81" s="1001"/>
      <c r="W81" s="1001"/>
      <c r="X81" s="1001"/>
      <c r="Y81" s="1001"/>
      <c r="Z81" s="1001"/>
      <c r="AA81" s="1001"/>
      <c r="AB81" s="1001"/>
      <c r="AC81" s="1001"/>
      <c r="AD81" s="1001"/>
      <c r="AE81" s="1001"/>
      <c r="AF81" s="1001"/>
      <c r="AG81" s="1001"/>
      <c r="AH81" s="1001"/>
      <c r="AI81" s="1001"/>
      <c r="AJ81" s="1001"/>
      <c r="AK81" s="1001"/>
      <c r="AL81" s="1001"/>
      <c r="AM81" s="1001"/>
      <c r="AN81" s="1001"/>
      <c r="AO81" s="1001"/>
      <c r="AP81" s="1001"/>
      <c r="AQ81" s="1001"/>
      <c r="AR81" s="1001"/>
      <c r="AS81" s="1001"/>
      <c r="AT81" s="1001"/>
      <c r="AU81" s="1001"/>
      <c r="AV81" s="1001"/>
      <c r="AW81" s="1001"/>
      <c r="AX81" s="1001"/>
      <c r="AY81" s="1001"/>
      <c r="AZ81" s="1001"/>
      <c r="BA81" s="1001"/>
      <c r="BB81" s="1001"/>
      <c r="BC81" s="1001"/>
      <c r="BD81" s="1001"/>
    </row>
    <row r="82" spans="1:56" s="408" customFormat="1" ht="12" customHeight="1" x14ac:dyDescent="0.25">
      <c r="A82" s="1086" t="s">
        <v>199</v>
      </c>
      <c r="B82" s="1077" t="s">
        <v>200</v>
      </c>
      <c r="C82" s="822"/>
      <c r="D82" s="1048"/>
      <c r="E82" s="1048"/>
      <c r="F82" s="1048"/>
      <c r="G82" s="1048"/>
      <c r="H82" s="1135"/>
      <c r="I82" s="1135"/>
      <c r="J82" s="1135"/>
      <c r="K82" s="1001"/>
      <c r="L82" s="1001"/>
      <c r="M82" s="1001"/>
      <c r="N82" s="1001"/>
      <c r="O82" s="1001"/>
      <c r="P82" s="1001"/>
      <c r="Q82" s="1001"/>
      <c r="R82" s="1001"/>
      <c r="S82" s="1001"/>
      <c r="T82" s="1001"/>
      <c r="U82" s="1001"/>
      <c r="V82" s="1001"/>
      <c r="W82" s="1001"/>
      <c r="X82" s="1001"/>
      <c r="Y82" s="1001"/>
      <c r="Z82" s="1001"/>
      <c r="AA82" s="1001"/>
      <c r="AB82" s="1001"/>
      <c r="AC82" s="1001"/>
      <c r="AD82" s="1001"/>
      <c r="AE82" s="1001"/>
      <c r="AF82" s="1001"/>
      <c r="AG82" s="1001"/>
      <c r="AH82" s="1001"/>
      <c r="AI82" s="1001"/>
      <c r="AJ82" s="1001"/>
      <c r="AK82" s="1001"/>
      <c r="AL82" s="1001"/>
      <c r="AM82" s="1001"/>
      <c r="AN82" s="1001"/>
      <c r="AO82" s="1001"/>
      <c r="AP82" s="1001"/>
      <c r="AQ82" s="1001"/>
      <c r="AR82" s="1001"/>
      <c r="AS82" s="1001"/>
      <c r="AT82" s="1001"/>
      <c r="AU82" s="1001"/>
      <c r="AV82" s="1001"/>
      <c r="AW82" s="1001"/>
      <c r="AX82" s="1001"/>
      <c r="AY82" s="1001"/>
      <c r="AZ82" s="1001"/>
      <c r="BA82" s="1001"/>
      <c r="BB82" s="1001"/>
      <c r="BC82" s="1001"/>
      <c r="BD82" s="1001"/>
    </row>
    <row r="83" spans="1:56" s="408" customFormat="1" ht="12" customHeight="1" x14ac:dyDescent="0.25">
      <c r="A83" s="1086" t="s">
        <v>201</v>
      </c>
      <c r="B83" s="1077" t="s">
        <v>202</v>
      </c>
      <c r="C83" s="822"/>
      <c r="D83" s="1048"/>
      <c r="E83" s="1048"/>
      <c r="F83" s="1048"/>
      <c r="G83" s="1048"/>
      <c r="H83" s="1135"/>
      <c r="I83" s="1135"/>
      <c r="J83" s="1135"/>
      <c r="K83" s="1001"/>
      <c r="L83" s="1001"/>
      <c r="M83" s="1001"/>
      <c r="N83" s="1001"/>
      <c r="O83" s="1001"/>
      <c r="P83" s="1001"/>
      <c r="Q83" s="1001"/>
      <c r="R83" s="1001"/>
      <c r="S83" s="1001"/>
      <c r="T83" s="1001"/>
      <c r="U83" s="1001"/>
      <c r="V83" s="1001"/>
      <c r="W83" s="1001"/>
      <c r="X83" s="1001"/>
      <c r="Y83" s="1001"/>
      <c r="Z83" s="1001"/>
      <c r="AA83" s="1001"/>
      <c r="AB83" s="1001"/>
      <c r="AC83" s="1001"/>
      <c r="AD83" s="1001"/>
      <c r="AE83" s="1001"/>
      <c r="AF83" s="1001"/>
      <c r="AG83" s="1001"/>
      <c r="AH83" s="1001"/>
      <c r="AI83" s="1001"/>
      <c r="AJ83" s="1001"/>
      <c r="AK83" s="1001"/>
      <c r="AL83" s="1001"/>
      <c r="AM83" s="1001"/>
      <c r="AN83" s="1001"/>
      <c r="AO83" s="1001"/>
      <c r="AP83" s="1001"/>
      <c r="AQ83" s="1001"/>
      <c r="AR83" s="1001"/>
      <c r="AS83" s="1001"/>
      <c r="AT83" s="1001"/>
      <c r="AU83" s="1001"/>
      <c r="AV83" s="1001"/>
      <c r="AW83" s="1001"/>
      <c r="AX83" s="1001"/>
      <c r="AY83" s="1001"/>
      <c r="AZ83" s="1001"/>
      <c r="BA83" s="1001"/>
      <c r="BB83" s="1001"/>
      <c r="BC83" s="1001"/>
      <c r="BD83" s="1001"/>
    </row>
    <row r="84" spans="1:56" s="408" customFormat="1" ht="12" customHeight="1" thickBot="1" x14ac:dyDescent="0.3">
      <c r="A84" s="1083" t="s">
        <v>203</v>
      </c>
      <c r="B84" s="1084" t="s">
        <v>204</v>
      </c>
      <c r="C84" s="822"/>
      <c r="D84" s="1055"/>
      <c r="E84" s="1055"/>
      <c r="F84" s="1055"/>
      <c r="G84" s="1055"/>
      <c r="H84" s="1151"/>
      <c r="I84" s="1151"/>
      <c r="J84" s="1151"/>
      <c r="K84" s="1001"/>
      <c r="L84" s="1001"/>
      <c r="M84" s="1001"/>
      <c r="N84" s="1001"/>
      <c r="O84" s="1001"/>
      <c r="P84" s="1001"/>
      <c r="Q84" s="1001"/>
      <c r="R84" s="1001"/>
      <c r="S84" s="1001"/>
      <c r="T84" s="1001"/>
      <c r="U84" s="1001"/>
      <c r="V84" s="1001"/>
      <c r="W84" s="1001"/>
      <c r="X84" s="1001"/>
      <c r="Y84" s="1001"/>
      <c r="Z84" s="1001"/>
      <c r="AA84" s="1001"/>
      <c r="AB84" s="1001"/>
      <c r="AC84" s="1001"/>
      <c r="AD84" s="1001"/>
      <c r="AE84" s="1001"/>
      <c r="AF84" s="1001"/>
      <c r="AG84" s="1001"/>
      <c r="AH84" s="1001"/>
      <c r="AI84" s="1001"/>
      <c r="AJ84" s="1001"/>
      <c r="AK84" s="1001"/>
      <c r="AL84" s="1001"/>
      <c r="AM84" s="1001"/>
      <c r="AN84" s="1001"/>
      <c r="AO84" s="1001"/>
      <c r="AP84" s="1001"/>
      <c r="AQ84" s="1001"/>
      <c r="AR84" s="1001"/>
      <c r="AS84" s="1001"/>
      <c r="AT84" s="1001"/>
      <c r="AU84" s="1001"/>
      <c r="AV84" s="1001"/>
      <c r="AW84" s="1001"/>
      <c r="AX84" s="1001"/>
      <c r="AY84" s="1001"/>
      <c r="AZ84" s="1001"/>
      <c r="BA84" s="1001"/>
      <c r="BB84" s="1001"/>
      <c r="BC84" s="1001"/>
      <c r="BD84" s="1001"/>
    </row>
    <row r="85" spans="1:56" s="408" customFormat="1" ht="12" customHeight="1" thickBot="1" x14ac:dyDescent="0.3">
      <c r="A85" s="1082" t="s">
        <v>205</v>
      </c>
      <c r="B85" s="1079" t="s">
        <v>206</v>
      </c>
      <c r="C85" s="821"/>
      <c r="D85" s="1063"/>
      <c r="E85" s="1063"/>
      <c r="F85" s="1063"/>
      <c r="G85" s="1063"/>
      <c r="H85" s="1152"/>
      <c r="I85" s="1152"/>
      <c r="J85" s="1152"/>
      <c r="K85" s="1001"/>
      <c r="L85" s="1001"/>
      <c r="M85" s="1001"/>
      <c r="N85" s="1001"/>
      <c r="O85" s="1001"/>
      <c r="P85" s="1001"/>
      <c r="Q85" s="1001"/>
      <c r="R85" s="1001"/>
      <c r="S85" s="1001"/>
      <c r="T85" s="1001"/>
      <c r="U85" s="1001"/>
      <c r="V85" s="1001"/>
      <c r="W85" s="1001"/>
      <c r="X85" s="1001"/>
      <c r="Y85" s="1001"/>
      <c r="Z85" s="1001"/>
      <c r="AA85" s="1001"/>
      <c r="AB85" s="1001"/>
      <c r="AC85" s="1001"/>
      <c r="AD85" s="1001"/>
      <c r="AE85" s="1001"/>
      <c r="AF85" s="1001"/>
      <c r="AG85" s="1001"/>
      <c r="AH85" s="1001"/>
      <c r="AI85" s="1001"/>
      <c r="AJ85" s="1001"/>
      <c r="AK85" s="1001"/>
      <c r="AL85" s="1001"/>
      <c r="AM85" s="1001"/>
      <c r="AN85" s="1001"/>
      <c r="AO85" s="1001"/>
      <c r="AP85" s="1001"/>
      <c r="AQ85" s="1001"/>
      <c r="AR85" s="1001"/>
      <c r="AS85" s="1001"/>
      <c r="AT85" s="1001"/>
      <c r="AU85" s="1001"/>
      <c r="AV85" s="1001"/>
      <c r="AW85" s="1001"/>
      <c r="AX85" s="1001"/>
      <c r="AY85" s="1001"/>
      <c r="AZ85" s="1001"/>
      <c r="BA85" s="1001"/>
      <c r="BB85" s="1001"/>
      <c r="BC85" s="1001"/>
      <c r="BD85" s="1001"/>
    </row>
    <row r="86" spans="1:56" s="408" customFormat="1" ht="12" customHeight="1" thickBot="1" x14ac:dyDescent="0.3">
      <c r="A86" s="1082" t="s">
        <v>207</v>
      </c>
      <c r="B86" s="1082" t="s">
        <v>208</v>
      </c>
      <c r="C86" s="816">
        <f t="shared" ref="C86:J86" si="8">+C64+C68+C73+C76+C80+C85</f>
        <v>88264972</v>
      </c>
      <c r="D86" s="816">
        <f t="shared" si="8"/>
        <v>0</v>
      </c>
      <c r="E86" s="816">
        <f t="shared" si="8"/>
        <v>0</v>
      </c>
      <c r="F86" s="816">
        <f t="shared" si="8"/>
        <v>0</v>
      </c>
      <c r="G86" s="816">
        <f t="shared" si="8"/>
        <v>0</v>
      </c>
      <c r="H86" s="816">
        <f t="shared" si="8"/>
        <v>0</v>
      </c>
      <c r="I86" s="816"/>
      <c r="J86" s="816">
        <f t="shared" si="8"/>
        <v>87543706</v>
      </c>
      <c r="K86" s="1001"/>
      <c r="L86" s="1001"/>
      <c r="M86" s="1001"/>
      <c r="N86" s="1001"/>
      <c r="O86" s="1001"/>
      <c r="P86" s="1001"/>
      <c r="Q86" s="1001"/>
      <c r="R86" s="1001"/>
      <c r="S86" s="1001"/>
      <c r="T86" s="1001"/>
      <c r="U86" s="1001"/>
      <c r="V86" s="1001"/>
      <c r="W86" s="1001"/>
      <c r="X86" s="1001"/>
      <c r="Y86" s="1001"/>
      <c r="Z86" s="1001"/>
      <c r="AA86" s="1001"/>
      <c r="AB86" s="1001"/>
      <c r="AC86" s="1001"/>
      <c r="AD86" s="1001"/>
      <c r="AE86" s="1001"/>
      <c r="AF86" s="1001"/>
      <c r="AG86" s="1001"/>
      <c r="AH86" s="1001"/>
      <c r="AI86" s="1001"/>
      <c r="AJ86" s="1001"/>
      <c r="AK86" s="1001"/>
      <c r="AL86" s="1001"/>
      <c r="AM86" s="1001"/>
      <c r="AN86" s="1001"/>
      <c r="AO86" s="1001"/>
      <c r="AP86" s="1001"/>
      <c r="AQ86" s="1001"/>
      <c r="AR86" s="1001"/>
      <c r="AS86" s="1001"/>
      <c r="AT86" s="1001"/>
      <c r="AU86" s="1001"/>
      <c r="AV86" s="1001"/>
      <c r="AW86" s="1001"/>
      <c r="AX86" s="1001"/>
      <c r="AY86" s="1001"/>
      <c r="AZ86" s="1001"/>
      <c r="BA86" s="1001"/>
      <c r="BB86" s="1001"/>
      <c r="BC86" s="1001"/>
      <c r="BD86" s="1001"/>
    </row>
    <row r="87" spans="1:56" s="408" customFormat="1" ht="12" customHeight="1" thickBot="1" x14ac:dyDescent="0.3">
      <c r="A87" s="1087" t="s">
        <v>209</v>
      </c>
      <c r="B87" s="1087" t="s">
        <v>210</v>
      </c>
      <c r="C87" s="816">
        <f t="shared" ref="C87:J87" si="9">+C63+C86</f>
        <v>90169972</v>
      </c>
      <c r="D87" s="816">
        <f>+D63+D86</f>
        <v>0</v>
      </c>
      <c r="E87" s="816">
        <f t="shared" si="9"/>
        <v>0</v>
      </c>
      <c r="F87" s="816">
        <f t="shared" si="9"/>
        <v>0</v>
      </c>
      <c r="G87" s="816">
        <f t="shared" si="9"/>
        <v>513675</v>
      </c>
      <c r="H87" s="816">
        <f t="shared" si="9"/>
        <v>1391325</v>
      </c>
      <c r="I87" s="816"/>
      <c r="J87" s="816">
        <f t="shared" si="9"/>
        <v>87543706</v>
      </c>
      <c r="K87" s="1001"/>
      <c r="L87" s="1001"/>
      <c r="M87" s="1001"/>
      <c r="N87" s="1001"/>
      <c r="O87" s="1001"/>
      <c r="P87" s="1001"/>
      <c r="Q87" s="1001"/>
      <c r="R87" s="1001"/>
      <c r="S87" s="1001"/>
      <c r="T87" s="1001"/>
      <c r="U87" s="1001"/>
      <c r="V87" s="1001"/>
      <c r="W87" s="1001"/>
      <c r="X87" s="1001"/>
      <c r="Y87" s="1001"/>
      <c r="Z87" s="1001"/>
      <c r="AA87" s="1001"/>
      <c r="AB87" s="1001"/>
      <c r="AC87" s="1001"/>
      <c r="AD87" s="1001"/>
      <c r="AE87" s="1001"/>
      <c r="AF87" s="1001"/>
      <c r="AG87" s="1001"/>
      <c r="AH87" s="1001"/>
      <c r="AI87" s="1001"/>
      <c r="AJ87" s="1001"/>
      <c r="AK87" s="1001"/>
      <c r="AL87" s="1001"/>
      <c r="AM87" s="1001"/>
      <c r="AN87" s="1001"/>
      <c r="AO87" s="1001"/>
      <c r="AP87" s="1001"/>
      <c r="AQ87" s="1001"/>
      <c r="AR87" s="1001"/>
      <c r="AS87" s="1001"/>
      <c r="AT87" s="1001"/>
      <c r="AU87" s="1001"/>
      <c r="AV87" s="1001"/>
      <c r="AW87" s="1001"/>
      <c r="AX87" s="1001"/>
      <c r="AY87" s="1001"/>
      <c r="AZ87" s="1001"/>
      <c r="BA87" s="1001"/>
      <c r="BB87" s="1001"/>
      <c r="BC87" s="1001"/>
      <c r="BD87" s="1001"/>
    </row>
    <row r="88" spans="1:56" s="408" customFormat="1" ht="12" customHeight="1" x14ac:dyDescent="0.25">
      <c r="A88" s="1153"/>
      <c r="B88" s="1153"/>
      <c r="D88" s="1075"/>
      <c r="E88" s="1075"/>
      <c r="F88" s="1075"/>
      <c r="G88" s="1075"/>
      <c r="H88" s="407"/>
      <c r="I88" s="407"/>
      <c r="J88" s="407"/>
    </row>
    <row r="89" spans="1:56" ht="16.5" customHeight="1" x14ac:dyDescent="0.3">
      <c r="A89" s="1637" t="s">
        <v>211</v>
      </c>
      <c r="B89" s="1637"/>
      <c r="C89" s="1686"/>
      <c r="D89" s="1686"/>
      <c r="E89" s="1686"/>
      <c r="F89" s="1686"/>
      <c r="G89" s="1686"/>
      <c r="H89" s="1686"/>
      <c r="I89" s="1686"/>
      <c r="J89" s="1686"/>
    </row>
    <row r="90" spans="1:56" s="414" customFormat="1" ht="16.2" thickBot="1" x14ac:dyDescent="0.35">
      <c r="A90" s="43" t="s">
        <v>2130</v>
      </c>
      <c r="B90" s="43"/>
      <c r="D90" s="1090"/>
      <c r="E90" s="1090"/>
      <c r="F90" s="1090"/>
      <c r="G90" s="1090"/>
      <c r="H90" s="1042"/>
      <c r="I90" s="1042"/>
      <c r="J90" s="1147" t="s">
        <v>1689</v>
      </c>
    </row>
    <row r="91" spans="1:56" s="820" customFormat="1" ht="15.9" customHeight="1" thickBot="1" x14ac:dyDescent="0.3">
      <c r="A91" s="1671" t="s">
        <v>588</v>
      </c>
      <c r="B91" s="1671" t="s">
        <v>213</v>
      </c>
      <c r="C91" s="1671" t="s">
        <v>1949</v>
      </c>
      <c r="D91" s="1687" t="s">
        <v>2016</v>
      </c>
      <c r="E91" s="1689" t="s">
        <v>2017</v>
      </c>
      <c r="F91" s="1689" t="s">
        <v>2018</v>
      </c>
      <c r="G91" s="1687" t="s">
        <v>2019</v>
      </c>
      <c r="H91" s="1684" t="s">
        <v>2020</v>
      </c>
      <c r="I91" s="1672" t="s">
        <v>2021</v>
      </c>
      <c r="J91" s="1684" t="s">
        <v>1978</v>
      </c>
    </row>
    <row r="92" spans="1:56" s="820" customFormat="1" ht="57" customHeight="1" thickBot="1" x14ac:dyDescent="0.3">
      <c r="A92" s="1671"/>
      <c r="B92" s="1671"/>
      <c r="C92" s="1671"/>
      <c r="D92" s="1688"/>
      <c r="E92" s="1685"/>
      <c r="F92" s="1685"/>
      <c r="G92" s="1688"/>
      <c r="H92" s="1685"/>
      <c r="I92" s="1674"/>
      <c r="J92" s="1685"/>
      <c r="K92" s="1148"/>
      <c r="L92" s="1148"/>
      <c r="M92" s="1148"/>
      <c r="N92" s="1148"/>
      <c r="O92" s="1148"/>
      <c r="P92" s="1148"/>
      <c r="Q92" s="1148"/>
      <c r="R92" s="1148"/>
      <c r="S92" s="1148"/>
      <c r="T92" s="1148"/>
      <c r="U92" s="1148"/>
      <c r="V92" s="1148"/>
      <c r="W92" s="1148"/>
      <c r="X92" s="1148"/>
      <c r="Y92" s="1148"/>
      <c r="Z92" s="1148"/>
    </row>
    <row r="93" spans="1:56" s="1118" customFormat="1" ht="12" customHeight="1" thickBot="1" x14ac:dyDescent="0.25">
      <c r="A93" s="1008" t="s">
        <v>46</v>
      </c>
      <c r="B93" s="1008" t="s">
        <v>47</v>
      </c>
      <c r="C93" s="1008" t="s">
        <v>48</v>
      </c>
      <c r="D93" s="1149" t="s">
        <v>49</v>
      </c>
      <c r="E93" s="1149" t="s">
        <v>50</v>
      </c>
      <c r="F93" s="1149" t="s">
        <v>294</v>
      </c>
      <c r="G93" s="1149" t="s">
        <v>295</v>
      </c>
      <c r="H93" s="1150" t="s">
        <v>296</v>
      </c>
      <c r="I93" s="1150" t="s">
        <v>297</v>
      </c>
      <c r="J93" s="1150" t="s">
        <v>399</v>
      </c>
    </row>
    <row r="94" spans="1:56" ht="12" customHeight="1" thickBot="1" x14ac:dyDescent="0.35">
      <c r="A94" s="1091" t="s">
        <v>51</v>
      </c>
      <c r="B94" s="1092" t="s">
        <v>288</v>
      </c>
      <c r="C94" s="817">
        <f t="shared" ref="C94:J94" si="10">SUM(C95:C99)</f>
        <v>82880222</v>
      </c>
      <c r="D94" s="817">
        <f t="shared" si="10"/>
        <v>7555520</v>
      </c>
      <c r="E94" s="817">
        <f t="shared" si="10"/>
        <v>0</v>
      </c>
      <c r="F94" s="817">
        <f t="shared" si="10"/>
        <v>0</v>
      </c>
      <c r="G94" s="817">
        <f t="shared" si="10"/>
        <v>27274389</v>
      </c>
      <c r="H94" s="817">
        <f t="shared" si="10"/>
        <v>46835313</v>
      </c>
      <c r="I94" s="817">
        <f t="shared" si="10"/>
        <v>1215000</v>
      </c>
      <c r="J94" s="817">
        <f t="shared" si="10"/>
        <v>0</v>
      </c>
    </row>
    <row r="95" spans="1:56" ht="12" customHeight="1" x14ac:dyDescent="0.3">
      <c r="A95" s="1094" t="s">
        <v>53</v>
      </c>
      <c r="B95" s="1095" t="s">
        <v>215</v>
      </c>
      <c r="C95" s="1021">
        <f t="shared" ref="C95" si="11">SUM(D95:J95)</f>
        <v>41514731</v>
      </c>
      <c r="D95" s="1045">
        <f>5129656+170000</f>
        <v>5299656</v>
      </c>
      <c r="E95" s="1045"/>
      <c r="F95" s="1045"/>
      <c r="G95" s="1045">
        <f>7977200+340000</f>
        <v>8317200</v>
      </c>
      <c r="H95" s="1614">
        <f>17543824+13250000-3895949</f>
        <v>26897875</v>
      </c>
      <c r="I95" s="1614">
        <v>1000000</v>
      </c>
      <c r="J95" s="1133"/>
    </row>
    <row r="96" spans="1:56" ht="12" customHeight="1" x14ac:dyDescent="0.3">
      <c r="A96" s="1016" t="s">
        <v>55</v>
      </c>
      <c r="B96" s="1097" t="s">
        <v>216</v>
      </c>
      <c r="C96" s="818">
        <f>SUM(D96:J96)</f>
        <v>9698259</v>
      </c>
      <c r="D96" s="1048">
        <v>1058933</v>
      </c>
      <c r="E96" s="1048"/>
      <c r="F96" s="1048"/>
      <c r="G96" s="1048">
        <v>1672854</v>
      </c>
      <c r="H96" s="1154">
        <f>5483089+1288383</f>
        <v>6771472</v>
      </c>
      <c r="I96" s="1154">
        <v>195000</v>
      </c>
      <c r="J96" s="1135"/>
    </row>
    <row r="97" spans="1:10" ht="12" customHeight="1" x14ac:dyDescent="0.3">
      <c r="A97" s="1016" t="s">
        <v>57</v>
      </c>
      <c r="B97" s="1097" t="s">
        <v>217</v>
      </c>
      <c r="C97" s="818">
        <f>SUM(D97:J97)</f>
        <v>30970301</v>
      </c>
      <c r="D97" s="1048">
        <v>500000</v>
      </c>
      <c r="E97" s="1048"/>
      <c r="F97" s="1048"/>
      <c r="G97" s="1048">
        <f>15360000+24335+1900000</f>
        <v>17284335</v>
      </c>
      <c r="H97" s="1154">
        <f>24420650-13250000+1995316</f>
        <v>13165966</v>
      </c>
      <c r="I97" s="1154">
        <v>20000</v>
      </c>
      <c r="J97" s="1135"/>
    </row>
    <row r="98" spans="1:10" ht="12" customHeight="1" x14ac:dyDescent="0.3">
      <c r="A98" s="1016" t="s">
        <v>59</v>
      </c>
      <c r="B98" s="1097" t="s">
        <v>218</v>
      </c>
      <c r="C98" s="818"/>
      <c r="D98" s="1048"/>
      <c r="E98" s="1048"/>
      <c r="F98" s="1048"/>
      <c r="G98" s="1048"/>
      <c r="H98" s="1154"/>
      <c r="I98" s="1154"/>
      <c r="J98" s="1135"/>
    </row>
    <row r="99" spans="1:10" ht="12" customHeight="1" x14ac:dyDescent="0.3">
      <c r="A99" s="1016" t="s">
        <v>219</v>
      </c>
      <c r="B99" s="1098" t="s">
        <v>220</v>
      </c>
      <c r="C99" s="818">
        <f>SUM(D99:J99)</f>
        <v>696931</v>
      </c>
      <c r="D99" s="401">
        <v>696931</v>
      </c>
      <c r="E99" s="1048"/>
      <c r="F99" s="1048"/>
      <c r="G99" s="1048"/>
      <c r="H99" s="1154"/>
      <c r="I99" s="1154"/>
      <c r="J99" s="1135"/>
    </row>
    <row r="100" spans="1:10" ht="12" customHeight="1" x14ac:dyDescent="0.3">
      <c r="A100" s="1016" t="s">
        <v>63</v>
      </c>
      <c r="B100" s="1097" t="s">
        <v>221</v>
      </c>
      <c r="C100" s="818"/>
      <c r="D100" s="1048"/>
      <c r="E100" s="1048"/>
      <c r="F100" s="1048"/>
      <c r="G100" s="1048"/>
      <c r="H100" s="1154"/>
      <c r="I100" s="1154"/>
      <c r="J100" s="1135"/>
    </row>
    <row r="101" spans="1:10" ht="12" customHeight="1" x14ac:dyDescent="0.3">
      <c r="A101" s="1016" t="s">
        <v>222</v>
      </c>
      <c r="B101" s="1099" t="s">
        <v>223</v>
      </c>
      <c r="C101" s="818"/>
      <c r="D101" s="1048"/>
      <c r="E101" s="1048"/>
      <c r="F101" s="1048"/>
      <c r="G101" s="1048"/>
      <c r="H101" s="1154"/>
      <c r="I101" s="1154"/>
      <c r="J101" s="1135"/>
    </row>
    <row r="102" spans="1:10" ht="12" customHeight="1" x14ac:dyDescent="0.3">
      <c r="A102" s="1016" t="s">
        <v>224</v>
      </c>
      <c r="B102" s="1100" t="s">
        <v>225</v>
      </c>
      <c r="C102" s="818"/>
      <c r="D102" s="1048"/>
      <c r="E102" s="1048"/>
      <c r="F102" s="1048"/>
      <c r="G102" s="1048"/>
      <c r="H102" s="1154"/>
      <c r="I102" s="1154"/>
      <c r="J102" s="1135"/>
    </row>
    <row r="103" spans="1:10" ht="12" customHeight="1" x14ac:dyDescent="0.3">
      <c r="A103" s="1016" t="s">
        <v>226</v>
      </c>
      <c r="B103" s="1100" t="s">
        <v>227</v>
      </c>
      <c r="C103" s="818"/>
      <c r="D103" s="1048"/>
      <c r="E103" s="1048"/>
      <c r="F103" s="1048"/>
      <c r="G103" s="1048"/>
      <c r="H103" s="1154"/>
      <c r="I103" s="1154"/>
      <c r="J103" s="1135"/>
    </row>
    <row r="104" spans="1:10" ht="12" customHeight="1" x14ac:dyDescent="0.3">
      <c r="A104" s="1016" t="s">
        <v>228</v>
      </c>
      <c r="B104" s="1099" t="s">
        <v>229</v>
      </c>
      <c r="C104" s="818"/>
      <c r="D104" s="1048"/>
      <c r="E104" s="1048"/>
      <c r="F104" s="1048"/>
      <c r="G104" s="1048"/>
      <c r="H104" s="1154"/>
      <c r="I104" s="1154"/>
      <c r="J104" s="1135"/>
    </row>
    <row r="105" spans="1:10" ht="12" customHeight="1" x14ac:dyDescent="0.3">
      <c r="A105" s="1016" t="s">
        <v>230</v>
      </c>
      <c r="B105" s="1099" t="s">
        <v>231</v>
      </c>
      <c r="C105" s="818"/>
      <c r="D105" s="1048"/>
      <c r="E105" s="1048"/>
      <c r="F105" s="1048"/>
      <c r="G105" s="1048"/>
      <c r="H105" s="1154"/>
      <c r="I105" s="1154"/>
      <c r="J105" s="1135"/>
    </row>
    <row r="106" spans="1:10" ht="12" customHeight="1" x14ac:dyDescent="0.3">
      <c r="A106" s="1016" t="s">
        <v>232</v>
      </c>
      <c r="B106" s="1100" t="s">
        <v>233</v>
      </c>
      <c r="C106" s="818"/>
      <c r="D106" s="1048"/>
      <c r="E106" s="1048"/>
      <c r="F106" s="1048"/>
      <c r="G106" s="1048"/>
      <c r="H106" s="1154"/>
      <c r="I106" s="1154"/>
      <c r="J106" s="1135"/>
    </row>
    <row r="107" spans="1:10" ht="12" customHeight="1" x14ac:dyDescent="0.3">
      <c r="A107" s="1051" t="s">
        <v>234</v>
      </c>
      <c r="B107" s="1101" t="s">
        <v>235</v>
      </c>
      <c r="C107" s="818"/>
      <c r="D107" s="1048"/>
      <c r="E107" s="1048"/>
      <c r="F107" s="1048"/>
      <c r="G107" s="1048"/>
      <c r="H107" s="1154"/>
      <c r="I107" s="1154"/>
      <c r="J107" s="1135"/>
    </row>
    <row r="108" spans="1:10" ht="12" customHeight="1" x14ac:dyDescent="0.3">
      <c r="A108" s="1016" t="s">
        <v>236</v>
      </c>
      <c r="B108" s="1101" t="s">
        <v>237</v>
      </c>
      <c r="C108" s="818"/>
      <c r="D108" s="1048"/>
      <c r="E108" s="1048"/>
      <c r="F108" s="1048"/>
      <c r="G108" s="1048"/>
      <c r="H108" s="1154"/>
      <c r="I108" s="1154"/>
      <c r="J108" s="1135"/>
    </row>
    <row r="109" spans="1:10" ht="12" customHeight="1" thickBot="1" x14ac:dyDescent="0.35">
      <c r="A109" s="1053" t="s">
        <v>238</v>
      </c>
      <c r="B109" s="1102" t="s">
        <v>239</v>
      </c>
      <c r="C109" s="1103"/>
      <c r="D109" s="1048"/>
      <c r="E109" s="1048"/>
      <c r="F109" s="1048"/>
      <c r="G109" s="1048"/>
      <c r="H109" s="1154"/>
      <c r="I109" s="1154"/>
      <c r="J109" s="1135"/>
    </row>
    <row r="110" spans="1:10" ht="12" customHeight="1" thickBot="1" x14ac:dyDescent="0.35">
      <c r="A110" s="1011" t="s">
        <v>65</v>
      </c>
      <c r="B110" s="1104" t="s">
        <v>289</v>
      </c>
      <c r="C110" s="817">
        <f t="shared" ref="C110:J110" si="12">+C111+C113+C115</f>
        <v>7289750</v>
      </c>
      <c r="D110" s="817">
        <f t="shared" si="12"/>
        <v>0</v>
      </c>
      <c r="E110" s="817">
        <f t="shared" si="12"/>
        <v>1500000</v>
      </c>
      <c r="F110" s="817">
        <f t="shared" si="12"/>
        <v>237000</v>
      </c>
      <c r="G110" s="817">
        <f t="shared" si="12"/>
        <v>350000</v>
      </c>
      <c r="H110" s="817">
        <f t="shared" si="12"/>
        <v>5202750</v>
      </c>
      <c r="I110" s="817"/>
      <c r="J110" s="817">
        <f t="shared" si="12"/>
        <v>0</v>
      </c>
    </row>
    <row r="111" spans="1:10" ht="12" customHeight="1" x14ac:dyDescent="0.3">
      <c r="A111" s="1013" t="s">
        <v>67</v>
      </c>
      <c r="B111" s="1097" t="s">
        <v>241</v>
      </c>
      <c r="C111" s="819">
        <f>SUM(D111:J111)</f>
        <v>7289750</v>
      </c>
      <c r="D111" s="1048"/>
      <c r="E111" s="1048">
        <v>1500000</v>
      </c>
      <c r="F111" s="1048">
        <v>237000</v>
      </c>
      <c r="G111" s="1048">
        <v>350000</v>
      </c>
      <c r="H111" s="1154">
        <f>4590500+612250</f>
        <v>5202750</v>
      </c>
      <c r="I111" s="1154"/>
      <c r="J111" s="1135"/>
    </row>
    <row r="112" spans="1:10" ht="12" customHeight="1" x14ac:dyDescent="0.3">
      <c r="A112" s="1013" t="s">
        <v>69</v>
      </c>
      <c r="B112" s="1105" t="s">
        <v>242</v>
      </c>
      <c r="C112" s="819"/>
      <c r="D112" s="1048"/>
      <c r="E112" s="1048"/>
      <c r="F112" s="1048"/>
      <c r="G112" s="1048"/>
      <c r="H112" s="1154"/>
      <c r="I112" s="1154"/>
      <c r="J112" s="1135"/>
    </row>
    <row r="113" spans="1:10" x14ac:dyDescent="0.3">
      <c r="A113" s="1013" t="s">
        <v>71</v>
      </c>
      <c r="B113" s="1105" t="s">
        <v>243</v>
      </c>
      <c r="C113" s="815"/>
      <c r="D113" s="1048"/>
      <c r="E113" s="1048"/>
      <c r="F113" s="1048"/>
      <c r="G113" s="1048"/>
      <c r="H113" s="1154"/>
      <c r="I113" s="1154"/>
      <c r="J113" s="1135"/>
    </row>
    <row r="114" spans="1:10" ht="12" customHeight="1" x14ac:dyDescent="0.3">
      <c r="A114" s="1013" t="s">
        <v>73</v>
      </c>
      <c r="B114" s="1105" t="s">
        <v>244</v>
      </c>
      <c r="C114" s="815"/>
      <c r="D114" s="1048"/>
      <c r="E114" s="1048"/>
      <c r="F114" s="1048"/>
      <c r="G114" s="1048"/>
      <c r="H114" s="1154"/>
      <c r="I114" s="1154"/>
      <c r="J114" s="1135"/>
    </row>
    <row r="115" spans="1:10" ht="12" customHeight="1" x14ac:dyDescent="0.3">
      <c r="A115" s="1013" t="s">
        <v>75</v>
      </c>
      <c r="B115" s="1084" t="s">
        <v>245</v>
      </c>
      <c r="C115" s="815"/>
      <c r="D115" s="1048"/>
      <c r="E115" s="1048"/>
      <c r="F115" s="1048"/>
      <c r="G115" s="1048"/>
      <c r="H115" s="1154"/>
      <c r="I115" s="1154"/>
      <c r="J115" s="1135"/>
    </row>
    <row r="116" spans="1:10" ht="21.75" customHeight="1" x14ac:dyDescent="0.3">
      <c r="A116" s="1013" t="s">
        <v>77</v>
      </c>
      <c r="B116" s="1106" t="s">
        <v>246</v>
      </c>
      <c r="C116" s="815"/>
      <c r="D116" s="1048"/>
      <c r="E116" s="1048"/>
      <c r="F116" s="1048"/>
      <c r="G116" s="1048"/>
      <c r="H116" s="1154"/>
      <c r="I116" s="1154"/>
      <c r="J116" s="1135"/>
    </row>
    <row r="117" spans="1:10" ht="24" customHeight="1" x14ac:dyDescent="0.3">
      <c r="A117" s="1013" t="s">
        <v>247</v>
      </c>
      <c r="B117" s="1107" t="s">
        <v>248</v>
      </c>
      <c r="C117" s="815"/>
      <c r="D117" s="1048"/>
      <c r="E117" s="1048"/>
      <c r="F117" s="1048"/>
      <c r="G117" s="1048"/>
      <c r="H117" s="1154"/>
      <c r="I117" s="1154"/>
      <c r="J117" s="1135"/>
    </row>
    <row r="118" spans="1:10" ht="12" customHeight="1" x14ac:dyDescent="0.3">
      <c r="A118" s="1013" t="s">
        <v>249</v>
      </c>
      <c r="B118" s="1100" t="s">
        <v>227</v>
      </c>
      <c r="C118" s="815"/>
      <c r="D118" s="1048"/>
      <c r="E118" s="1048"/>
      <c r="F118" s="1048"/>
      <c r="G118" s="1048"/>
      <c r="H118" s="1154"/>
      <c r="I118" s="1154"/>
      <c r="J118" s="1135"/>
    </row>
    <row r="119" spans="1:10" ht="12" customHeight="1" x14ac:dyDescent="0.3">
      <c r="A119" s="1013" t="s">
        <v>250</v>
      </c>
      <c r="B119" s="1100" t="s">
        <v>251</v>
      </c>
      <c r="C119" s="815"/>
      <c r="D119" s="1048"/>
      <c r="E119" s="1048"/>
      <c r="F119" s="1048"/>
      <c r="G119" s="1048"/>
      <c r="H119" s="1154"/>
      <c r="I119" s="1154"/>
      <c r="J119" s="1135"/>
    </row>
    <row r="120" spans="1:10" ht="12" customHeight="1" x14ac:dyDescent="0.3">
      <c r="A120" s="1013" t="s">
        <v>252</v>
      </c>
      <c r="B120" s="1100" t="s">
        <v>253</v>
      </c>
      <c r="C120" s="815"/>
      <c r="D120" s="1048"/>
      <c r="E120" s="1048"/>
      <c r="F120" s="1048"/>
      <c r="G120" s="1048"/>
      <c r="H120" s="1154"/>
      <c r="I120" s="1154"/>
      <c r="J120" s="1135"/>
    </row>
    <row r="121" spans="1:10" s="427" customFormat="1" ht="12" customHeight="1" x14ac:dyDescent="0.25">
      <c r="A121" s="1013" t="s">
        <v>254</v>
      </c>
      <c r="B121" s="1100" t="s">
        <v>233</v>
      </c>
      <c r="C121" s="815"/>
      <c r="D121" s="1060"/>
      <c r="E121" s="1060"/>
      <c r="F121" s="1060"/>
      <c r="G121" s="1060"/>
      <c r="H121" s="1155"/>
      <c r="I121" s="1155"/>
      <c r="J121" s="1156"/>
    </row>
    <row r="122" spans="1:10" ht="12" customHeight="1" x14ac:dyDescent="0.3">
      <c r="A122" s="1013" t="s">
        <v>255</v>
      </c>
      <c r="B122" s="1100" t="s">
        <v>256</v>
      </c>
      <c r="C122" s="815"/>
      <c r="D122" s="1048"/>
      <c r="E122" s="1048"/>
      <c r="F122" s="1048"/>
      <c r="G122" s="1048"/>
      <c r="H122" s="1154"/>
      <c r="I122" s="1154"/>
      <c r="J122" s="1135"/>
    </row>
    <row r="123" spans="1:10" ht="12" customHeight="1" thickBot="1" x14ac:dyDescent="0.35">
      <c r="A123" s="1051" t="s">
        <v>257</v>
      </c>
      <c r="B123" s="1100" t="s">
        <v>258</v>
      </c>
      <c r="C123" s="818"/>
      <c r="D123" s="1048"/>
      <c r="E123" s="1048"/>
      <c r="F123" s="1048"/>
      <c r="G123" s="1048"/>
      <c r="H123" s="1154"/>
      <c r="I123" s="1154"/>
      <c r="J123" s="1135"/>
    </row>
    <row r="124" spans="1:10" ht="12" customHeight="1" thickBot="1" x14ac:dyDescent="0.35">
      <c r="A124" s="1011" t="s">
        <v>79</v>
      </c>
      <c r="B124" s="1109" t="s">
        <v>259</v>
      </c>
      <c r="C124" s="817">
        <f t="shared" ref="C124:J124" si="13">+C125+C126</f>
        <v>0</v>
      </c>
      <c r="D124" s="817">
        <f t="shared" si="13"/>
        <v>0</v>
      </c>
      <c r="E124" s="817">
        <f t="shared" si="13"/>
        <v>0</v>
      </c>
      <c r="F124" s="817">
        <f t="shared" si="13"/>
        <v>0</v>
      </c>
      <c r="G124" s="817">
        <f t="shared" si="13"/>
        <v>0</v>
      </c>
      <c r="H124" s="817">
        <f t="shared" si="13"/>
        <v>0</v>
      </c>
      <c r="I124" s="817"/>
      <c r="J124" s="817">
        <f t="shared" si="13"/>
        <v>0</v>
      </c>
    </row>
    <row r="125" spans="1:10" ht="12" customHeight="1" x14ac:dyDescent="0.3">
      <c r="A125" s="1013" t="s">
        <v>81</v>
      </c>
      <c r="B125" s="1110" t="s">
        <v>260</v>
      </c>
      <c r="C125" s="819"/>
      <c r="D125" s="1048"/>
      <c r="E125" s="1048"/>
      <c r="F125" s="1048"/>
      <c r="G125" s="1048"/>
      <c r="H125" s="1154"/>
      <c r="I125" s="1154"/>
      <c r="J125" s="1135"/>
    </row>
    <row r="126" spans="1:10" ht="12" customHeight="1" thickBot="1" x14ac:dyDescent="0.35">
      <c r="A126" s="1019" t="s">
        <v>83</v>
      </c>
      <c r="B126" s="1105" t="s">
        <v>261</v>
      </c>
      <c r="C126" s="818">
        <f>SUM(D126:J126)</f>
        <v>0</v>
      </c>
      <c r="D126" s="1048"/>
      <c r="E126" s="1048"/>
      <c r="F126" s="1048"/>
      <c r="G126" s="1048"/>
      <c r="H126" s="1154"/>
      <c r="I126" s="1154"/>
      <c r="J126" s="1135"/>
    </row>
    <row r="127" spans="1:10" ht="12" customHeight="1" thickBot="1" x14ac:dyDescent="0.35">
      <c r="A127" s="1011" t="s">
        <v>262</v>
      </c>
      <c r="B127" s="1109" t="s">
        <v>263</v>
      </c>
      <c r="C127" s="817">
        <f t="shared" ref="C127:J127" si="14">+C94+C110+C124</f>
        <v>90169972</v>
      </c>
      <c r="D127" s="817">
        <f t="shared" si="14"/>
        <v>7555520</v>
      </c>
      <c r="E127" s="817">
        <f t="shared" si="14"/>
        <v>1500000</v>
      </c>
      <c r="F127" s="817">
        <f t="shared" si="14"/>
        <v>237000</v>
      </c>
      <c r="G127" s="817">
        <f t="shared" si="14"/>
        <v>27624389</v>
      </c>
      <c r="H127" s="817">
        <f t="shared" si="14"/>
        <v>52038063</v>
      </c>
      <c r="I127" s="817"/>
      <c r="J127" s="817">
        <f t="shared" si="14"/>
        <v>0</v>
      </c>
    </row>
    <row r="128" spans="1:10" ht="12" customHeight="1" thickBot="1" x14ac:dyDescent="0.35">
      <c r="A128" s="1011" t="s">
        <v>107</v>
      </c>
      <c r="B128" s="1109" t="s">
        <v>264</v>
      </c>
      <c r="C128" s="817">
        <f t="shared" ref="C128:J128" si="15">+C129+C130+C131</f>
        <v>0</v>
      </c>
      <c r="D128" s="817">
        <f t="shared" si="15"/>
        <v>0</v>
      </c>
      <c r="E128" s="817">
        <f t="shared" si="15"/>
        <v>0</v>
      </c>
      <c r="F128" s="817">
        <f t="shared" si="15"/>
        <v>0</v>
      </c>
      <c r="G128" s="817">
        <f t="shared" si="15"/>
        <v>0</v>
      </c>
      <c r="H128" s="817">
        <f t="shared" si="15"/>
        <v>0</v>
      </c>
      <c r="I128" s="817"/>
      <c r="J128" s="817">
        <f t="shared" si="15"/>
        <v>0</v>
      </c>
    </row>
    <row r="129" spans="1:10" ht="12" customHeight="1" x14ac:dyDescent="0.3">
      <c r="A129" s="1013" t="s">
        <v>109</v>
      </c>
      <c r="B129" s="1110" t="s">
        <v>265</v>
      </c>
      <c r="C129" s="815"/>
      <c r="D129" s="1048"/>
      <c r="E129" s="1048"/>
      <c r="F129" s="1048"/>
      <c r="G129" s="1048"/>
      <c r="H129" s="1154"/>
      <c r="I129" s="1154"/>
      <c r="J129" s="1135"/>
    </row>
    <row r="130" spans="1:10" ht="12" customHeight="1" x14ac:dyDescent="0.3">
      <c r="A130" s="1013" t="s">
        <v>111</v>
      </c>
      <c r="B130" s="1110" t="s">
        <v>266</v>
      </c>
      <c r="C130" s="815"/>
      <c r="D130" s="1048"/>
      <c r="E130" s="1048"/>
      <c r="F130" s="1048"/>
      <c r="G130" s="1048"/>
      <c r="H130" s="1154"/>
      <c r="I130" s="1154"/>
      <c r="J130" s="1135"/>
    </row>
    <row r="131" spans="1:10" ht="12" customHeight="1" thickBot="1" x14ac:dyDescent="0.35">
      <c r="A131" s="1051" t="s">
        <v>113</v>
      </c>
      <c r="B131" s="1098" t="s">
        <v>267</v>
      </c>
      <c r="C131" s="815"/>
      <c r="D131" s="1048"/>
      <c r="E131" s="1048"/>
      <c r="F131" s="1048"/>
      <c r="G131" s="1048"/>
      <c r="H131" s="1154"/>
      <c r="I131" s="1154"/>
      <c r="J131" s="1135"/>
    </row>
    <row r="132" spans="1:10" ht="12" customHeight="1" thickBot="1" x14ac:dyDescent="0.35">
      <c r="A132" s="1011" t="s">
        <v>129</v>
      </c>
      <c r="B132" s="1109" t="s">
        <v>268</v>
      </c>
      <c r="C132" s="817">
        <f t="shared" ref="C132:J132" si="16">+C133+C134+C136+C135</f>
        <v>0</v>
      </c>
      <c r="D132" s="817">
        <f t="shared" si="16"/>
        <v>0</v>
      </c>
      <c r="E132" s="817">
        <f t="shared" si="16"/>
        <v>0</v>
      </c>
      <c r="F132" s="817">
        <f t="shared" si="16"/>
        <v>0</v>
      </c>
      <c r="G132" s="817">
        <f t="shared" si="16"/>
        <v>0</v>
      </c>
      <c r="H132" s="817">
        <f t="shared" si="16"/>
        <v>0</v>
      </c>
      <c r="I132" s="817"/>
      <c r="J132" s="817">
        <f t="shared" si="16"/>
        <v>0</v>
      </c>
    </row>
    <row r="133" spans="1:10" ht="12" customHeight="1" x14ac:dyDescent="0.3">
      <c r="A133" s="1013" t="s">
        <v>131</v>
      </c>
      <c r="B133" s="1110" t="s">
        <v>269</v>
      </c>
      <c r="C133" s="815"/>
      <c r="D133" s="1048"/>
      <c r="E133" s="1048"/>
      <c r="F133" s="1048"/>
      <c r="G133" s="1048"/>
      <c r="H133" s="1154"/>
      <c r="I133" s="1154"/>
      <c r="J133" s="1135"/>
    </row>
    <row r="134" spans="1:10" ht="12" customHeight="1" x14ac:dyDescent="0.3">
      <c r="A134" s="1013" t="s">
        <v>133</v>
      </c>
      <c r="B134" s="1110" t="s">
        <v>270</v>
      </c>
      <c r="C134" s="815"/>
      <c r="D134" s="1048"/>
      <c r="E134" s="1048"/>
      <c r="F134" s="1048"/>
      <c r="G134" s="1048"/>
      <c r="H134" s="1154"/>
      <c r="I134" s="1154"/>
      <c r="J134" s="1135"/>
    </row>
    <row r="135" spans="1:10" ht="12" customHeight="1" x14ac:dyDescent="0.3">
      <c r="A135" s="1013" t="s">
        <v>135</v>
      </c>
      <c r="B135" s="1110" t="s">
        <v>271</v>
      </c>
      <c r="C135" s="815"/>
      <c r="D135" s="1048"/>
      <c r="E135" s="1048"/>
      <c r="F135" s="1048"/>
      <c r="G135" s="1048"/>
      <c r="H135" s="1154"/>
      <c r="I135" s="1154"/>
      <c r="J135" s="1135"/>
    </row>
    <row r="136" spans="1:10" ht="12" customHeight="1" thickBot="1" x14ac:dyDescent="0.35">
      <c r="A136" s="1051" t="s">
        <v>137</v>
      </c>
      <c r="B136" s="1098" t="s">
        <v>272</v>
      </c>
      <c r="C136" s="815"/>
      <c r="D136" s="1048"/>
      <c r="E136" s="1048"/>
      <c r="F136" s="1048"/>
      <c r="G136" s="1048"/>
      <c r="H136" s="1154"/>
      <c r="I136" s="1154"/>
      <c r="J136" s="1135"/>
    </row>
    <row r="137" spans="1:10" ht="12" customHeight="1" thickBot="1" x14ac:dyDescent="0.35">
      <c r="A137" s="1011" t="s">
        <v>273</v>
      </c>
      <c r="B137" s="1109" t="s">
        <v>274</v>
      </c>
      <c r="C137" s="816">
        <f t="shared" ref="C137:J137" si="17">+C138+C139+C140+C141</f>
        <v>0</v>
      </c>
      <c r="D137" s="816">
        <f t="shared" si="17"/>
        <v>0</v>
      </c>
      <c r="E137" s="816">
        <f t="shared" si="17"/>
        <v>0</v>
      </c>
      <c r="F137" s="816">
        <f t="shared" si="17"/>
        <v>0</v>
      </c>
      <c r="G137" s="816">
        <f t="shared" si="17"/>
        <v>0</v>
      </c>
      <c r="H137" s="816">
        <f t="shared" si="17"/>
        <v>0</v>
      </c>
      <c r="I137" s="816"/>
      <c r="J137" s="816">
        <f t="shared" si="17"/>
        <v>0</v>
      </c>
    </row>
    <row r="138" spans="1:10" ht="12" customHeight="1" x14ac:dyDescent="0.3">
      <c r="A138" s="1013" t="s">
        <v>143</v>
      </c>
      <c r="B138" s="1110" t="s">
        <v>275</v>
      </c>
      <c r="C138" s="815"/>
      <c r="D138" s="1048"/>
      <c r="E138" s="1048"/>
      <c r="F138" s="1048"/>
      <c r="G138" s="1048"/>
      <c r="H138" s="1154"/>
      <c r="I138" s="1154"/>
      <c r="J138" s="1135"/>
    </row>
    <row r="139" spans="1:10" ht="12" customHeight="1" x14ac:dyDescent="0.3">
      <c r="A139" s="1013" t="s">
        <v>145</v>
      </c>
      <c r="B139" s="1110" t="s">
        <v>276</v>
      </c>
      <c r="C139" s="815"/>
      <c r="D139" s="1048"/>
      <c r="E139" s="1048"/>
      <c r="F139" s="1048"/>
      <c r="G139" s="1048"/>
      <c r="H139" s="1154"/>
      <c r="I139" s="1154"/>
      <c r="J139" s="1135"/>
    </row>
    <row r="140" spans="1:10" ht="12" customHeight="1" x14ac:dyDescent="0.3">
      <c r="A140" s="1013" t="s">
        <v>147</v>
      </c>
      <c r="B140" s="1110" t="s">
        <v>277</v>
      </c>
      <c r="C140" s="815"/>
      <c r="D140" s="1048"/>
      <c r="E140" s="1048"/>
      <c r="F140" s="1048"/>
      <c r="G140" s="1048"/>
      <c r="H140" s="1154"/>
      <c r="I140" s="1154"/>
      <c r="J140" s="1135"/>
    </row>
    <row r="141" spans="1:10" ht="12" customHeight="1" thickBot="1" x14ac:dyDescent="0.35">
      <c r="A141" s="1051" t="s">
        <v>149</v>
      </c>
      <c r="B141" s="1098" t="s">
        <v>278</v>
      </c>
      <c r="C141" s="815"/>
      <c r="D141" s="1048"/>
      <c r="E141" s="1048"/>
      <c r="F141" s="1048"/>
      <c r="G141" s="1048"/>
      <c r="H141" s="1154"/>
      <c r="I141" s="1154"/>
      <c r="J141" s="1135"/>
    </row>
    <row r="142" spans="1:10" ht="15" customHeight="1" thickBot="1" x14ac:dyDescent="0.35">
      <c r="A142" s="1011" t="s">
        <v>151</v>
      </c>
      <c r="B142" s="1109" t="s">
        <v>279</v>
      </c>
      <c r="C142" s="1111">
        <f t="shared" ref="C142:J142" si="18">+C143+C144+C145+C146</f>
        <v>0</v>
      </c>
      <c r="D142" s="1111">
        <f t="shared" si="18"/>
        <v>0</v>
      </c>
      <c r="E142" s="1111">
        <f t="shared" si="18"/>
        <v>0</v>
      </c>
      <c r="F142" s="1111">
        <f t="shared" si="18"/>
        <v>0</v>
      </c>
      <c r="G142" s="1111">
        <f t="shared" si="18"/>
        <v>0</v>
      </c>
      <c r="H142" s="1111">
        <f t="shared" si="18"/>
        <v>0</v>
      </c>
      <c r="I142" s="1111"/>
      <c r="J142" s="1111">
        <f t="shared" si="18"/>
        <v>0</v>
      </c>
    </row>
    <row r="143" spans="1:10" s="408" customFormat="1" ht="12.9" customHeight="1" x14ac:dyDescent="0.25">
      <c r="A143" s="1013" t="s">
        <v>153</v>
      </c>
      <c r="B143" s="1110" t="s">
        <v>280</v>
      </c>
      <c r="C143" s="815"/>
      <c r="D143" s="1018"/>
      <c r="E143" s="1018"/>
      <c r="F143" s="1018"/>
      <c r="G143" s="1018"/>
      <c r="H143" s="1157"/>
      <c r="I143" s="1157"/>
      <c r="J143" s="1158"/>
    </row>
    <row r="144" spans="1:10" ht="12.75" customHeight="1" x14ac:dyDescent="0.3">
      <c r="A144" s="1013" t="s">
        <v>155</v>
      </c>
      <c r="B144" s="1110" t="s">
        <v>281</v>
      </c>
      <c r="C144" s="815"/>
      <c r="D144" s="1048"/>
      <c r="E144" s="1048"/>
      <c r="F144" s="1048"/>
      <c r="G144" s="1048"/>
      <c r="H144" s="1154"/>
      <c r="I144" s="1154"/>
      <c r="J144" s="1135"/>
    </row>
    <row r="145" spans="1:10" ht="12.75" customHeight="1" x14ac:dyDescent="0.3">
      <c r="A145" s="1013" t="s">
        <v>157</v>
      </c>
      <c r="B145" s="1110" t="s">
        <v>282</v>
      </c>
      <c r="C145" s="815"/>
      <c r="D145" s="1048"/>
      <c r="E145" s="1048"/>
      <c r="F145" s="1048"/>
      <c r="G145" s="1048"/>
      <c r="H145" s="1154"/>
      <c r="I145" s="1154"/>
      <c r="J145" s="1135"/>
    </row>
    <row r="146" spans="1:10" ht="12.75" customHeight="1" thickBot="1" x14ac:dyDescent="0.35">
      <c r="A146" s="1013" t="s">
        <v>159</v>
      </c>
      <c r="B146" s="1110" t="s">
        <v>283</v>
      </c>
      <c r="C146" s="815"/>
      <c r="D146" s="1048"/>
      <c r="E146" s="1048"/>
      <c r="F146" s="1048"/>
      <c r="G146" s="1048"/>
      <c r="H146" s="1154"/>
      <c r="I146" s="1154"/>
      <c r="J146" s="1135"/>
    </row>
    <row r="147" spans="1:10" ht="16.2" thickBot="1" x14ac:dyDescent="0.35">
      <c r="A147" s="1011" t="s">
        <v>161</v>
      </c>
      <c r="B147" s="1109" t="s">
        <v>284</v>
      </c>
      <c r="C147" s="1159">
        <f t="shared" ref="C147:J147" si="19">+C128+C132+C137+C142</f>
        <v>0</v>
      </c>
      <c r="D147" s="1159">
        <f t="shared" si="19"/>
        <v>0</v>
      </c>
      <c r="E147" s="1159">
        <f t="shared" si="19"/>
        <v>0</v>
      </c>
      <c r="F147" s="1159">
        <f t="shared" si="19"/>
        <v>0</v>
      </c>
      <c r="G147" s="1159">
        <f t="shared" si="19"/>
        <v>0</v>
      </c>
      <c r="H147" s="1159">
        <f t="shared" si="19"/>
        <v>0</v>
      </c>
      <c r="I147" s="1159"/>
      <c r="J147" s="1159">
        <f t="shared" si="19"/>
        <v>0</v>
      </c>
    </row>
    <row r="148" spans="1:10" ht="16.2" thickBot="1" x14ac:dyDescent="0.35">
      <c r="A148" s="1113" t="s">
        <v>285</v>
      </c>
      <c r="B148" s="1160" t="s">
        <v>286</v>
      </c>
      <c r="C148" s="1159">
        <f t="shared" ref="C148:J148" si="20">+C127+C147</f>
        <v>90169972</v>
      </c>
      <c r="D148" s="1159">
        <f t="shared" si="20"/>
        <v>7555520</v>
      </c>
      <c r="E148" s="1159">
        <f t="shared" si="20"/>
        <v>1500000</v>
      </c>
      <c r="F148" s="1159">
        <f t="shared" si="20"/>
        <v>237000</v>
      </c>
      <c r="G148" s="1159">
        <f t="shared" si="20"/>
        <v>27624389</v>
      </c>
      <c r="H148" s="1159">
        <f t="shared" si="20"/>
        <v>52038063</v>
      </c>
      <c r="I148" s="1159"/>
      <c r="J148" s="1159">
        <f t="shared" si="20"/>
        <v>0</v>
      </c>
    </row>
    <row r="150" spans="1:10" ht="7.5" customHeight="1" x14ac:dyDescent="0.3"/>
    <row r="152" spans="1:10" ht="12.75" customHeight="1" x14ac:dyDescent="0.3"/>
    <row r="153" spans="1:10" ht="12.75" customHeight="1" x14ac:dyDescent="0.3"/>
    <row r="154" spans="1:10" ht="12.75" customHeight="1" x14ac:dyDescent="0.3"/>
    <row r="155" spans="1:10" ht="12.75" customHeight="1" x14ac:dyDescent="0.3"/>
    <row r="156" spans="1:10" ht="12.75" customHeight="1" x14ac:dyDescent="0.3"/>
    <row r="157" spans="1:10" ht="12.75" customHeight="1" x14ac:dyDescent="0.3">
      <c r="A157" s="406"/>
      <c r="B157" s="406"/>
    </row>
    <row r="158" spans="1:10" ht="12.75" customHeight="1" x14ac:dyDescent="0.3">
      <c r="A158" s="406"/>
      <c r="B158" s="406"/>
    </row>
    <row r="159" spans="1:10" s="395" customFormat="1" ht="12.75" customHeight="1" x14ac:dyDescent="0.3">
      <c r="D159" s="1069"/>
      <c r="E159" s="1069"/>
      <c r="F159" s="1069"/>
      <c r="G159" s="1069"/>
      <c r="H159" s="1001"/>
      <c r="I159" s="1001"/>
      <c r="J159" s="1001"/>
    </row>
  </sheetData>
  <mergeCells count="22">
    <mergeCell ref="A3:J3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I91:I92"/>
    <mergeCell ref="J91:J92"/>
    <mergeCell ref="J5:J6"/>
    <mergeCell ref="A89:J89"/>
    <mergeCell ref="A91:A92"/>
    <mergeCell ref="B91:B92"/>
    <mergeCell ref="C91:C92"/>
    <mergeCell ref="D91:D92"/>
    <mergeCell ref="E91:E92"/>
    <mergeCell ref="F91:F92"/>
    <mergeCell ref="G91:G92"/>
    <mergeCell ref="H91:H92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Header xml:space="preserve">&amp;R&amp;"Times New Roman CE,Dőlt"23_24. melléklet a 2/2020. (II.28.) önkormányzati rendelethez
</oddHeader>
  </headerFooter>
  <rowBreaks count="1" manualBreakCount="1">
    <brk id="87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B8"/>
  <sheetViews>
    <sheetView view="pageLayout" zoomScaleNormal="100" workbookViewId="0">
      <selection activeCell="A17" sqref="A17"/>
    </sheetView>
  </sheetViews>
  <sheetFormatPr defaultColWidth="9.33203125" defaultRowHeight="15.6" x14ac:dyDescent="0.3"/>
  <cols>
    <col min="1" max="1" width="61.6640625" style="906" customWidth="1"/>
    <col min="2" max="2" width="23.44140625" style="906" customWidth="1"/>
    <col min="3" max="16384" width="9.33203125" style="906"/>
  </cols>
  <sheetData>
    <row r="1" spans="1:2" ht="16.2" thickBot="1" x14ac:dyDescent="0.35">
      <c r="A1" s="1353" t="s">
        <v>2026</v>
      </c>
      <c r="B1" s="867" t="s">
        <v>1838</v>
      </c>
    </row>
    <row r="2" spans="1:2" x14ac:dyDescent="0.3">
      <c r="A2" s="1354" t="s">
        <v>2027</v>
      </c>
      <c r="B2" s="1355">
        <v>1558000</v>
      </c>
    </row>
    <row r="3" spans="1:2" x14ac:dyDescent="0.3">
      <c r="A3" s="1356" t="s">
        <v>1607</v>
      </c>
      <c r="B3" s="1357">
        <v>21800000</v>
      </c>
    </row>
    <row r="4" spans="1:2" s="910" customFormat="1" x14ac:dyDescent="0.3">
      <c r="A4" s="1358" t="s">
        <v>1608</v>
      </c>
      <c r="B4" s="1359">
        <v>8100000</v>
      </c>
    </row>
    <row r="5" spans="1:2" x14ac:dyDescent="0.3">
      <c r="A5" s="1358" t="s">
        <v>1615</v>
      </c>
      <c r="B5" s="1359">
        <v>124000</v>
      </c>
    </row>
    <row r="6" spans="1:2" x14ac:dyDescent="0.3">
      <c r="A6" s="1358" t="s">
        <v>2028</v>
      </c>
      <c r="B6" s="1359">
        <v>988000</v>
      </c>
    </row>
    <row r="7" spans="1:2" ht="16.2" thickBot="1" x14ac:dyDescent="0.35">
      <c r="A7" s="1360" t="s">
        <v>2029</v>
      </c>
      <c r="B7" s="1361">
        <v>5000000</v>
      </c>
    </row>
    <row r="8" spans="1:2" ht="16.2" thickBot="1" x14ac:dyDescent="0.35">
      <c r="A8" s="868" t="s">
        <v>398</v>
      </c>
      <c r="B8" s="1362">
        <f>SUM(B2:B7)</f>
        <v>37570000</v>
      </c>
    </row>
  </sheetData>
  <pageMargins left="0.7" right="0.7" top="1.15625" bottom="0.75" header="0.3" footer="0.3"/>
  <pageSetup paperSize="9" orientation="portrait" r:id="rId1"/>
  <headerFooter>
    <oddHeader>&amp;C&amp;"Times New Roman CE,Félkövér"Diósd Város Önkormányzat
 Közvetett támogatásai
2019. év &amp;R31. melléklet 
a 2/2020. (II.28.)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H157"/>
  <sheetViews>
    <sheetView showGridLines="0" view="pageLayout" zoomScaleNormal="130" zoomScaleSheetLayoutView="100" workbookViewId="0">
      <selection activeCell="G33" sqref="G33"/>
    </sheetView>
  </sheetViews>
  <sheetFormatPr defaultColWidth="9.33203125" defaultRowHeight="15.6" x14ac:dyDescent="0.3"/>
  <cols>
    <col min="1" max="1" width="9.44140625" style="395" customWidth="1"/>
    <col min="2" max="2" width="60.77734375" style="395" customWidth="1"/>
    <col min="3" max="3" width="18.33203125" style="396" bestFit="1" customWidth="1"/>
    <col min="4" max="4" width="18.44140625" style="396" customWidth="1"/>
    <col min="5" max="5" width="16.109375" style="396" customWidth="1"/>
    <col min="6" max="7" width="17.33203125" style="406" bestFit="1" customWidth="1"/>
    <col min="8" max="8" width="10.44140625" style="406" bestFit="1" customWidth="1"/>
    <col min="9" max="16384" width="9.33203125" style="406"/>
  </cols>
  <sheetData>
    <row r="1" spans="1:8" ht="15.9" customHeight="1" x14ac:dyDescent="0.3">
      <c r="A1" s="1617" t="s">
        <v>39</v>
      </c>
      <c r="B1" s="1618"/>
      <c r="C1" s="1618"/>
      <c r="D1" s="1618"/>
      <c r="E1" s="1618"/>
      <c r="F1" s="1618"/>
      <c r="G1" s="1619"/>
    </row>
    <row r="2" spans="1:8" ht="15.9" customHeight="1" thickBot="1" x14ac:dyDescent="0.35">
      <c r="A2" s="1405" t="s">
        <v>2109</v>
      </c>
      <c r="B2" s="42"/>
      <c r="C2" s="393"/>
      <c r="D2" s="1546"/>
      <c r="E2" s="393"/>
      <c r="F2" s="1544"/>
      <c r="G2" s="1406" t="s">
        <v>1690</v>
      </c>
    </row>
    <row r="3" spans="1:8" ht="12.75" customHeight="1" thickBot="1" x14ac:dyDescent="0.35">
      <c r="A3" s="1624" t="s">
        <v>41</v>
      </c>
      <c r="B3" s="1626" t="s">
        <v>42</v>
      </c>
      <c r="C3" s="1628" t="str">
        <f>'4_Önkormányzat'!C3:E3</f>
        <v>2019. évi</v>
      </c>
      <c r="D3" s="1629"/>
      <c r="E3" s="1629"/>
      <c r="F3" s="1629"/>
      <c r="G3" s="1630"/>
    </row>
    <row r="4" spans="1:8" ht="31.2" customHeight="1" thickBot="1" x14ac:dyDescent="0.35">
      <c r="A4" s="1625"/>
      <c r="B4" s="1627"/>
      <c r="C4" s="1561" t="s">
        <v>43</v>
      </c>
      <c r="D4" s="1561" t="s">
        <v>2132</v>
      </c>
      <c r="E4" s="1561" t="s">
        <v>2133</v>
      </c>
      <c r="F4" s="1541" t="s">
        <v>2169</v>
      </c>
      <c r="G4" s="1541" t="s">
        <v>2183</v>
      </c>
    </row>
    <row r="5" spans="1:8" s="407" customFormat="1" ht="9.75" customHeight="1" thickBot="1" x14ac:dyDescent="0.25">
      <c r="A5" s="372" t="s">
        <v>46</v>
      </c>
      <c r="B5" s="373" t="s">
        <v>47</v>
      </c>
      <c r="C5" s="936" t="s">
        <v>48</v>
      </c>
      <c r="D5" s="1560" t="s">
        <v>49</v>
      </c>
      <c r="E5" s="1560" t="s">
        <v>50</v>
      </c>
      <c r="F5" s="1560" t="s">
        <v>294</v>
      </c>
      <c r="G5" s="1560" t="s">
        <v>295</v>
      </c>
    </row>
    <row r="6" spans="1:8" s="408" customFormat="1" ht="12" customHeight="1" thickBot="1" x14ac:dyDescent="0.3">
      <c r="A6" s="367" t="s">
        <v>51</v>
      </c>
      <c r="B6" s="368" t="s">
        <v>52</v>
      </c>
      <c r="C6" s="952">
        <f>SUM(C7:C12)</f>
        <v>514472405</v>
      </c>
      <c r="D6" s="817">
        <f>SUM(D7:D12)</f>
        <v>519103059</v>
      </c>
      <c r="E6" s="817">
        <f>SUM(E7:E12)</f>
        <v>531398359</v>
      </c>
      <c r="F6" s="817">
        <f>SUM(F7:F12)</f>
        <v>532641643</v>
      </c>
      <c r="G6" s="817">
        <f>SUM(G7:G12)</f>
        <v>551209563</v>
      </c>
      <c r="H6" s="912">
        <f>G6-F6</f>
        <v>18567920</v>
      </c>
    </row>
    <row r="7" spans="1:8" s="408" customFormat="1" ht="12" customHeight="1" x14ac:dyDescent="0.25">
      <c r="A7" s="362" t="s">
        <v>53</v>
      </c>
      <c r="B7" s="409" t="s">
        <v>54</v>
      </c>
      <c r="C7" s="953">
        <f>'4_Önkormányzat'!$C$7+'5_Hivatal'!C7+'6_Óvoda'!C7+'7_Bölcsöde'!C9+'8_KGMH'!C9</f>
        <v>113626837</v>
      </c>
      <c r="D7" s="819">
        <f>'4_Önkormányzat'!D7</f>
        <v>113730444</v>
      </c>
      <c r="E7" s="400">
        <f>D7+32984+14221+3444000</f>
        <v>117221649</v>
      </c>
      <c r="F7" s="400">
        <f>'4_Önkormányzat'!F7+'5_Hivatal'!F7+'6_Óvoda'!F7+'7_Bölcsöde'!F9+'8_KGMH'!F9</f>
        <v>117261247</v>
      </c>
      <c r="G7" s="516">
        <f>'4_Önkormányzat'!G7+'5_Hivatal'!G7+'6_Óvoda'!G7+'7_Bölcsöde'!G9+'8_KGMH'!G9</f>
        <v>117286861</v>
      </c>
      <c r="H7" s="912">
        <f t="shared" ref="H7:H70" si="0">G7-F7</f>
        <v>25614</v>
      </c>
    </row>
    <row r="8" spans="1:8" s="408" customFormat="1" ht="12" customHeight="1" x14ac:dyDescent="0.25">
      <c r="A8" s="361" t="s">
        <v>55</v>
      </c>
      <c r="B8" s="410" t="s">
        <v>56</v>
      </c>
      <c r="C8" s="953">
        <f>'4_Önkormányzat'!$C$8+'5_Hivatal'!C8+'6_Óvoda'!C8+'7_Bölcsöde'!C10+'8_KGMH'!C10</f>
        <v>268246807</v>
      </c>
      <c r="D8" s="815">
        <f>'4_Önkormányzat'!D8</f>
        <v>268246807</v>
      </c>
      <c r="E8" s="399">
        <f>D8+4680000-356367</f>
        <v>272570440</v>
      </c>
      <c r="F8" s="399">
        <f>'4_Önkormányzat'!F8+'5_Hivatal'!F8+'6_Óvoda'!F8+'7_Bölcsöde'!F10+'8_KGMH'!F10</f>
        <v>272570440</v>
      </c>
      <c r="G8" s="515">
        <f>'4_Önkormányzat'!G8+'5_Hivatal'!G8+'6_Óvoda'!G8+'7_Bölcsöde'!G10+'8_KGMH'!G10</f>
        <v>272570440</v>
      </c>
      <c r="H8" s="912">
        <f t="shared" si="0"/>
        <v>0</v>
      </c>
    </row>
    <row r="9" spans="1:8" s="408" customFormat="1" ht="12" customHeight="1" x14ac:dyDescent="0.25">
      <c r="A9" s="361" t="s">
        <v>57</v>
      </c>
      <c r="B9" s="410" t="s">
        <v>58</v>
      </c>
      <c r="C9" s="953">
        <f>'4_Önkormányzat'!$C$9+'5_Hivatal'!C9+'6_Óvoda'!C9+'7_Bölcsöde'!C11+'8_KGMH'!C11</f>
        <v>105236021</v>
      </c>
      <c r="D9" s="815">
        <f>105236021+258444</f>
        <v>105494465</v>
      </c>
      <c r="E9" s="399">
        <f>D9+439559+4180000-1214087</f>
        <v>108899937</v>
      </c>
      <c r="F9" s="399">
        <f>'4_Önkormányzat'!F9+'5_Hivatal'!F9+'6_Óvoda'!F9+'7_Bölcsöde'!F11+'8_KGMH'!F11</f>
        <v>109287161</v>
      </c>
      <c r="G9" s="515">
        <f>'4_Önkormányzat'!G9+'5_Hivatal'!G9+'6_Óvoda'!G9+'7_Bölcsöde'!G11+'8_KGMH'!G11</f>
        <v>96040235</v>
      </c>
      <c r="H9" s="912">
        <f t="shared" si="0"/>
        <v>-13246926</v>
      </c>
    </row>
    <row r="10" spans="1:8" s="408" customFormat="1" ht="12" customHeight="1" x14ac:dyDescent="0.25">
      <c r="A10" s="361" t="s">
        <v>59</v>
      </c>
      <c r="B10" s="410" t="s">
        <v>60</v>
      </c>
      <c r="C10" s="953">
        <f>'4_Önkormányzat'!$C$10+'5_Hivatal'!C10+'6_Óvoda'!C10+'7_Bölcsöde'!C12+'8_KGMH'!C12</f>
        <v>12528340</v>
      </c>
      <c r="D10" s="815">
        <f>12528340+591503</f>
        <v>13119843</v>
      </c>
      <c r="E10" s="399">
        <f>D10+412990+237000+425000</f>
        <v>14194833</v>
      </c>
      <c r="F10" s="399">
        <f>'4_Önkormányzat'!F10+'5_Hivatal'!F10+'6_Óvoda'!F10+'7_Bölcsöde'!F12+'8_KGMH'!F12</f>
        <v>14600975</v>
      </c>
      <c r="G10" s="515">
        <f>'4_Önkormányzat'!G10+'5_Hivatal'!G10+'6_Óvoda'!G10+'7_Bölcsöde'!G12+'8_KGMH'!G12</f>
        <v>14871695</v>
      </c>
      <c r="H10" s="912">
        <f t="shared" si="0"/>
        <v>270720</v>
      </c>
    </row>
    <row r="11" spans="1:8" s="408" customFormat="1" ht="12" customHeight="1" x14ac:dyDescent="0.25">
      <c r="A11" s="361" t="s">
        <v>61</v>
      </c>
      <c r="B11" s="411" t="s">
        <v>64</v>
      </c>
      <c r="C11" s="953">
        <f>'4_Önkormányzat'!C11</f>
        <v>14834400</v>
      </c>
      <c r="D11" s="818">
        <f>'4_Önkormányzat'!D11</f>
        <v>14834400</v>
      </c>
      <c r="E11" s="401">
        <f>'4_Önkormányzat'!E11</f>
        <v>14834400</v>
      </c>
      <c r="F11" s="401">
        <f>'4_Önkormányzat'!F11+'5_Hivatal'!F11+'6_Óvoda'!F11+'7_Bölcsöde'!F13+'8_KGMH'!F13</f>
        <v>14834400</v>
      </c>
      <c r="G11" s="517">
        <f>'4_Önkormányzat'!G11+'5_Hivatal'!G11+'6_Óvoda'!G11+'7_Bölcsöde'!G13+'8_KGMH'!G13</f>
        <v>46352912</v>
      </c>
      <c r="H11" s="912">
        <f t="shared" si="0"/>
        <v>31518512</v>
      </c>
    </row>
    <row r="12" spans="1:8" s="408" customFormat="1" ht="12" customHeight="1" thickBot="1" x14ac:dyDescent="0.3">
      <c r="A12" s="363" t="s">
        <v>63</v>
      </c>
      <c r="B12" s="410" t="s">
        <v>62</v>
      </c>
      <c r="C12" s="953"/>
      <c r="D12" s="815">
        <f>'4_Önkormányzat'!D12</f>
        <v>3677100</v>
      </c>
      <c r="E12" s="399">
        <f>'4_Önkormányzat'!E12</f>
        <v>3677100</v>
      </c>
      <c r="F12" s="399">
        <f>'4_Önkormányzat'!F12+'5_Hivatal'!F12+'6_Óvoda'!F12+'7_Bölcsöde'!F14+'8_KGMH'!F14</f>
        <v>4087420</v>
      </c>
      <c r="G12" s="515">
        <f>'4_Önkormányzat'!G12+'5_Hivatal'!G12+'6_Óvoda'!G12+'7_Bölcsöde'!G14+'8_KGMH'!G14</f>
        <v>4087420</v>
      </c>
      <c r="H12" s="912">
        <f t="shared" si="0"/>
        <v>0</v>
      </c>
    </row>
    <row r="13" spans="1:8" s="408" customFormat="1" ht="21.75" customHeight="1" thickBot="1" x14ac:dyDescent="0.3">
      <c r="A13" s="367" t="s">
        <v>65</v>
      </c>
      <c r="B13" s="388" t="s">
        <v>66</v>
      </c>
      <c r="C13" s="952">
        <f>SUM(C14:C18)</f>
        <v>31215700</v>
      </c>
      <c r="D13" s="817">
        <f>SUM(D14:D18)</f>
        <v>33140480</v>
      </c>
      <c r="E13" s="817">
        <f>SUM(E14:E18)</f>
        <v>33140480</v>
      </c>
      <c r="F13" s="817">
        <f>SUM(F14:F18)</f>
        <v>69325475</v>
      </c>
      <c r="G13" s="817">
        <f>SUM(G14:G18)</f>
        <v>35260891</v>
      </c>
      <c r="H13" s="912">
        <f t="shared" si="0"/>
        <v>-34064584</v>
      </c>
    </row>
    <row r="14" spans="1:8" s="408" customFormat="1" ht="12" customHeight="1" x14ac:dyDescent="0.25">
      <c r="A14" s="362" t="s">
        <v>67</v>
      </c>
      <c r="B14" s="409" t="s">
        <v>68</v>
      </c>
      <c r="C14" s="938"/>
      <c r="D14" s="819">
        <f>'4_Önkormányzat'!D14</f>
        <v>1924780</v>
      </c>
      <c r="E14" s="819">
        <f>'4_Önkormányzat'!E14</f>
        <v>1924780</v>
      </c>
      <c r="F14" s="819">
        <f>'4_Önkormányzat'!F14+'5_Hivatal'!F14+'6_Óvoda'!F14+'7_Bölcsöde'!F16+'8_KGMH'!F16</f>
        <v>1924780</v>
      </c>
      <c r="G14" s="819">
        <f>'4_Önkormányzat'!G14+'5_Hivatal'!G14+'6_Óvoda'!G14+'7_Bölcsöde'!G16+'8_KGMH'!G16</f>
        <v>1924780</v>
      </c>
      <c r="H14" s="912">
        <f t="shared" si="0"/>
        <v>0</v>
      </c>
    </row>
    <row r="15" spans="1:8" s="408" customFormat="1" ht="12" customHeight="1" x14ac:dyDescent="0.25">
      <c r="A15" s="361" t="s">
        <v>69</v>
      </c>
      <c r="B15" s="410" t="s">
        <v>70</v>
      </c>
      <c r="C15" s="939"/>
      <c r="D15" s="815"/>
      <c r="E15" s="815"/>
      <c r="F15" s="815">
        <f>'4_Önkormányzat'!F15+'5_Hivatal'!F15+'6_Óvoda'!F15+'7_Bölcsöde'!F17+'8_KGMH'!F17</f>
        <v>0</v>
      </c>
      <c r="G15" s="815">
        <f>'4_Önkormányzat'!G15+'5_Hivatal'!G15+'6_Óvoda'!G15+'7_Bölcsöde'!G17+'8_KGMH'!G17</f>
        <v>0</v>
      </c>
      <c r="H15" s="912">
        <f t="shared" si="0"/>
        <v>0</v>
      </c>
    </row>
    <row r="16" spans="1:8" s="408" customFormat="1" ht="12" customHeight="1" x14ac:dyDescent="0.25">
      <c r="A16" s="361" t="s">
        <v>71</v>
      </c>
      <c r="B16" s="410" t="s">
        <v>72</v>
      </c>
      <c r="C16" s="939"/>
      <c r="D16" s="815"/>
      <c r="E16" s="815"/>
      <c r="F16" s="815">
        <f>'4_Önkormányzat'!F16+'5_Hivatal'!F16+'6_Óvoda'!F16+'7_Bölcsöde'!F18+'8_KGMH'!F18</f>
        <v>0</v>
      </c>
      <c r="G16" s="815">
        <f>'4_Önkormányzat'!G16+'5_Hivatal'!G16+'6_Óvoda'!G16+'7_Bölcsöde'!G18+'8_KGMH'!G18</f>
        <v>0</v>
      </c>
      <c r="H16" s="912">
        <f t="shared" si="0"/>
        <v>0</v>
      </c>
    </row>
    <row r="17" spans="1:8" s="408" customFormat="1" ht="12" customHeight="1" x14ac:dyDescent="0.25">
      <c r="A17" s="361" t="s">
        <v>73</v>
      </c>
      <c r="B17" s="410" t="s">
        <v>74</v>
      </c>
      <c r="C17" s="939"/>
      <c r="D17" s="815"/>
      <c r="E17" s="815"/>
      <c r="F17" s="815">
        <f>'4_Önkormányzat'!F17+'5_Hivatal'!F17+'6_Óvoda'!F17+'7_Bölcsöde'!F19+'8_KGMH'!F19</f>
        <v>0</v>
      </c>
      <c r="G17" s="815">
        <f>'4_Önkormányzat'!G17+'5_Hivatal'!G17+'6_Óvoda'!G17+'7_Bölcsöde'!G19+'8_KGMH'!G19</f>
        <v>0</v>
      </c>
      <c r="H17" s="912">
        <f t="shared" si="0"/>
        <v>0</v>
      </c>
    </row>
    <row r="18" spans="1:8" s="408" customFormat="1" ht="12" customHeight="1" x14ac:dyDescent="0.25">
      <c r="A18" s="361" t="s">
        <v>75</v>
      </c>
      <c r="B18" s="410" t="s">
        <v>76</v>
      </c>
      <c r="C18" s="939">
        <f>'4_Önkormányzat'!C18</f>
        <v>31215700</v>
      </c>
      <c r="D18" s="815">
        <f>'4_Önkormányzat'!D18</f>
        <v>31215700</v>
      </c>
      <c r="E18" s="815">
        <f>'4_Önkormányzat'!E18</f>
        <v>31215700</v>
      </c>
      <c r="F18" s="815">
        <f>'4_Önkormányzat'!F18+'5_Hivatal'!F18+'6_Óvoda'!F18+'7_Bölcsöde'!F20+'8_KGMH'!F20</f>
        <v>67400695</v>
      </c>
      <c r="G18" s="815">
        <f>'4_Önkormányzat'!G18+'5_Hivatal'!G18+'6_Óvoda'!G18+'7_Bölcsöde'!G20+'8_KGMH'!G20</f>
        <v>33336111</v>
      </c>
      <c r="H18" s="912">
        <f t="shared" si="0"/>
        <v>-34064584</v>
      </c>
    </row>
    <row r="19" spans="1:8" s="408" customFormat="1" ht="12" customHeight="1" thickBot="1" x14ac:dyDescent="0.3">
      <c r="A19" s="363" t="s">
        <v>77</v>
      </c>
      <c r="B19" s="411" t="s">
        <v>78</v>
      </c>
      <c r="C19" s="940">
        <f>'4_Önkormányzat'!C19</f>
        <v>5155300</v>
      </c>
      <c r="D19" s="818">
        <f>'4_Önkormányzat'!D19</f>
        <v>5155300</v>
      </c>
      <c r="E19" s="818">
        <f>'4_Önkormányzat'!E19</f>
        <v>5155300</v>
      </c>
      <c r="F19" s="818">
        <f>'4_Önkormányzat'!F19+'5_Hivatal'!F19+'6_Óvoda'!F19+'7_Bölcsöde'!F21+'8_KGMH'!F21</f>
        <v>5155300</v>
      </c>
      <c r="G19" s="818">
        <f>'4_Önkormányzat'!G19+'5_Hivatal'!G19+'6_Óvoda'!G19+'7_Bölcsöde'!G21+'8_KGMH'!G21</f>
        <v>5155300</v>
      </c>
      <c r="H19" s="912">
        <f t="shared" si="0"/>
        <v>0</v>
      </c>
    </row>
    <row r="20" spans="1:8" s="408" customFormat="1" ht="20.25" customHeight="1" thickBot="1" x14ac:dyDescent="0.3">
      <c r="A20" s="367" t="s">
        <v>79</v>
      </c>
      <c r="B20" s="368" t="s">
        <v>80</v>
      </c>
      <c r="C20" s="952">
        <f>SUM(C21:C25)</f>
        <v>0</v>
      </c>
      <c r="D20" s="817">
        <f>SUM(D21:D25)</f>
        <v>0</v>
      </c>
      <c r="E20" s="817">
        <f>SUM(E21:E25)</f>
        <v>0</v>
      </c>
      <c r="F20" s="817">
        <f>SUM(F21:F25)</f>
        <v>0</v>
      </c>
      <c r="G20" s="817">
        <f>SUM(G21:G25)</f>
        <v>278000</v>
      </c>
      <c r="H20" s="912">
        <f t="shared" si="0"/>
        <v>278000</v>
      </c>
    </row>
    <row r="21" spans="1:8" s="408" customFormat="1" ht="12" customHeight="1" x14ac:dyDescent="0.25">
      <c r="A21" s="362" t="s">
        <v>81</v>
      </c>
      <c r="B21" s="409" t="s">
        <v>82</v>
      </c>
      <c r="C21" s="953"/>
      <c r="D21" s="819">
        <f>'[1]6_Óvoda'!D23+'[1]5_Hivatal'!D23+'[1]4_Önkormányzat'!D23+'[1]7_Bölcsöde'!D23+'[1]8_KGMH'!D23</f>
        <v>0</v>
      </c>
      <c r="E21" s="819">
        <f>'6_Óvoda'!E21+'5_Hivatal'!E21+'4_Önkormányzat'!E21+'7_Bölcsöde'!E23+'8_KGMH'!E23</f>
        <v>0</v>
      </c>
      <c r="F21" s="819">
        <f>'4_Önkormányzat'!F21+'5_Hivatal'!F21+'6_Óvoda'!F21+'7_Bölcsöde'!F23+'8_KGMH'!F23</f>
        <v>0</v>
      </c>
      <c r="G21" s="819">
        <f>'4_Önkormányzat'!G21+'5_Hivatal'!G21+'6_Óvoda'!G21+'7_Bölcsöde'!G23+'8_KGMH'!G23</f>
        <v>278000</v>
      </c>
      <c r="H21" s="912">
        <f t="shared" si="0"/>
        <v>278000</v>
      </c>
    </row>
    <row r="22" spans="1:8" s="408" customFormat="1" ht="12" customHeight="1" x14ac:dyDescent="0.25">
      <c r="A22" s="361" t="s">
        <v>83</v>
      </c>
      <c r="B22" s="410" t="s">
        <v>84</v>
      </c>
      <c r="C22" s="953"/>
      <c r="D22" s="819">
        <f>'[1]6_Óvoda'!D24+'[1]5_Hivatal'!D24+'[1]4_Önkormányzat'!D24+'[1]7_Bölcsöde'!D24+'[1]8_KGMH'!D24</f>
        <v>0</v>
      </c>
      <c r="E22" s="819">
        <f>'6_Óvoda'!E22+'5_Hivatal'!E22+'4_Önkormányzat'!E22+'7_Bölcsöde'!E24+'8_KGMH'!E24</f>
        <v>0</v>
      </c>
      <c r="F22" s="819">
        <f>'4_Önkormányzat'!F22+'5_Hivatal'!F22+'6_Óvoda'!F22+'7_Bölcsöde'!F24+'8_KGMH'!F24</f>
        <v>0</v>
      </c>
      <c r="G22" s="819">
        <f>'4_Önkormányzat'!G22+'5_Hivatal'!G22+'6_Óvoda'!G22+'7_Bölcsöde'!G24+'8_KGMH'!G24</f>
        <v>0</v>
      </c>
      <c r="H22" s="912">
        <f t="shared" si="0"/>
        <v>0</v>
      </c>
    </row>
    <row r="23" spans="1:8" s="408" customFormat="1" ht="12" customHeight="1" x14ac:dyDescent="0.25">
      <c r="A23" s="361" t="s">
        <v>85</v>
      </c>
      <c r="B23" s="410" t="s">
        <v>86</v>
      </c>
      <c r="C23" s="953"/>
      <c r="D23" s="819">
        <f>'[1]6_Óvoda'!D25+'[1]5_Hivatal'!D25+'[1]4_Önkormányzat'!D25+'[1]7_Bölcsöde'!D25+'[1]8_KGMH'!D25</f>
        <v>0</v>
      </c>
      <c r="E23" s="819">
        <f>'6_Óvoda'!E23+'5_Hivatal'!E23+'4_Önkormányzat'!E23+'7_Bölcsöde'!E25+'8_KGMH'!E25</f>
        <v>0</v>
      </c>
      <c r="F23" s="819">
        <f>'4_Önkormányzat'!F23+'5_Hivatal'!F23+'6_Óvoda'!F23+'7_Bölcsöde'!F25+'8_KGMH'!F25</f>
        <v>0</v>
      </c>
      <c r="G23" s="819">
        <f>'4_Önkormányzat'!G23+'5_Hivatal'!G23+'6_Óvoda'!G23+'7_Bölcsöde'!G25+'8_KGMH'!G25</f>
        <v>0</v>
      </c>
      <c r="H23" s="912">
        <f t="shared" si="0"/>
        <v>0</v>
      </c>
    </row>
    <row r="24" spans="1:8" s="408" customFormat="1" ht="12" customHeight="1" x14ac:dyDescent="0.25">
      <c r="A24" s="361" t="s">
        <v>87</v>
      </c>
      <c r="B24" s="410" t="s">
        <v>88</v>
      </c>
      <c r="C24" s="953"/>
      <c r="D24" s="819">
        <f>'[1]6_Óvoda'!D26+'[1]5_Hivatal'!D26+'[1]4_Önkormányzat'!D26+'[1]7_Bölcsöde'!D26+'[1]8_KGMH'!D26</f>
        <v>0</v>
      </c>
      <c r="E24" s="819">
        <f>'6_Óvoda'!E24+'5_Hivatal'!E24+'4_Önkormányzat'!E24+'7_Bölcsöde'!E26+'8_KGMH'!E26</f>
        <v>0</v>
      </c>
      <c r="F24" s="819">
        <f>'4_Önkormányzat'!F24+'5_Hivatal'!F24+'6_Óvoda'!F24+'7_Bölcsöde'!F26+'8_KGMH'!F26</f>
        <v>0</v>
      </c>
      <c r="G24" s="819">
        <f>'4_Önkormányzat'!G24+'5_Hivatal'!G24+'6_Óvoda'!G24+'7_Bölcsöde'!G26+'8_KGMH'!G26</f>
        <v>0</v>
      </c>
      <c r="H24" s="912">
        <f t="shared" si="0"/>
        <v>0</v>
      </c>
    </row>
    <row r="25" spans="1:8" s="408" customFormat="1" ht="12" customHeight="1" x14ac:dyDescent="0.25">
      <c r="A25" s="361" t="s">
        <v>89</v>
      </c>
      <c r="B25" s="410" t="s">
        <v>90</v>
      </c>
      <c r="C25" s="953"/>
      <c r="D25" s="819">
        <f>'[1]6_Óvoda'!D27+'[1]5_Hivatal'!D27+'[1]4_Önkormányzat'!D27+'[1]7_Bölcsöde'!D27+'[1]8_KGMH'!D27</f>
        <v>0</v>
      </c>
      <c r="E25" s="819">
        <f>'6_Óvoda'!E25+'5_Hivatal'!E25+'4_Önkormányzat'!E25+'7_Bölcsöde'!E27+'8_KGMH'!E27</f>
        <v>0</v>
      </c>
      <c r="F25" s="819">
        <f>'4_Önkormányzat'!F25+'5_Hivatal'!F25+'6_Óvoda'!F25+'7_Bölcsöde'!F27+'8_KGMH'!F27</f>
        <v>0</v>
      </c>
      <c r="G25" s="819">
        <f>'4_Önkormányzat'!G25+'5_Hivatal'!G25+'6_Óvoda'!G25+'7_Bölcsöde'!G27+'8_KGMH'!G27</f>
        <v>0</v>
      </c>
      <c r="H25" s="912">
        <f t="shared" si="0"/>
        <v>0</v>
      </c>
    </row>
    <row r="26" spans="1:8" s="408" customFormat="1" ht="12" customHeight="1" thickBot="1" x14ac:dyDescent="0.3">
      <c r="A26" s="363" t="s">
        <v>91</v>
      </c>
      <c r="B26" s="411" t="s">
        <v>92</v>
      </c>
      <c r="C26" s="953"/>
      <c r="D26" s="819">
        <f>'[1]6_Óvoda'!D28+'[1]5_Hivatal'!D28+'[1]4_Önkormányzat'!D28+'[1]7_Bölcsöde'!D28+'[1]8_KGMH'!D28</f>
        <v>0</v>
      </c>
      <c r="E26" s="819">
        <f>'6_Óvoda'!E26+'5_Hivatal'!E26+'4_Önkormányzat'!E26+'7_Bölcsöde'!E28+'8_KGMH'!E28</f>
        <v>0</v>
      </c>
      <c r="F26" s="819">
        <f>'4_Önkormányzat'!F26+'5_Hivatal'!F26+'6_Óvoda'!F26+'7_Bölcsöde'!F28+'8_KGMH'!F28</f>
        <v>0</v>
      </c>
      <c r="G26" s="819">
        <f>'4_Önkormányzat'!G26+'5_Hivatal'!G26+'6_Óvoda'!G26+'7_Bölcsöde'!G28+'8_KGMH'!G28</f>
        <v>0</v>
      </c>
      <c r="H26" s="912">
        <f t="shared" si="0"/>
        <v>0</v>
      </c>
    </row>
    <row r="27" spans="1:8" s="408" customFormat="1" ht="12" customHeight="1" thickBot="1" x14ac:dyDescent="0.3">
      <c r="A27" s="367" t="s">
        <v>93</v>
      </c>
      <c r="B27" s="368" t="s">
        <v>94</v>
      </c>
      <c r="C27" s="954">
        <f>+C28+C31+C32+C33</f>
        <v>684000000</v>
      </c>
      <c r="D27" s="816">
        <f>+D28+D31+D32+D33</f>
        <v>709000000</v>
      </c>
      <c r="E27" s="816">
        <f>+E28+E31+E32+E33</f>
        <v>725000000</v>
      </c>
      <c r="F27" s="816">
        <f>+F28+F31+F32+F33</f>
        <v>725000000</v>
      </c>
      <c r="G27" s="816">
        <f>+G28+G31+G32+G33</f>
        <v>725000000</v>
      </c>
      <c r="H27" s="912">
        <f t="shared" si="0"/>
        <v>0</v>
      </c>
    </row>
    <row r="28" spans="1:8" s="408" customFormat="1" ht="12" customHeight="1" x14ac:dyDescent="0.25">
      <c r="A28" s="362" t="s">
        <v>95</v>
      </c>
      <c r="B28" s="409" t="s">
        <v>96</v>
      </c>
      <c r="C28" s="942">
        <f>'4_Önkormányzat'!C28</f>
        <v>637000000</v>
      </c>
      <c r="D28" s="823">
        <f>'4_Önkormányzat'!D28</f>
        <v>662000000</v>
      </c>
      <c r="E28" s="823">
        <f>'4_Önkormányzat'!E28</f>
        <v>682000000</v>
      </c>
      <c r="F28" s="823">
        <f>'4_Önkormányzat'!F28+'5_Hivatal'!F28+'6_Óvoda'!F28+'7_Bölcsöde'!F30+'8_KGMH'!F30</f>
        <v>682000000</v>
      </c>
      <c r="G28" s="823">
        <f>'4_Önkormányzat'!G28+'5_Hivatal'!G28+'6_Óvoda'!G28+'7_Bölcsöde'!G30+'8_KGMH'!G30</f>
        <v>682000000</v>
      </c>
      <c r="H28" s="912">
        <f t="shared" si="0"/>
        <v>0</v>
      </c>
    </row>
    <row r="29" spans="1:8" s="408" customFormat="1" ht="12" customHeight="1" x14ac:dyDescent="0.25">
      <c r="A29" s="361" t="s">
        <v>97</v>
      </c>
      <c r="B29" s="410" t="s">
        <v>98</v>
      </c>
      <c r="C29" s="939">
        <f>'4_Önkormányzat'!C29</f>
        <v>217000000</v>
      </c>
      <c r="D29" s="815">
        <f>'4_Önkormányzat'!D29</f>
        <v>225000000</v>
      </c>
      <c r="E29" s="815">
        <f>'4_Önkormányzat'!E29</f>
        <v>235000000</v>
      </c>
      <c r="F29" s="815">
        <f>'4_Önkormányzat'!F29+'5_Hivatal'!F29+'6_Óvoda'!F29+'7_Bölcsöde'!F31+'8_KGMH'!F31</f>
        <v>235000000</v>
      </c>
      <c r="G29" s="815">
        <f>'4_Önkormányzat'!G29+'5_Hivatal'!G29+'6_Óvoda'!G29+'7_Bölcsöde'!G31+'8_KGMH'!G31</f>
        <v>235000000</v>
      </c>
      <c r="H29" s="912">
        <f t="shared" si="0"/>
        <v>0</v>
      </c>
    </row>
    <row r="30" spans="1:8" s="408" customFormat="1" ht="12" customHeight="1" x14ac:dyDescent="0.25">
      <c r="A30" s="361" t="s">
        <v>99</v>
      </c>
      <c r="B30" s="410" t="s">
        <v>100</v>
      </c>
      <c r="C30" s="939">
        <f>'4_Önkormányzat'!C30</f>
        <v>420000000</v>
      </c>
      <c r="D30" s="815">
        <f>'4_Önkormányzat'!D30</f>
        <v>437000000</v>
      </c>
      <c r="E30" s="815">
        <f>'4_Önkormányzat'!E30</f>
        <v>447000000</v>
      </c>
      <c r="F30" s="815">
        <f>'4_Önkormányzat'!F30+'5_Hivatal'!F30+'6_Óvoda'!F30+'7_Bölcsöde'!F32+'8_KGMH'!F32</f>
        <v>447000000</v>
      </c>
      <c r="G30" s="815">
        <f>'4_Önkormányzat'!G30+'5_Hivatal'!G30+'6_Óvoda'!G30+'7_Bölcsöde'!G32+'8_KGMH'!G32</f>
        <v>447000000</v>
      </c>
      <c r="H30" s="912">
        <f t="shared" si="0"/>
        <v>0</v>
      </c>
    </row>
    <row r="31" spans="1:8" s="408" customFormat="1" ht="12" customHeight="1" x14ac:dyDescent="0.25">
      <c r="A31" s="361" t="s">
        <v>101</v>
      </c>
      <c r="B31" s="410" t="s">
        <v>102</v>
      </c>
      <c r="C31" s="939">
        <f>'4_Önkormányzat'!C31</f>
        <v>35000000</v>
      </c>
      <c r="D31" s="815">
        <f>'4_Önkormányzat'!D31</f>
        <v>35000000</v>
      </c>
      <c r="E31" s="815">
        <f>'4_Önkormányzat'!E31</f>
        <v>40000000</v>
      </c>
      <c r="F31" s="815">
        <f>'4_Önkormányzat'!F31+'5_Hivatal'!F31+'6_Óvoda'!F31+'7_Bölcsöde'!F33+'8_KGMH'!F33</f>
        <v>40000000</v>
      </c>
      <c r="G31" s="815">
        <f>'4_Önkormányzat'!G31+'5_Hivatal'!G31+'6_Óvoda'!G31+'7_Bölcsöde'!G33+'8_KGMH'!G33</f>
        <v>40000000</v>
      </c>
      <c r="H31" s="912">
        <f t="shared" si="0"/>
        <v>0</v>
      </c>
    </row>
    <row r="32" spans="1:8" s="408" customFormat="1" ht="12" customHeight="1" x14ac:dyDescent="0.25">
      <c r="A32" s="361" t="s">
        <v>103</v>
      </c>
      <c r="B32" s="410" t="s">
        <v>104</v>
      </c>
      <c r="C32" s="939">
        <f>'4_Önkormányzat'!C32</f>
        <v>0</v>
      </c>
      <c r="D32" s="815">
        <f>'4_Önkormányzat'!D32</f>
        <v>0</v>
      </c>
      <c r="E32" s="815">
        <f>'4_Önkormányzat'!E32</f>
        <v>0</v>
      </c>
      <c r="F32" s="815">
        <f>'4_Önkormányzat'!F32+'5_Hivatal'!F32+'6_Óvoda'!F32+'7_Bölcsöde'!F34+'8_KGMH'!F34</f>
        <v>0</v>
      </c>
      <c r="G32" s="815">
        <f>'4_Önkormányzat'!G32+'5_Hivatal'!G32+'6_Óvoda'!G32+'7_Bölcsöde'!G34+'8_KGMH'!G34</f>
        <v>0</v>
      </c>
      <c r="H32" s="912">
        <f t="shared" si="0"/>
        <v>0</v>
      </c>
    </row>
    <row r="33" spans="1:8" s="408" customFormat="1" ht="12" customHeight="1" thickBot="1" x14ac:dyDescent="0.3">
      <c r="A33" s="363" t="s">
        <v>105</v>
      </c>
      <c r="B33" s="411" t="s">
        <v>106</v>
      </c>
      <c r="C33" s="940">
        <f>'4_Önkormányzat'!C33</f>
        <v>12000000</v>
      </c>
      <c r="D33" s="818">
        <f>'4_Önkormányzat'!D33</f>
        <v>12000000</v>
      </c>
      <c r="E33" s="818">
        <f>'4_Önkormányzat'!E33</f>
        <v>3000000</v>
      </c>
      <c r="F33" s="818">
        <f>'4_Önkormányzat'!F33+'5_Hivatal'!F33+'6_Óvoda'!F33+'7_Bölcsöde'!F35+'8_KGMH'!F35</f>
        <v>3000000</v>
      </c>
      <c r="G33" s="818">
        <f>'4_Önkormányzat'!G33+'5_Hivatal'!G33+'6_Óvoda'!G33+'7_Bölcsöde'!G35+'8_KGMH'!G35</f>
        <v>3000000</v>
      </c>
      <c r="H33" s="912">
        <f t="shared" si="0"/>
        <v>0</v>
      </c>
    </row>
    <row r="34" spans="1:8" s="408" customFormat="1" ht="12" customHeight="1" thickBot="1" x14ac:dyDescent="0.3">
      <c r="A34" s="367" t="s">
        <v>107</v>
      </c>
      <c r="B34" s="368" t="s">
        <v>108</v>
      </c>
      <c r="C34" s="952">
        <f>SUM(C35:C44)</f>
        <v>220960300</v>
      </c>
      <c r="D34" s="817">
        <f>SUM(D35:D44)</f>
        <v>220960300</v>
      </c>
      <c r="E34" s="817">
        <f>SUM(E35:E44)</f>
        <v>224770300</v>
      </c>
      <c r="F34" s="817">
        <f>SUM(F35:F44)</f>
        <v>224770300</v>
      </c>
      <c r="G34" s="817">
        <f>SUM(G35:G44)</f>
        <v>231622763</v>
      </c>
      <c r="H34" s="912">
        <f t="shared" si="0"/>
        <v>6852463</v>
      </c>
    </row>
    <row r="35" spans="1:8" s="408" customFormat="1" ht="12" customHeight="1" x14ac:dyDescent="0.25">
      <c r="A35" s="362" t="s">
        <v>109</v>
      </c>
      <c r="B35" s="409" t="s">
        <v>110</v>
      </c>
      <c r="C35" s="953">
        <f>'4_Önkormányzat'!C35+'5_Hivatal'!C35+'6_Óvoda'!C35+'7_Bölcsöde'!C37+'8_KGMH'!C37</f>
        <v>0</v>
      </c>
      <c r="D35" s="819"/>
      <c r="E35" s="819"/>
      <c r="F35" s="819">
        <f>'4_Önkormányzat'!F35+'5_Hivatal'!F35+'6_Óvoda'!F35+'7_Bölcsöde'!F37+'8_KGMH'!F37</f>
        <v>0</v>
      </c>
      <c r="G35" s="819">
        <f>'4_Önkormányzat'!G35+'5_Hivatal'!G35+'6_Óvoda'!G35+'7_Bölcsöde'!G37+'8_KGMH'!G37</f>
        <v>0</v>
      </c>
      <c r="H35" s="912">
        <f t="shared" si="0"/>
        <v>0</v>
      </c>
    </row>
    <row r="36" spans="1:8" s="408" customFormat="1" ht="12" customHeight="1" x14ac:dyDescent="0.25">
      <c r="A36" s="361" t="s">
        <v>111</v>
      </c>
      <c r="B36" s="410" t="s">
        <v>112</v>
      </c>
      <c r="C36" s="953">
        <f>'4_Önkormányzat'!C36+'5_Hivatal'!C36+'6_Óvoda'!C36+'7_Bölcsöde'!C38+'8_KGMH'!C38</f>
        <v>25290000</v>
      </c>
      <c r="D36" s="819">
        <f>'[1]4_Önkormányzat'!D38+'[1]5_Hivatal'!D38+'[1]6_Óvoda'!D38+'[1]7_Bölcsöde'!D38+'[1]8_KGMH'!D38</f>
        <v>25290000</v>
      </c>
      <c r="E36" s="819">
        <f>'4_Önkormányzat'!E36+'5_Hivatal'!E36+'6_Óvoda'!E36+'7_Bölcsöde'!E38+'8_KGMH'!E38</f>
        <v>25290000</v>
      </c>
      <c r="F36" s="819">
        <f>'4_Önkormányzat'!F36+'5_Hivatal'!F36+'6_Óvoda'!F36+'7_Bölcsöde'!F38+'8_KGMH'!F38</f>
        <v>25290000</v>
      </c>
      <c r="G36" s="819">
        <f>'4_Önkormányzat'!G36+'5_Hivatal'!G36+'6_Óvoda'!G36+'7_Bölcsöde'!G38+'8_KGMH'!G38</f>
        <v>27781457</v>
      </c>
      <c r="H36" s="912">
        <f t="shared" si="0"/>
        <v>2491457</v>
      </c>
    </row>
    <row r="37" spans="1:8" s="408" customFormat="1" ht="12" customHeight="1" x14ac:dyDescent="0.25">
      <c r="A37" s="361" t="s">
        <v>113</v>
      </c>
      <c r="B37" s="410" t="s">
        <v>114</v>
      </c>
      <c r="C37" s="953">
        <f>'4_Önkormányzat'!C37+'5_Hivatal'!C37+'6_Óvoda'!C37+'7_Bölcsöde'!C39+'8_KGMH'!C39</f>
        <v>42400000</v>
      </c>
      <c r="D37" s="819">
        <f>'[1]4_Önkormányzat'!D39+'[1]5_Hivatal'!D39+'[1]6_Óvoda'!D39+'[1]7_Bölcsöde'!D39+'[1]8_KGMH'!D39</f>
        <v>42400000</v>
      </c>
      <c r="E37" s="819">
        <f>'4_Önkormányzat'!E37+'5_Hivatal'!E37+'6_Óvoda'!E37+'7_Bölcsöde'!E39+'8_KGMH'!E39</f>
        <v>42400000</v>
      </c>
      <c r="F37" s="819">
        <f>'4_Önkormányzat'!F37+'5_Hivatal'!F37+'6_Óvoda'!F37+'7_Bölcsöde'!F39+'8_KGMH'!F39</f>
        <v>42400000</v>
      </c>
      <c r="G37" s="819">
        <f>'4_Önkormányzat'!G37+'5_Hivatal'!G37+'6_Óvoda'!G37+'7_Bölcsöde'!G39+'8_KGMH'!G39</f>
        <v>40314389</v>
      </c>
      <c r="H37" s="912">
        <f t="shared" si="0"/>
        <v>-2085611</v>
      </c>
    </row>
    <row r="38" spans="1:8" s="408" customFormat="1" ht="12" customHeight="1" x14ac:dyDescent="0.25">
      <c r="A38" s="361" t="s">
        <v>115</v>
      </c>
      <c r="B38" s="410" t="s">
        <v>116</v>
      </c>
      <c r="C38" s="953">
        <f>'4_Önkormányzat'!C38+'5_Hivatal'!C38+'6_Óvoda'!C38+'7_Bölcsöde'!C40+'8_KGMH'!C40</f>
        <v>58000000</v>
      </c>
      <c r="D38" s="819">
        <f>'[1]4_Önkormányzat'!D40+'[1]5_Hivatal'!D40+'[1]6_Óvoda'!D40+'[1]7_Bölcsöde'!D40+'[1]8_KGMH'!D40</f>
        <v>58000000</v>
      </c>
      <c r="E38" s="819">
        <f>'4_Önkormányzat'!E38+'5_Hivatal'!E38+'6_Óvoda'!E38+'7_Bölcsöde'!E40+'8_KGMH'!E40</f>
        <v>58000000</v>
      </c>
      <c r="F38" s="819">
        <f>'4_Önkormányzat'!F38+'5_Hivatal'!F38+'6_Óvoda'!F38+'7_Bölcsöde'!F40+'8_KGMH'!F40</f>
        <v>58000000</v>
      </c>
      <c r="G38" s="819">
        <f>'4_Önkormányzat'!G38+'5_Hivatal'!G38+'6_Óvoda'!G38+'7_Bölcsöde'!G40+'8_KGMH'!G40</f>
        <v>58000000</v>
      </c>
      <c r="H38" s="912">
        <f t="shared" si="0"/>
        <v>0</v>
      </c>
    </row>
    <row r="39" spans="1:8" s="408" customFormat="1" ht="12" customHeight="1" x14ac:dyDescent="0.25">
      <c r="A39" s="361" t="s">
        <v>117</v>
      </c>
      <c r="B39" s="410" t="s">
        <v>118</v>
      </c>
      <c r="C39" s="953">
        <f>'4_Önkormányzat'!C39+'5_Hivatal'!C39+'6_Óvoda'!C39+'7_Bölcsöde'!C41+'8_KGMH'!C41</f>
        <v>57200000</v>
      </c>
      <c r="D39" s="819">
        <f>'[1]4_Önkormányzat'!D41+'[1]5_Hivatal'!D41+'[1]6_Óvoda'!D41+'[1]7_Bölcsöde'!D41+'[1]8_KGMH'!D41</f>
        <v>57200000</v>
      </c>
      <c r="E39" s="819">
        <f>'4_Önkormányzat'!E39+'5_Hivatal'!E39+'6_Óvoda'!E39+'7_Bölcsöde'!E41+'8_KGMH'!E41</f>
        <v>60200000</v>
      </c>
      <c r="F39" s="819">
        <f>'4_Önkormányzat'!F39+'5_Hivatal'!F39+'6_Óvoda'!F39+'7_Bölcsöde'!F41+'8_KGMH'!F41</f>
        <v>60200000</v>
      </c>
      <c r="G39" s="819">
        <f>'4_Önkormányzat'!G39+'5_Hivatal'!G39+'6_Óvoda'!G39+'7_Bölcsöde'!G41+'8_KGMH'!G41</f>
        <v>67004942</v>
      </c>
      <c r="H39" s="912">
        <f t="shared" si="0"/>
        <v>6804942</v>
      </c>
    </row>
    <row r="40" spans="1:8" s="408" customFormat="1" ht="12" customHeight="1" x14ac:dyDescent="0.25">
      <c r="A40" s="361" t="s">
        <v>119</v>
      </c>
      <c r="B40" s="410" t="s">
        <v>120</v>
      </c>
      <c r="C40" s="953">
        <f>'4_Önkormányzat'!C40+'5_Hivatal'!C40+'6_Óvoda'!C40+'7_Bölcsöde'!C42+'8_KGMH'!C42</f>
        <v>38070300</v>
      </c>
      <c r="D40" s="819">
        <f>'[1]4_Önkormányzat'!D42+'[1]5_Hivatal'!D42+'[1]6_Óvoda'!D42+'[1]7_Bölcsöde'!D42+'[1]8_KGMH'!D42</f>
        <v>38070300</v>
      </c>
      <c r="E40" s="819">
        <f>'4_Önkormányzat'!E40+'5_Hivatal'!E40+'6_Óvoda'!E40+'7_Bölcsöde'!E42+'8_KGMH'!E42</f>
        <v>38880300</v>
      </c>
      <c r="F40" s="819">
        <f>'4_Önkormányzat'!F40+'5_Hivatal'!F40+'6_Óvoda'!F40+'7_Bölcsöde'!F42+'8_KGMH'!F42</f>
        <v>38880300</v>
      </c>
      <c r="G40" s="819">
        <f>'4_Önkormányzat'!G40+'5_Hivatal'!G40+'6_Óvoda'!G40+'7_Bölcsöde'!G42+'8_KGMH'!G42</f>
        <v>38488975</v>
      </c>
      <c r="H40" s="912">
        <f t="shared" si="0"/>
        <v>-391325</v>
      </c>
    </row>
    <row r="41" spans="1:8" s="408" customFormat="1" ht="12" customHeight="1" x14ac:dyDescent="0.25">
      <c r="A41" s="361" t="s">
        <v>121</v>
      </c>
      <c r="B41" s="410" t="s">
        <v>122</v>
      </c>
      <c r="C41" s="953"/>
      <c r="D41" s="819"/>
      <c r="E41" s="819"/>
      <c r="F41" s="819"/>
      <c r="G41" s="819">
        <f>'4_Önkormányzat'!G41+'5_Hivatal'!G41+'6_Óvoda'!G41+'7_Bölcsöde'!G43+'8_KGMH'!G43</f>
        <v>0</v>
      </c>
      <c r="H41" s="912">
        <f t="shared" si="0"/>
        <v>0</v>
      </c>
    </row>
    <row r="42" spans="1:8" s="408" customFormat="1" ht="12" customHeight="1" x14ac:dyDescent="0.25">
      <c r="A42" s="361" t="s">
        <v>123</v>
      </c>
      <c r="B42" s="410" t="s">
        <v>124</v>
      </c>
      <c r="C42" s="953"/>
      <c r="D42" s="819"/>
      <c r="E42" s="819"/>
      <c r="F42" s="819"/>
      <c r="G42" s="819">
        <f>'4_Önkormányzat'!G42+'5_Hivatal'!G42+'6_Óvoda'!G42+'7_Bölcsöde'!G44+'8_KGMH'!G44</f>
        <v>2000</v>
      </c>
      <c r="H42" s="912">
        <f t="shared" si="0"/>
        <v>2000</v>
      </c>
    </row>
    <row r="43" spans="1:8" s="408" customFormat="1" ht="12" customHeight="1" x14ac:dyDescent="0.25">
      <c r="A43" s="361" t="s">
        <v>125</v>
      </c>
      <c r="B43" s="410" t="s">
        <v>126</v>
      </c>
      <c r="C43" s="953"/>
      <c r="D43" s="819"/>
      <c r="E43" s="819"/>
      <c r="F43" s="819"/>
      <c r="G43" s="819">
        <f>'4_Önkormányzat'!G43+'5_Hivatal'!G43+'6_Óvoda'!G43+'7_Bölcsöde'!G45+'8_KGMH'!G45</f>
        <v>0</v>
      </c>
      <c r="H43" s="912">
        <f t="shared" si="0"/>
        <v>0</v>
      </c>
    </row>
    <row r="44" spans="1:8" s="408" customFormat="1" ht="12" customHeight="1" thickBot="1" x14ac:dyDescent="0.3">
      <c r="A44" s="363" t="s">
        <v>127</v>
      </c>
      <c r="B44" s="411" t="s">
        <v>128</v>
      </c>
      <c r="C44" s="953"/>
      <c r="D44" s="819"/>
      <c r="E44" s="819"/>
      <c r="F44" s="819"/>
      <c r="G44" s="819">
        <f>'4_Önkormányzat'!G44+'5_Hivatal'!G44+'6_Óvoda'!G44+'7_Bölcsöde'!G46+'8_KGMH'!G46</f>
        <v>31000</v>
      </c>
      <c r="H44" s="912">
        <f t="shared" si="0"/>
        <v>31000</v>
      </c>
    </row>
    <row r="45" spans="1:8" s="408" customFormat="1" ht="12" customHeight="1" thickBot="1" x14ac:dyDescent="0.3">
      <c r="A45" s="367" t="s">
        <v>129</v>
      </c>
      <c r="B45" s="368" t="s">
        <v>130</v>
      </c>
      <c r="C45" s="952">
        <f>SUM(C46:C50)</f>
        <v>106800000</v>
      </c>
      <c r="D45" s="817">
        <f>SUM(D46:D50)</f>
        <v>106800000</v>
      </c>
      <c r="E45" s="817">
        <f>SUM(E46:E50)</f>
        <v>106800000</v>
      </c>
      <c r="F45" s="817">
        <f>SUM(F46:F50)</f>
        <v>106800000</v>
      </c>
      <c r="G45" s="817">
        <f>SUM(G46:G50)</f>
        <v>106800000</v>
      </c>
      <c r="H45" s="912">
        <f t="shared" si="0"/>
        <v>0</v>
      </c>
    </row>
    <row r="46" spans="1:8" s="408" customFormat="1" ht="12" customHeight="1" x14ac:dyDescent="0.25">
      <c r="A46" s="362" t="s">
        <v>131</v>
      </c>
      <c r="B46" s="409" t="s">
        <v>132</v>
      </c>
      <c r="C46" s="953">
        <f>'[2]13_14_Óvoda'!C48+'[2]9_10 Hivatal'!C49+'[2]5_6 Önkormányzat'!C48+'[2]17_18_Bölcsöde'!C48+'[2]21_22_KGMH'!C48</f>
        <v>0</v>
      </c>
      <c r="D46" s="819"/>
      <c r="E46" s="819"/>
      <c r="F46" s="819"/>
      <c r="G46" s="819"/>
      <c r="H46" s="912">
        <f t="shared" si="0"/>
        <v>0</v>
      </c>
    </row>
    <row r="47" spans="1:8" s="408" customFormat="1" ht="12" customHeight="1" x14ac:dyDescent="0.25">
      <c r="A47" s="361" t="s">
        <v>133</v>
      </c>
      <c r="B47" s="410" t="s">
        <v>134</v>
      </c>
      <c r="C47" s="943">
        <f>'4_Önkormányzat'!C47</f>
        <v>106800000</v>
      </c>
      <c r="D47" s="822">
        <f>'4_Önkormányzat'!D47</f>
        <v>106800000</v>
      </c>
      <c r="E47" s="822">
        <f>'4_Önkormányzat'!E47</f>
        <v>106800000</v>
      </c>
      <c r="F47" s="822">
        <f>'4_Önkormányzat'!F47</f>
        <v>106800000</v>
      </c>
      <c r="G47" s="822">
        <f>'4_Önkormányzat'!G47</f>
        <v>106800000</v>
      </c>
      <c r="H47" s="912">
        <f t="shared" si="0"/>
        <v>0</v>
      </c>
    </row>
    <row r="48" spans="1:8" s="408" customFormat="1" ht="12" customHeight="1" x14ac:dyDescent="0.25">
      <c r="A48" s="361" t="s">
        <v>135</v>
      </c>
      <c r="B48" s="410" t="s">
        <v>136</v>
      </c>
      <c r="C48" s="953">
        <f>'[2]13_14_Óvoda'!C50+'[2]9_10 Hivatal'!C51+'[2]5_6 Önkormányzat'!C50+'[2]17_18_Bölcsöde'!C50+'[2]21_22_KGMH'!C50</f>
        <v>0</v>
      </c>
      <c r="D48" s="819"/>
      <c r="E48" s="819"/>
      <c r="F48" s="819"/>
      <c r="G48" s="819"/>
      <c r="H48" s="912">
        <f t="shared" si="0"/>
        <v>0</v>
      </c>
    </row>
    <row r="49" spans="1:8" s="408" customFormat="1" ht="12" customHeight="1" x14ac:dyDescent="0.25">
      <c r="A49" s="361" t="s">
        <v>137</v>
      </c>
      <c r="B49" s="410" t="s">
        <v>138</v>
      </c>
      <c r="C49" s="953">
        <f>'[2]13_14_Óvoda'!C51+'[2]9_10 Hivatal'!C52+'[2]5_6 Önkormányzat'!C51+'[2]17_18_Bölcsöde'!C51+'[2]21_22_KGMH'!C51</f>
        <v>0</v>
      </c>
      <c r="D49" s="819"/>
      <c r="E49" s="819"/>
      <c r="F49" s="819"/>
      <c r="G49" s="819"/>
      <c r="H49" s="912">
        <f t="shared" si="0"/>
        <v>0</v>
      </c>
    </row>
    <row r="50" spans="1:8" s="408" customFormat="1" ht="12" customHeight="1" thickBot="1" x14ac:dyDescent="0.3">
      <c r="A50" s="363" t="s">
        <v>139</v>
      </c>
      <c r="B50" s="411" t="s">
        <v>140</v>
      </c>
      <c r="C50" s="953">
        <f>'[2]13_14_Óvoda'!C52+'[2]9_10 Hivatal'!C53+'[2]5_6 Önkormányzat'!C52+'[2]17_18_Bölcsöde'!C52+'[2]21_22_KGMH'!C52</f>
        <v>0</v>
      </c>
      <c r="D50" s="819"/>
      <c r="E50" s="819"/>
      <c r="F50" s="819"/>
      <c r="G50" s="819"/>
      <c r="H50" s="912">
        <f t="shared" si="0"/>
        <v>0</v>
      </c>
    </row>
    <row r="51" spans="1:8" s="408" customFormat="1" ht="17.25" customHeight="1" thickBot="1" x14ac:dyDescent="0.3">
      <c r="A51" s="367" t="s">
        <v>141</v>
      </c>
      <c r="B51" s="368" t="s">
        <v>142</v>
      </c>
      <c r="C51" s="952">
        <f>SUM(C52:C54)</f>
        <v>30350000</v>
      </c>
      <c r="D51" s="817">
        <f>SUM(D52:D55)</f>
        <v>30350000</v>
      </c>
      <c r="E51" s="817">
        <f>SUM(E52:E55)</f>
        <v>63100000</v>
      </c>
      <c r="F51" s="817">
        <f>SUM(F52:F55)</f>
        <v>63100000</v>
      </c>
      <c r="G51" s="817">
        <f>SUM(G52:G55)</f>
        <v>63100000</v>
      </c>
      <c r="H51" s="912">
        <f t="shared" si="0"/>
        <v>0</v>
      </c>
    </row>
    <row r="52" spans="1:8" s="408" customFormat="1" ht="12" customHeight="1" x14ac:dyDescent="0.25">
      <c r="A52" s="362" t="s">
        <v>143</v>
      </c>
      <c r="B52" s="409" t="s">
        <v>144</v>
      </c>
      <c r="C52" s="953">
        <f>'[2]13_14_Óvoda'!C54+'[2]9_10 Hivatal'!C55+'[2]5_6 Önkormányzat'!C54+'[2]17_18_Bölcsöde'!C54+'[2]21_22_KGMH'!C54</f>
        <v>0</v>
      </c>
      <c r="D52" s="819"/>
      <c r="E52" s="819"/>
      <c r="F52" s="819"/>
      <c r="G52" s="819"/>
      <c r="H52" s="912">
        <f t="shared" si="0"/>
        <v>0</v>
      </c>
    </row>
    <row r="53" spans="1:8" s="408" customFormat="1" ht="12" customHeight="1" x14ac:dyDescent="0.25">
      <c r="A53" s="361" t="s">
        <v>145</v>
      </c>
      <c r="B53" s="410" t="s">
        <v>146</v>
      </c>
      <c r="C53" s="953">
        <f>'4_Önkormányzat'!C53</f>
        <v>30350000</v>
      </c>
      <c r="D53" s="819">
        <v>30350000</v>
      </c>
      <c r="E53" s="819">
        <f>'4_Önkormányzat'!E53</f>
        <v>63100000</v>
      </c>
      <c r="F53" s="819">
        <f>'4_Önkormányzat'!F53</f>
        <v>63100000</v>
      </c>
      <c r="G53" s="819">
        <f>'4_Önkormányzat'!G53</f>
        <v>63100000</v>
      </c>
      <c r="H53" s="912">
        <f t="shared" si="0"/>
        <v>0</v>
      </c>
    </row>
    <row r="54" spans="1:8" s="408" customFormat="1" ht="12" customHeight="1" x14ac:dyDescent="0.25">
      <c r="A54" s="361" t="s">
        <v>147</v>
      </c>
      <c r="B54" s="410" t="s">
        <v>148</v>
      </c>
      <c r="C54" s="953">
        <f>'[2]13_14_Óvoda'!C56+'[2]9_10 Hivatal'!C57+'[2]5_6 Önkormányzat'!C56+'[2]17_18_Bölcsöde'!C56+'[2]21_22_KGMH'!C56</f>
        <v>0</v>
      </c>
      <c r="D54" s="819"/>
      <c r="E54" s="819"/>
      <c r="F54" s="819"/>
      <c r="G54" s="819"/>
      <c r="H54" s="912">
        <f t="shared" si="0"/>
        <v>0</v>
      </c>
    </row>
    <row r="55" spans="1:8" s="408" customFormat="1" ht="12" customHeight="1" thickBot="1" x14ac:dyDescent="0.3">
      <c r="A55" s="363" t="s">
        <v>149</v>
      </c>
      <c r="B55" s="411" t="s">
        <v>150</v>
      </c>
      <c r="C55" s="953">
        <f>'[2]13_14_Óvoda'!C57+'[2]9_10 Hivatal'!C58+'[2]5_6 Önkormányzat'!C57+'[2]17_18_Bölcsöde'!C57+'[2]21_22_KGMH'!C57</f>
        <v>0</v>
      </c>
      <c r="D55" s="819"/>
      <c r="E55" s="819"/>
      <c r="F55" s="819"/>
      <c r="G55" s="819"/>
      <c r="H55" s="912">
        <f t="shared" si="0"/>
        <v>0</v>
      </c>
    </row>
    <row r="56" spans="1:8" s="408" customFormat="1" ht="12" customHeight="1" thickBot="1" x14ac:dyDescent="0.3">
      <c r="A56" s="367" t="s">
        <v>151</v>
      </c>
      <c r="B56" s="388" t="s">
        <v>152</v>
      </c>
      <c r="C56" s="952">
        <f>SUM(C57:C59)</f>
        <v>11000000</v>
      </c>
      <c r="D56" s="817">
        <f>SUM(D57:D59)</f>
        <v>11000000</v>
      </c>
      <c r="E56" s="817">
        <f>SUM(E57:E59)</f>
        <v>11000000</v>
      </c>
      <c r="F56" s="817">
        <f>SUM(F57:F59)</f>
        <v>11000000</v>
      </c>
      <c r="G56" s="817">
        <f>SUM(G57:G59)</f>
        <v>11000000</v>
      </c>
      <c r="H56" s="912">
        <f t="shared" si="0"/>
        <v>0</v>
      </c>
    </row>
    <row r="57" spans="1:8" s="408" customFormat="1" ht="12" customHeight="1" x14ac:dyDescent="0.25">
      <c r="A57" s="362" t="s">
        <v>153</v>
      </c>
      <c r="B57" s="409" t="s">
        <v>154</v>
      </c>
      <c r="C57" s="943"/>
      <c r="D57" s="819"/>
      <c r="E57" s="819"/>
      <c r="F57" s="819"/>
      <c r="G57" s="819"/>
      <c r="H57" s="912">
        <f t="shared" si="0"/>
        <v>0</v>
      </c>
    </row>
    <row r="58" spans="1:8" s="408" customFormat="1" ht="12" customHeight="1" x14ac:dyDescent="0.25">
      <c r="A58" s="361" t="s">
        <v>155</v>
      </c>
      <c r="B58" s="410" t="s">
        <v>156</v>
      </c>
      <c r="C58" s="943"/>
      <c r="D58" s="819"/>
      <c r="E58" s="819"/>
      <c r="F58" s="819"/>
      <c r="G58" s="819"/>
      <c r="H58" s="912">
        <f t="shared" si="0"/>
        <v>0</v>
      </c>
    </row>
    <row r="59" spans="1:8" s="408" customFormat="1" ht="12" customHeight="1" x14ac:dyDescent="0.25">
      <c r="A59" s="361" t="s">
        <v>157</v>
      </c>
      <c r="B59" s="410" t="s">
        <v>158</v>
      </c>
      <c r="C59" s="943">
        <f>'4_Önkormányzat'!C59</f>
        <v>11000000</v>
      </c>
      <c r="D59" s="822">
        <f>'4_Önkormányzat'!D59</f>
        <v>11000000</v>
      </c>
      <c r="E59" s="822">
        <f>'4_Önkormányzat'!E59</f>
        <v>11000000</v>
      </c>
      <c r="F59" s="822">
        <f>'4_Önkormányzat'!F59</f>
        <v>11000000</v>
      </c>
      <c r="G59" s="822">
        <f>'4_Önkormányzat'!G59</f>
        <v>11000000</v>
      </c>
      <c r="H59" s="912">
        <f t="shared" si="0"/>
        <v>0</v>
      </c>
    </row>
    <row r="60" spans="1:8" s="408" customFormat="1" ht="12" customHeight="1" thickBot="1" x14ac:dyDescent="0.3">
      <c r="A60" s="363" t="s">
        <v>159</v>
      </c>
      <c r="B60" s="411" t="s">
        <v>160</v>
      </c>
      <c r="C60" s="943"/>
      <c r="D60" s="819"/>
      <c r="E60" s="819"/>
      <c r="F60" s="819"/>
      <c r="G60" s="819"/>
      <c r="H60" s="912">
        <f t="shared" si="0"/>
        <v>0</v>
      </c>
    </row>
    <row r="61" spans="1:8" s="408" customFormat="1" ht="12" customHeight="1" thickBot="1" x14ac:dyDescent="0.3">
      <c r="A61" s="367" t="s">
        <v>161</v>
      </c>
      <c r="B61" s="368" t="s">
        <v>162</v>
      </c>
      <c r="C61" s="954">
        <f>+C6+C13+C20+C27+C34+C45+C51+C56</f>
        <v>1598798405</v>
      </c>
      <c r="D61" s="816">
        <f>+D6+D13+D20+D27+D34+D45+D51+D56</f>
        <v>1630353839</v>
      </c>
      <c r="E61" s="816">
        <f>E6+E13+E20+E27+E34+E45+E51+E56</f>
        <v>1695209139</v>
      </c>
      <c r="F61" s="816">
        <f>F6+F13+F20+F27+F34+F45+F51+F56</f>
        <v>1732637418</v>
      </c>
      <c r="G61" s="816">
        <f>G6+G13+G20+G27+G34+G45+G51+G56</f>
        <v>1724271217</v>
      </c>
      <c r="H61" s="912">
        <f t="shared" si="0"/>
        <v>-8366201</v>
      </c>
    </row>
    <row r="62" spans="1:8" s="408" customFormat="1" ht="12" customHeight="1" thickBot="1" x14ac:dyDescent="0.3">
      <c r="A62" s="422" t="s">
        <v>163</v>
      </c>
      <c r="B62" s="388" t="s">
        <v>164</v>
      </c>
      <c r="C62" s="952">
        <f>+C63+C64+C65</f>
        <v>0</v>
      </c>
      <c r="D62" s="817">
        <f>+D63+D64+D65</f>
        <v>0</v>
      </c>
      <c r="E62" s="817">
        <f>+E63+E64+E65</f>
        <v>0</v>
      </c>
      <c r="F62" s="817">
        <f>+F63+F64+F65</f>
        <v>0</v>
      </c>
      <c r="G62" s="817">
        <f>+G63+G64+G65</f>
        <v>0</v>
      </c>
      <c r="H62" s="912">
        <f t="shared" si="0"/>
        <v>0</v>
      </c>
    </row>
    <row r="63" spans="1:8" s="408" customFormat="1" ht="12" customHeight="1" x14ac:dyDescent="0.25">
      <c r="A63" s="362" t="s">
        <v>165</v>
      </c>
      <c r="B63" s="409" t="s">
        <v>166</v>
      </c>
      <c r="C63" s="955">
        <f>'[2]13_14_Óvoda'!C65+'[2]9_10 Hivatal'!C66+'[2]5_6 Önkormányzat'!C65+'[2]17_18_Bölcsöde'!C65+'[2]21_22_KGMH'!C65</f>
        <v>0</v>
      </c>
      <c r="D63" s="822"/>
      <c r="E63" s="822"/>
      <c r="F63" s="822"/>
      <c r="G63" s="822"/>
      <c r="H63" s="912">
        <f t="shared" si="0"/>
        <v>0</v>
      </c>
    </row>
    <row r="64" spans="1:8" s="408" customFormat="1" ht="12" customHeight="1" x14ac:dyDescent="0.25">
      <c r="A64" s="361" t="s">
        <v>167</v>
      </c>
      <c r="B64" s="410" t="s">
        <v>168</v>
      </c>
      <c r="C64" s="955">
        <f>'[2]13_14_Óvoda'!C66+'[2]9_10 Hivatal'!C67+'[2]5_6 Önkormányzat'!C66+'[2]17_18_Bölcsöde'!C66+'[2]21_22_KGMH'!C66</f>
        <v>0</v>
      </c>
      <c r="D64" s="822"/>
      <c r="E64" s="822"/>
      <c r="F64" s="822"/>
      <c r="G64" s="822"/>
      <c r="H64" s="912">
        <f t="shared" si="0"/>
        <v>0</v>
      </c>
    </row>
    <row r="65" spans="1:8" s="408" customFormat="1" ht="12" customHeight="1" thickBot="1" x14ac:dyDescent="0.3">
      <c r="A65" s="363" t="s">
        <v>169</v>
      </c>
      <c r="B65" s="347" t="s">
        <v>170</v>
      </c>
      <c r="C65" s="955">
        <f>'[2]13_14_Óvoda'!C67+'[2]9_10 Hivatal'!C68+'[2]5_6 Önkormányzat'!C67+'[2]17_18_Bölcsöde'!C67+'[2]21_22_KGMH'!C67</f>
        <v>0</v>
      </c>
      <c r="D65" s="822"/>
      <c r="E65" s="822"/>
      <c r="F65" s="822"/>
      <c r="G65" s="822"/>
      <c r="H65" s="912">
        <f t="shared" si="0"/>
        <v>0</v>
      </c>
    </row>
    <row r="66" spans="1:8" s="408" customFormat="1" ht="12" customHeight="1" thickBot="1" x14ac:dyDescent="0.3">
      <c r="A66" s="422" t="s">
        <v>171</v>
      </c>
      <c r="B66" s="388" t="s">
        <v>172</v>
      </c>
      <c r="C66" s="952">
        <f>+C67+C68+C69+C70</f>
        <v>0</v>
      </c>
      <c r="D66" s="817"/>
      <c r="E66" s="817"/>
      <c r="F66" s="817"/>
      <c r="G66" s="817"/>
      <c r="H66" s="912">
        <f t="shared" si="0"/>
        <v>0</v>
      </c>
    </row>
    <row r="67" spans="1:8" s="408" customFormat="1" ht="13.5" customHeight="1" x14ac:dyDescent="0.25">
      <c r="A67" s="362" t="s">
        <v>173</v>
      </c>
      <c r="B67" s="409" t="s">
        <v>174</v>
      </c>
      <c r="C67" s="955">
        <f>'[2]13_14_Óvoda'!C69+'[2]9_10 Hivatal'!C70+'[2]5_6 Önkormányzat'!C69+'[2]17_18_Bölcsöde'!C69+'[2]21_22_KGMH'!C69</f>
        <v>0</v>
      </c>
      <c r="D67" s="822"/>
      <c r="E67" s="822"/>
      <c r="F67" s="822"/>
      <c r="G67" s="822"/>
      <c r="H67" s="912">
        <f t="shared" si="0"/>
        <v>0</v>
      </c>
    </row>
    <row r="68" spans="1:8" s="408" customFormat="1" ht="12" customHeight="1" x14ac:dyDescent="0.25">
      <c r="A68" s="361" t="s">
        <v>175</v>
      </c>
      <c r="B68" s="410" t="s">
        <v>176</v>
      </c>
      <c r="C68" s="955">
        <f>'[2]13_14_Óvoda'!C70+'[2]9_10 Hivatal'!C71+'[2]5_6 Önkormányzat'!C70+'[2]17_18_Bölcsöde'!C70+'[2]21_22_KGMH'!C70</f>
        <v>0</v>
      </c>
      <c r="D68" s="822"/>
      <c r="E68" s="822"/>
      <c r="F68" s="822"/>
      <c r="G68" s="822"/>
      <c r="H68" s="912">
        <f t="shared" si="0"/>
        <v>0</v>
      </c>
    </row>
    <row r="69" spans="1:8" s="408" customFormat="1" ht="12" customHeight="1" x14ac:dyDescent="0.25">
      <c r="A69" s="361" t="s">
        <v>177</v>
      </c>
      <c r="B69" s="410" t="s">
        <v>178</v>
      </c>
      <c r="C69" s="955">
        <f>'[2]13_14_Óvoda'!C71+'[2]9_10 Hivatal'!C72+'[2]5_6 Önkormányzat'!C71+'[2]17_18_Bölcsöde'!C71+'[2]21_22_KGMH'!C71</f>
        <v>0</v>
      </c>
      <c r="D69" s="822"/>
      <c r="E69" s="822"/>
      <c r="F69" s="822"/>
      <c r="G69" s="822"/>
      <c r="H69" s="912">
        <f t="shared" si="0"/>
        <v>0</v>
      </c>
    </row>
    <row r="70" spans="1:8" s="408" customFormat="1" ht="12" customHeight="1" thickBot="1" x14ac:dyDescent="0.3">
      <c r="A70" s="363" t="s">
        <v>179</v>
      </c>
      <c r="B70" s="411" t="s">
        <v>180</v>
      </c>
      <c r="C70" s="955">
        <f>'[2]13_14_Óvoda'!C72+'[2]9_10 Hivatal'!C73+'[2]5_6 Önkormányzat'!C72+'[2]17_18_Bölcsöde'!C72+'[2]21_22_KGMH'!C72</f>
        <v>0</v>
      </c>
      <c r="D70" s="822"/>
      <c r="E70" s="822"/>
      <c r="F70" s="822"/>
      <c r="G70" s="822"/>
      <c r="H70" s="912">
        <f t="shared" si="0"/>
        <v>0</v>
      </c>
    </row>
    <row r="71" spans="1:8" s="408" customFormat="1" ht="12" customHeight="1" thickBot="1" x14ac:dyDescent="0.3">
      <c r="A71" s="422" t="s">
        <v>181</v>
      </c>
      <c r="B71" s="388" t="s">
        <v>182</v>
      </c>
      <c r="C71" s="952">
        <f>+C72+C73</f>
        <v>14837945</v>
      </c>
      <c r="D71" s="817">
        <f>+D72+D73</f>
        <v>124722194</v>
      </c>
      <c r="E71" s="817">
        <f>+E72+E73</f>
        <v>124722194</v>
      </c>
      <c r="F71" s="817">
        <f>+F72+F73</f>
        <v>124722194</v>
      </c>
      <c r="G71" s="817">
        <f>+G72+G73</f>
        <v>124722194</v>
      </c>
      <c r="H71" s="912">
        <f t="shared" ref="H71:H134" si="1">G71-F71</f>
        <v>0</v>
      </c>
    </row>
    <row r="72" spans="1:8" s="408" customFormat="1" ht="12" customHeight="1" x14ac:dyDescent="0.25">
      <c r="A72" s="362" t="s">
        <v>183</v>
      </c>
      <c r="B72" s="409" t="s">
        <v>184</v>
      </c>
      <c r="C72" s="953">
        <f>'4_Önkormányzat'!C72+'5_Hivatal'!C72+'8_KGMH'!C74</f>
        <v>14837945</v>
      </c>
      <c r="D72" s="819">
        <f>'[1]4_Önkormányzat'!D74+'[1]5_Hivatal'!D74+'[1]6_Óvoda'!D74+'[1]7_Bölcsöde'!D74+'[1]8_KGMH'!D74</f>
        <v>124722194</v>
      </c>
      <c r="E72" s="819">
        <f>'4_Önkormányzat'!E72+'5_Hivatal'!E72+'6_Óvoda'!E72+'7_Bölcsöde'!E74+'8_KGMH'!E74</f>
        <v>124722194</v>
      </c>
      <c r="F72" s="819">
        <f>'4_Önkormányzat'!F72+'5_Hivatal'!F72+'6_Óvoda'!F72+'7_Bölcsöde'!F74+'8_KGMH'!F74</f>
        <v>124722194</v>
      </c>
      <c r="G72" s="819">
        <f>'4_Önkormányzat'!G72+'5_Hivatal'!G72+'6_Óvoda'!G72+'7_Bölcsöde'!G74+'8_KGMH'!G74</f>
        <v>124722194</v>
      </c>
      <c r="H72" s="912">
        <f t="shared" si="1"/>
        <v>0</v>
      </c>
    </row>
    <row r="73" spans="1:8" s="408" customFormat="1" ht="12" customHeight="1" thickBot="1" x14ac:dyDescent="0.3">
      <c r="A73" s="363" t="s">
        <v>185</v>
      </c>
      <c r="B73" s="411" t="s">
        <v>186</v>
      </c>
      <c r="C73" s="953">
        <f>'[2]13_14_Óvoda'!C75+'[2]9_10 Hivatal'!C76+'[2]5_6 Önkormányzat'!C75+'[2]17_18_Bölcsöde'!C75+'[2]21_22_KGMH'!C75</f>
        <v>0</v>
      </c>
      <c r="D73" s="819"/>
      <c r="E73" s="819"/>
      <c r="F73" s="819"/>
      <c r="G73" s="819"/>
      <c r="H73" s="912">
        <f t="shared" si="1"/>
        <v>0</v>
      </c>
    </row>
    <row r="74" spans="1:8" s="408" customFormat="1" ht="12" customHeight="1" thickBot="1" x14ac:dyDescent="0.3">
      <c r="A74" s="422" t="s">
        <v>187</v>
      </c>
      <c r="B74" s="388" t="s">
        <v>188</v>
      </c>
      <c r="C74" s="952">
        <f>+C75+C76+C77</f>
        <v>914692888</v>
      </c>
      <c r="D74" s="817">
        <f>SUM(D75:D77)</f>
        <v>951460154</v>
      </c>
      <c r="E74" s="817">
        <f>SUM(E75:E77)</f>
        <v>941924727</v>
      </c>
      <c r="F74" s="817">
        <f>SUM(F75:F77)</f>
        <v>983443239</v>
      </c>
      <c r="G74" s="817">
        <f>SUM(G75:G77)</f>
        <v>991033098</v>
      </c>
      <c r="H74" s="912">
        <f t="shared" si="1"/>
        <v>7589859</v>
      </c>
    </row>
    <row r="75" spans="1:8" s="408" customFormat="1" ht="12" customHeight="1" x14ac:dyDescent="0.25">
      <c r="A75" s="362" t="s">
        <v>189</v>
      </c>
      <c r="B75" s="409" t="s">
        <v>190</v>
      </c>
      <c r="C75" s="953">
        <f>'4_Önkormányzat'!C75+'5_Hivatal'!C75+'6_Óvoda'!C75+'7_Bölcsöde'!C77+'8_KGMH'!C77</f>
        <v>16000000</v>
      </c>
      <c r="D75" s="819">
        <f>'[1]4_Önkormányzat'!D77</f>
        <v>11236412</v>
      </c>
      <c r="E75" s="819">
        <f>'4_Önkormányzat'!E75</f>
        <v>11236412</v>
      </c>
      <c r="F75" s="819">
        <f>'4_Önkormányzat'!F75</f>
        <v>11236412</v>
      </c>
      <c r="G75" s="819">
        <f>'4_Önkormányzat'!G75</f>
        <v>18826271</v>
      </c>
      <c r="H75" s="912">
        <f t="shared" si="1"/>
        <v>7589859</v>
      </c>
    </row>
    <row r="76" spans="1:8" s="408" customFormat="1" ht="12" customHeight="1" x14ac:dyDescent="0.25">
      <c r="A76" s="361" t="s">
        <v>191</v>
      </c>
      <c r="B76" s="410" t="s">
        <v>192</v>
      </c>
      <c r="C76" s="953">
        <f>'[2]13_14_Óvoda'!C78+'[2]9_10 Hivatal'!C79+'[2]5_6 Önkormányzat'!C78+'[2]17_18_Bölcsöde'!C78+'[2]21_22_KGMH'!C78</f>
        <v>0</v>
      </c>
      <c r="D76" s="819"/>
      <c r="E76" s="819"/>
      <c r="F76" s="819"/>
      <c r="G76" s="819"/>
      <c r="H76" s="912">
        <f t="shared" si="1"/>
        <v>0</v>
      </c>
    </row>
    <row r="77" spans="1:8" s="408" customFormat="1" ht="12" customHeight="1" thickBot="1" x14ac:dyDescent="0.3">
      <c r="A77" s="363" t="s">
        <v>193</v>
      </c>
      <c r="B77" s="390" t="s">
        <v>1793</v>
      </c>
      <c r="C77" s="953">
        <f>'4_Önkormányzat'!C77+'5_Hivatal'!C77+'6_Óvoda'!C77+'7_Bölcsöde'!C79+'8_KGMH'!C79</f>
        <v>898692888</v>
      </c>
      <c r="D77" s="819">
        <f>'[1]4_Önkormányzat'!D79+'[1]5_Hivatal'!D79+'[1]6_Óvoda'!D79+'[1]7_Bölcsöde'!D79+'[1]8_KGMH'!D79</f>
        <v>940223742</v>
      </c>
      <c r="E77" s="819">
        <f>'5_Hivatal'!E77+'6_Óvoda'!E77+'7_Bölcsöde'!E79+'8_KGMH'!E79</f>
        <v>930688315</v>
      </c>
      <c r="F77" s="819">
        <f>'5_Hivatal'!F77+'6_Óvoda'!F77+'7_Bölcsöde'!F79+'8_KGMH'!F79</f>
        <v>972206827</v>
      </c>
      <c r="G77" s="819">
        <f>'5_Hivatal'!G77+'6_Óvoda'!G77+'7_Bölcsöde'!G79+'8_KGMH'!G79</f>
        <v>972206827</v>
      </c>
      <c r="H77" s="912">
        <f t="shared" si="1"/>
        <v>0</v>
      </c>
    </row>
    <row r="78" spans="1:8" s="408" customFormat="1" ht="12" customHeight="1" thickBot="1" x14ac:dyDescent="0.3">
      <c r="A78" s="422" t="s">
        <v>195</v>
      </c>
      <c r="B78" s="388" t="s">
        <v>196</v>
      </c>
      <c r="C78" s="952">
        <f>+C79+C80+C81+C82</f>
        <v>0</v>
      </c>
      <c r="D78" s="817"/>
      <c r="E78" s="817"/>
      <c r="F78" s="817"/>
      <c r="G78" s="817"/>
      <c r="H78" s="912">
        <f t="shared" si="1"/>
        <v>0</v>
      </c>
    </row>
    <row r="79" spans="1:8" s="408" customFormat="1" ht="12" customHeight="1" x14ac:dyDescent="0.25">
      <c r="A79" s="412" t="s">
        <v>197</v>
      </c>
      <c r="B79" s="409" t="s">
        <v>198</v>
      </c>
      <c r="C79" s="955">
        <f>'[2]13_14_Óvoda'!C81+'[2]9_10 Hivatal'!C82+'[2]5_6 Önkormányzat'!C81+'[2]17_18_Bölcsöde'!C81+'[2]21_22_KGMH'!C81</f>
        <v>0</v>
      </c>
      <c r="D79" s="822"/>
      <c r="E79" s="822"/>
      <c r="F79" s="822"/>
      <c r="G79" s="822"/>
      <c r="H79" s="912">
        <f t="shared" si="1"/>
        <v>0</v>
      </c>
    </row>
    <row r="80" spans="1:8" s="408" customFormat="1" ht="12" customHeight="1" x14ac:dyDescent="0.25">
      <c r="A80" s="413" t="s">
        <v>199</v>
      </c>
      <c r="B80" s="410" t="s">
        <v>200</v>
      </c>
      <c r="C80" s="955">
        <f>'[2]13_14_Óvoda'!C82+'[2]9_10 Hivatal'!C83+'[2]5_6 Önkormányzat'!C82+'[2]17_18_Bölcsöde'!C82+'[2]21_22_KGMH'!C82</f>
        <v>0</v>
      </c>
      <c r="D80" s="822"/>
      <c r="E80" s="822"/>
      <c r="F80" s="822"/>
      <c r="G80" s="822"/>
      <c r="H80" s="912">
        <f t="shared" si="1"/>
        <v>0</v>
      </c>
    </row>
    <row r="81" spans="1:8" s="408" customFormat="1" ht="12" customHeight="1" x14ac:dyDescent="0.25">
      <c r="A81" s="413" t="s">
        <v>201</v>
      </c>
      <c r="B81" s="410" t="s">
        <v>202</v>
      </c>
      <c r="C81" s="955">
        <f>'[2]13_14_Óvoda'!C83+'[2]9_10 Hivatal'!C84+'[2]5_6 Önkormányzat'!C83+'[2]17_18_Bölcsöde'!C83+'[2]21_22_KGMH'!C83</f>
        <v>0</v>
      </c>
      <c r="D81" s="822"/>
      <c r="E81" s="822"/>
      <c r="F81" s="822"/>
      <c r="G81" s="822"/>
      <c r="H81" s="912">
        <f t="shared" si="1"/>
        <v>0</v>
      </c>
    </row>
    <row r="82" spans="1:8" s="408" customFormat="1" ht="12" customHeight="1" thickBot="1" x14ac:dyDescent="0.3">
      <c r="A82" s="423" t="s">
        <v>203</v>
      </c>
      <c r="B82" s="390" t="s">
        <v>204</v>
      </c>
      <c r="C82" s="955">
        <f>'[2]13_14_Óvoda'!C84+'[2]9_10 Hivatal'!C85+'[2]5_6 Önkormányzat'!C84+'[2]17_18_Bölcsöde'!C84+'[2]21_22_KGMH'!C84</f>
        <v>0</v>
      </c>
      <c r="D82" s="822"/>
      <c r="E82" s="822"/>
      <c r="F82" s="822"/>
      <c r="G82" s="822"/>
      <c r="H82" s="912">
        <f t="shared" si="1"/>
        <v>0</v>
      </c>
    </row>
    <row r="83" spans="1:8" s="408" customFormat="1" ht="12" customHeight="1" thickBot="1" x14ac:dyDescent="0.3">
      <c r="A83" s="422" t="s">
        <v>205</v>
      </c>
      <c r="B83" s="388" t="s">
        <v>206</v>
      </c>
      <c r="C83" s="956">
        <f>'[2]13_14_Óvoda'!C85+'[2]9_10 Hivatal'!C86+'[2]5_6 Önkormányzat'!C85+'[2]17_18_Bölcsöde'!C85+'[2]21_22_KGMH'!C85</f>
        <v>0</v>
      </c>
      <c r="D83" s="821"/>
      <c r="E83" s="821"/>
      <c r="F83" s="821"/>
      <c r="G83" s="821"/>
      <c r="H83" s="912">
        <f t="shared" si="1"/>
        <v>0</v>
      </c>
    </row>
    <row r="84" spans="1:8" s="408" customFormat="1" ht="12" customHeight="1" thickBot="1" x14ac:dyDescent="0.3">
      <c r="A84" s="422" t="s">
        <v>207</v>
      </c>
      <c r="B84" s="345" t="s">
        <v>208</v>
      </c>
      <c r="C84" s="954">
        <f>+C62+C66+C71+C74+C78+C83</f>
        <v>929530833</v>
      </c>
      <c r="D84" s="816">
        <f>D78+D74+D71+D66+D62</f>
        <v>1076182348</v>
      </c>
      <c r="E84" s="816">
        <f>E62+E66+E71+E74+E83</f>
        <v>1066646921</v>
      </c>
      <c r="F84" s="816">
        <f>F62+F66+F71+F74+F83</f>
        <v>1108165433</v>
      </c>
      <c r="G84" s="816">
        <f>G62+G66+G71+G74+G83</f>
        <v>1115755292</v>
      </c>
      <c r="H84" s="912">
        <f t="shared" si="1"/>
        <v>7589859</v>
      </c>
    </row>
    <row r="85" spans="1:8" s="408" customFormat="1" ht="21" customHeight="1" thickBot="1" x14ac:dyDescent="0.3">
      <c r="A85" s="424" t="s">
        <v>209</v>
      </c>
      <c r="B85" s="348" t="s">
        <v>210</v>
      </c>
      <c r="C85" s="954">
        <f>+C61+C84</f>
        <v>2528329238</v>
      </c>
      <c r="D85" s="816">
        <f>+D61+D84</f>
        <v>2706536187</v>
      </c>
      <c r="E85" s="816">
        <f>+E61+E84</f>
        <v>2761856060</v>
      </c>
      <c r="F85" s="816">
        <f>+F61+F84</f>
        <v>2840802851</v>
      </c>
      <c r="G85" s="816">
        <f>+G61+G84</f>
        <v>2840026509</v>
      </c>
      <c r="H85" s="912">
        <f t="shared" si="1"/>
        <v>-776342</v>
      </c>
    </row>
    <row r="86" spans="1:8" s="408" customFormat="1" ht="20.25" customHeight="1" thickBot="1" x14ac:dyDescent="0.3">
      <c r="A86" s="921"/>
      <c r="B86" s="923" t="s">
        <v>1860</v>
      </c>
      <c r="C86" s="922">
        <f>C85-C77</f>
        <v>1629636350</v>
      </c>
      <c r="D86" s="826">
        <f>D85-D77</f>
        <v>1766312445</v>
      </c>
      <c r="E86" s="826">
        <f>E85-E77</f>
        <v>1831167745</v>
      </c>
      <c r="F86" s="826">
        <f>F85-F77</f>
        <v>1868596024</v>
      </c>
      <c r="G86" s="826">
        <f>G85-G77</f>
        <v>1867819682</v>
      </c>
      <c r="H86" s="912">
        <f t="shared" si="1"/>
        <v>-776342</v>
      </c>
    </row>
    <row r="87" spans="1:8" ht="16.5" customHeight="1" x14ac:dyDescent="0.3">
      <c r="A87" s="1617" t="s">
        <v>211</v>
      </c>
      <c r="B87" s="1618"/>
      <c r="C87" s="1618"/>
      <c r="D87" s="1618"/>
      <c r="E87" s="1618"/>
      <c r="F87" s="1618"/>
      <c r="G87" s="1619"/>
      <c r="H87" s="912">
        <f t="shared" si="1"/>
        <v>0</v>
      </c>
    </row>
    <row r="88" spans="1:8" s="414" customFormat="1" ht="16.5" customHeight="1" thickBot="1" x14ac:dyDescent="0.35">
      <c r="A88" s="1409" t="s">
        <v>2110</v>
      </c>
      <c r="B88" s="43"/>
      <c r="C88" s="376"/>
      <c r="D88" s="376"/>
      <c r="E88" s="376"/>
      <c r="F88" s="1554"/>
      <c r="G88" s="1559"/>
      <c r="H88" s="912">
        <f t="shared" si="1"/>
        <v>0</v>
      </c>
    </row>
    <row r="89" spans="1:8" s="414" customFormat="1" ht="16.5" customHeight="1" thickBot="1" x14ac:dyDescent="0.35">
      <c r="A89" s="1620" t="s">
        <v>41</v>
      </c>
      <c r="B89" s="1622" t="s">
        <v>213</v>
      </c>
      <c r="C89" s="1628" t="str">
        <f>+C3</f>
        <v>2019. évi</v>
      </c>
      <c r="D89" s="1629"/>
      <c r="E89" s="1629"/>
      <c r="F89" s="1629"/>
      <c r="G89" s="1630"/>
      <c r="H89" s="912">
        <f t="shared" si="1"/>
        <v>0</v>
      </c>
    </row>
    <row r="90" spans="1:8" ht="38.1" customHeight="1" thickBot="1" x14ac:dyDescent="0.35">
      <c r="A90" s="1621"/>
      <c r="B90" s="1623"/>
      <c r="C90" s="1558" t="s">
        <v>43</v>
      </c>
      <c r="D90" s="1561" t="s">
        <v>2184</v>
      </c>
      <c r="E90" s="1561" t="s">
        <v>2185</v>
      </c>
      <c r="F90" s="1561" t="s">
        <v>2186</v>
      </c>
      <c r="G90" s="1541" t="s">
        <v>2187</v>
      </c>
      <c r="H90" s="912" t="e">
        <f t="shared" si="1"/>
        <v>#VALUE!</v>
      </c>
    </row>
    <row r="91" spans="1:8" s="407" customFormat="1" ht="12" customHeight="1" thickBot="1" x14ac:dyDescent="0.3">
      <c r="A91" s="372" t="s">
        <v>46</v>
      </c>
      <c r="B91" s="373" t="s">
        <v>47</v>
      </c>
      <c r="C91" s="936" t="s">
        <v>48</v>
      </c>
      <c r="D91" s="1560" t="s">
        <v>49</v>
      </c>
      <c r="E91" s="1560" t="s">
        <v>49</v>
      </c>
      <c r="F91" s="1560" t="s">
        <v>49</v>
      </c>
      <c r="G91" s="1560" t="s">
        <v>49</v>
      </c>
      <c r="H91" s="912" t="e">
        <f t="shared" si="1"/>
        <v>#VALUE!</v>
      </c>
    </row>
    <row r="92" spans="1:8" ht="12" customHeight="1" thickBot="1" x14ac:dyDescent="0.35">
      <c r="A92" s="369" t="s">
        <v>51</v>
      </c>
      <c r="B92" s="371" t="s">
        <v>214</v>
      </c>
      <c r="C92" s="937">
        <f>SUM(C93:C97)</f>
        <v>1360767952</v>
      </c>
      <c r="D92" s="824">
        <f>SUM(D93:D97)</f>
        <v>1445469976</v>
      </c>
      <c r="E92" s="824">
        <f>SUM(E93:E97)</f>
        <v>1483977600</v>
      </c>
      <c r="F92" s="824">
        <f>SUM(F93:F97)</f>
        <v>1548980606</v>
      </c>
      <c r="G92" s="824">
        <f>SUM(G93:G97)</f>
        <v>1554660137</v>
      </c>
      <c r="H92" s="912">
        <f t="shared" si="1"/>
        <v>5679531</v>
      </c>
    </row>
    <row r="93" spans="1:8" ht="12" customHeight="1" x14ac:dyDescent="0.3">
      <c r="A93" s="364" t="s">
        <v>53</v>
      </c>
      <c r="B93" s="357" t="s">
        <v>215</v>
      </c>
      <c r="C93" s="938">
        <f>'6_Óvoda'!C94+'5_Hivatal'!C94+'4_Önkormányzat'!C92+'7_Bölcsöde'!C96+'8_KGMH'!C96</f>
        <v>665042249</v>
      </c>
      <c r="D93" s="825">
        <f>'[1]4_Önkormányzat'!D94+'[1]5_Hivatal'!D96+'[1]6_Óvoda'!D96+'[1]7_Bölcsöde'!D96+'[1]8_KGMH'!D96</f>
        <v>665042249</v>
      </c>
      <c r="E93" s="825">
        <f>'4_Önkormányzat'!E92+'5_Hivatal'!E94+'6_Óvoda'!E94+'7_Bölcsöde'!E96+'8_KGMH'!E96</f>
        <v>678854249</v>
      </c>
      <c r="F93" s="825">
        <f>'4_Önkormányzat'!F92+'5_Hivatal'!F94+'6_Óvoda'!F94+'7_Bölcsöde'!F96+'8_KGMH'!F96</f>
        <v>698533449</v>
      </c>
      <c r="G93" s="825">
        <f>'4_Önkormányzat'!G92+'5_Hivatal'!G94+'6_Óvoda'!G94+'7_Bölcsöde'!G96+'8_KGMH'!G96</f>
        <v>694637500</v>
      </c>
      <c r="H93" s="912">
        <f t="shared" si="1"/>
        <v>-3895949</v>
      </c>
    </row>
    <row r="94" spans="1:8" ht="12" customHeight="1" x14ac:dyDescent="0.3">
      <c r="A94" s="361" t="s">
        <v>55</v>
      </c>
      <c r="B94" s="355" t="s">
        <v>216</v>
      </c>
      <c r="C94" s="938">
        <f>'6_Óvoda'!C95+'5_Hivatal'!C95+'4_Önkormányzat'!C93+'7_Bölcsöde'!C97+'8_KGMH'!C97</f>
        <v>139198302</v>
      </c>
      <c r="D94" s="825">
        <f>'[1]4_Önkormányzat'!D95+'[1]5_Hivatal'!D97+'[1]6_Óvoda'!D97+'[1]7_Bölcsöde'!D97+'[1]8_KGMH'!D97</f>
        <v>139198302</v>
      </c>
      <c r="E94" s="825">
        <f>'4_Önkormányzat'!E93+'5_Hivatal'!E95+'6_Óvoda'!E95+'7_Bölcsöde'!E97+'8_KGMH'!E97</f>
        <v>140044848</v>
      </c>
      <c r="F94" s="825">
        <f>'4_Önkormányzat'!F93+'5_Hivatal'!F95+'6_Óvoda'!F95+'7_Bölcsöde'!F97+'8_KGMH'!F97</f>
        <v>140719569</v>
      </c>
      <c r="G94" s="825">
        <f>'4_Önkormányzat'!G93+'5_Hivatal'!G95+'6_Óvoda'!G95+'7_Bölcsöde'!G97+'8_KGMH'!G97</f>
        <v>140809952</v>
      </c>
      <c r="H94" s="912">
        <f t="shared" si="1"/>
        <v>90383</v>
      </c>
    </row>
    <row r="95" spans="1:8" ht="12" customHeight="1" x14ac:dyDescent="0.3">
      <c r="A95" s="361" t="s">
        <v>57</v>
      </c>
      <c r="B95" s="355" t="s">
        <v>217</v>
      </c>
      <c r="C95" s="938">
        <f>'6_Óvoda'!C96+'5_Hivatal'!C96+'4_Önkormányzat'!C94+'7_Bölcsöde'!C98+'8_KGMH'!C98</f>
        <v>525131401</v>
      </c>
      <c r="D95" s="825">
        <f>'[1]4_Önkormányzat'!D96+'[1]5_Hivatal'!D98+'[1]6_Óvoda'!D98+'[1]7_Bölcsöde'!D98+'[1]8_KGMH'!D98</f>
        <v>586079479</v>
      </c>
      <c r="E95" s="825">
        <f>'4_Önkormányzat'!E94+'5_Hivatal'!E96+'6_Óvoda'!E96+'7_Bölcsöde'!E98+'8_KGMH'!E98</f>
        <v>566628157</v>
      </c>
      <c r="F95" s="825">
        <f>'4_Önkormányzat'!F94+'5_Hivatal'!F96+'6_Óvoda'!F96+'7_Bölcsöde'!F98+'8_KGMH'!F98</f>
        <v>611649500</v>
      </c>
      <c r="G95" s="825">
        <f>'4_Önkormányzat'!G94+'5_Hivatal'!G96+'6_Óvoda'!G96+'7_Bölcsöde'!G98+'8_KGMH'!G98</f>
        <v>621772437</v>
      </c>
      <c r="H95" s="912">
        <f t="shared" si="1"/>
        <v>10122937</v>
      </c>
    </row>
    <row r="96" spans="1:8" ht="12" customHeight="1" x14ac:dyDescent="0.3">
      <c r="A96" s="361" t="s">
        <v>59</v>
      </c>
      <c r="B96" s="358" t="s">
        <v>218</v>
      </c>
      <c r="C96" s="938">
        <f>'6_Óvoda'!C97+'5_Hivatal'!C97+'4_Önkormányzat'!C95+'7_Bölcsöde'!C99+'8_KGMH'!C99</f>
        <v>10000000</v>
      </c>
      <c r="D96" s="825">
        <f>'[1]4_Önkormányzat'!D97+'[1]5_Hivatal'!D99+'[1]6_Óvoda'!D99+'[1]7_Bölcsöde'!D99+'[1]8_KGMH'!D99</f>
        <v>10217705</v>
      </c>
      <c r="E96" s="825">
        <f>'4_Önkormányzat'!E95+'5_Hivatal'!E97+'6_Óvoda'!E97+'7_Bölcsöde'!E99+'8_KGMH'!E99</f>
        <v>10217705</v>
      </c>
      <c r="F96" s="825">
        <f>'4_Önkormányzat'!F95+'5_Hivatal'!F97+'6_Óvoda'!F97+'7_Bölcsöde'!F99+'8_KGMH'!F99</f>
        <v>10217705</v>
      </c>
      <c r="G96" s="825">
        <f>'4_Önkormányzat'!G95+'5_Hivatal'!G97+'6_Óvoda'!G97+'7_Bölcsöde'!G99+'8_KGMH'!G99</f>
        <v>9562495</v>
      </c>
      <c r="H96" s="912">
        <f t="shared" si="1"/>
        <v>-655210</v>
      </c>
    </row>
    <row r="97" spans="1:8" ht="12" customHeight="1" x14ac:dyDescent="0.3">
      <c r="A97" s="361" t="s">
        <v>219</v>
      </c>
      <c r="B97" s="366" t="s">
        <v>220</v>
      </c>
      <c r="C97" s="938">
        <f>'6_Óvoda'!C98+'5_Hivatal'!C98+'4_Önkormányzat'!C96+'7_Bölcsöde'!C100+'8_KGMH'!C100</f>
        <v>21396000</v>
      </c>
      <c r="D97" s="825">
        <f>'[1]4_Önkormányzat'!D98+'[1]5_Hivatal'!D100+'[1]6_Óvoda'!D100+'[1]7_Bölcsöde'!D100+'[1]8_KGMH'!D100</f>
        <v>44932241</v>
      </c>
      <c r="E97" s="825">
        <f>'4_Önkormányzat'!E96+'5_Hivatal'!E98+'6_Óvoda'!E98+'7_Bölcsöde'!E100+'8_KGMH'!E100</f>
        <v>88232641</v>
      </c>
      <c r="F97" s="825">
        <f>'4_Önkormányzat'!F96+'5_Hivatal'!F98+'6_Óvoda'!F98+'7_Bölcsöde'!F100+'8_KGMH'!F100</f>
        <v>87860383</v>
      </c>
      <c r="G97" s="825">
        <f>'4_Önkormányzat'!G96+'5_Hivatal'!G98+'6_Óvoda'!G98+'7_Bölcsöde'!G100+'8_KGMH'!G100</f>
        <v>87877753</v>
      </c>
      <c r="H97" s="912">
        <f t="shared" si="1"/>
        <v>17370</v>
      </c>
    </row>
    <row r="98" spans="1:8" ht="12" customHeight="1" x14ac:dyDescent="0.3">
      <c r="A98" s="361" t="s">
        <v>63</v>
      </c>
      <c r="B98" s="355" t="s">
        <v>221</v>
      </c>
      <c r="C98" s="938">
        <f>'6_Óvoda'!C99+'5_Hivatal'!C99+'4_Önkormányzat'!C97+'7_Bölcsöde'!C101+'8_KGMH'!C101</f>
        <v>0</v>
      </c>
      <c r="D98" s="825">
        <f>'[1]4_Önkormányzat'!D99+'[1]5_Hivatal'!D101+'[1]6_Óvoda'!D101+'[1]7_Bölcsöde'!D101+'[1]8_KGMH'!D101</f>
        <v>7083241</v>
      </c>
      <c r="E98" s="825">
        <f>'4_Önkormányzat'!E97+'5_Hivatal'!E99+'6_Óvoda'!E99+'7_Bölcsöde'!E101+'8_KGMH'!E101</f>
        <v>7083241</v>
      </c>
      <c r="F98" s="825">
        <f>'4_Önkormányzat'!F97+'5_Hivatal'!F99+'6_Óvoda'!F99+'7_Bölcsöde'!F101+'8_KGMH'!F101</f>
        <v>7083241</v>
      </c>
      <c r="G98" s="825">
        <f>'4_Önkormányzat'!G97+'5_Hivatal'!G99+'6_Óvoda'!G99+'7_Bölcsöde'!G101+'8_KGMH'!G101</f>
        <v>7083241</v>
      </c>
      <c r="H98" s="912">
        <f t="shared" si="1"/>
        <v>0</v>
      </c>
    </row>
    <row r="99" spans="1:8" ht="12" customHeight="1" x14ac:dyDescent="0.3">
      <c r="A99" s="361" t="s">
        <v>222</v>
      </c>
      <c r="B99" s="377" t="s">
        <v>223</v>
      </c>
      <c r="C99" s="938">
        <f>'6_Óvoda'!C100+'5_Hivatal'!C100+'4_Önkormányzat'!C98+'7_Bölcsöde'!C102+'8_KGMH'!C102</f>
        <v>0</v>
      </c>
      <c r="D99" s="825">
        <f>'[1]4_Önkormányzat'!D100+'[1]5_Hivatal'!D102+'[1]6_Óvoda'!D102+'[1]7_Bölcsöde'!D102+'[1]8_KGMH'!D102</f>
        <v>0</v>
      </c>
      <c r="E99" s="825">
        <f>'4_Önkormányzat'!E98+'5_Hivatal'!E100+'6_Óvoda'!E100+'7_Bölcsöde'!E102+'8_KGMH'!E102</f>
        <v>0</v>
      </c>
      <c r="F99" s="825">
        <f>'4_Önkormányzat'!F98+'5_Hivatal'!F100+'6_Óvoda'!F100+'7_Bölcsöde'!F102+'8_KGMH'!F102</f>
        <v>0</v>
      </c>
      <c r="G99" s="825">
        <f>'4_Önkormányzat'!G98+'5_Hivatal'!G100+'6_Óvoda'!G100+'7_Bölcsöde'!G102+'8_KGMH'!G102</f>
        <v>0</v>
      </c>
      <c r="H99" s="912">
        <f t="shared" si="1"/>
        <v>0</v>
      </c>
    </row>
    <row r="100" spans="1:8" ht="12" customHeight="1" x14ac:dyDescent="0.3">
      <c r="A100" s="361" t="s">
        <v>224</v>
      </c>
      <c r="B100" s="378" t="s">
        <v>225</v>
      </c>
      <c r="C100" s="938">
        <f>'6_Óvoda'!C101+'5_Hivatal'!C101+'4_Önkormányzat'!C99+'7_Bölcsöde'!C103+'8_KGMH'!C103</f>
        <v>0</v>
      </c>
      <c r="D100" s="825">
        <f>'[1]4_Önkormányzat'!D101+'[1]5_Hivatal'!D103+'[1]6_Óvoda'!D103+'[1]7_Bölcsöde'!D103+'[1]8_KGMH'!D103</f>
        <v>0</v>
      </c>
      <c r="E100" s="825">
        <f>'4_Önkormányzat'!E99+'5_Hivatal'!E101+'6_Óvoda'!E101+'7_Bölcsöde'!E103+'8_KGMH'!E103</f>
        <v>0</v>
      </c>
      <c r="F100" s="825">
        <f>'4_Önkormányzat'!F99+'5_Hivatal'!F101+'6_Óvoda'!F101+'7_Bölcsöde'!F103+'8_KGMH'!F103</f>
        <v>0</v>
      </c>
      <c r="G100" s="825">
        <f>'4_Önkormányzat'!G99+'5_Hivatal'!G101+'6_Óvoda'!G101+'7_Bölcsöde'!G103+'8_KGMH'!G103</f>
        <v>0</v>
      </c>
      <c r="H100" s="912">
        <f t="shared" si="1"/>
        <v>0</v>
      </c>
    </row>
    <row r="101" spans="1:8" ht="12" customHeight="1" x14ac:dyDescent="0.3">
      <c r="A101" s="361" t="s">
        <v>226</v>
      </c>
      <c r="B101" s="378" t="s">
        <v>227</v>
      </c>
      <c r="C101" s="938">
        <f>'6_Óvoda'!C102+'5_Hivatal'!C102+'4_Önkormányzat'!C100+'7_Bölcsöde'!C104+'8_KGMH'!C104</f>
        <v>0</v>
      </c>
      <c r="D101" s="825">
        <f>'[1]4_Önkormányzat'!D102+'[1]5_Hivatal'!D104+'[1]6_Óvoda'!D104+'[1]7_Bölcsöde'!D104+'[1]8_KGMH'!D104</f>
        <v>0</v>
      </c>
      <c r="E101" s="825">
        <f>'4_Önkormányzat'!E100+'5_Hivatal'!E102+'6_Óvoda'!E102+'7_Bölcsöde'!E104+'8_KGMH'!E104</f>
        <v>0</v>
      </c>
      <c r="F101" s="825">
        <f>'4_Önkormányzat'!F100+'5_Hivatal'!F102+'6_Óvoda'!F102+'7_Bölcsöde'!F104+'8_KGMH'!F104</f>
        <v>0</v>
      </c>
      <c r="G101" s="825">
        <f>'4_Önkormányzat'!G100+'5_Hivatal'!G102+'6_Óvoda'!G102+'7_Bölcsöde'!G104+'8_KGMH'!G104</f>
        <v>0</v>
      </c>
      <c r="H101" s="912">
        <f t="shared" si="1"/>
        <v>0</v>
      </c>
    </row>
    <row r="102" spans="1:8" ht="12" customHeight="1" x14ac:dyDescent="0.3">
      <c r="A102" s="361" t="s">
        <v>228</v>
      </c>
      <c r="B102" s="377" t="s">
        <v>229</v>
      </c>
      <c r="C102" s="938">
        <f>'6_Óvoda'!C103+'5_Hivatal'!C103+'4_Önkormányzat'!C101+'7_Bölcsöde'!C105+'8_KGMH'!C105</f>
        <v>0</v>
      </c>
      <c r="D102" s="825">
        <f>'[1]4_Önkormányzat'!D103+'[1]5_Hivatal'!D105+'[1]6_Óvoda'!D105+'[1]7_Bölcsöde'!D105+'[1]8_KGMH'!D105</f>
        <v>515000</v>
      </c>
      <c r="E102" s="825">
        <f>'4_Önkormányzat'!E101+'5_Hivatal'!E103+'6_Óvoda'!E103+'7_Bölcsöde'!E105+'8_KGMH'!E105</f>
        <v>1615000</v>
      </c>
      <c r="F102" s="825">
        <f>'4_Önkormányzat'!F101+'5_Hivatal'!F103+'6_Óvoda'!F103+'7_Bölcsöde'!F105+'8_KGMH'!F105</f>
        <v>2829093</v>
      </c>
      <c r="G102" s="825">
        <f>'4_Önkormányzat'!G101+'5_Hivatal'!G103+'6_Óvoda'!G103+'7_Bölcsöde'!G105+'8_KGMH'!G105</f>
        <v>2911463</v>
      </c>
      <c r="H102" s="912">
        <f t="shared" si="1"/>
        <v>82370</v>
      </c>
    </row>
    <row r="103" spans="1:8" ht="12" customHeight="1" x14ac:dyDescent="0.3">
      <c r="A103" s="361" t="s">
        <v>230</v>
      </c>
      <c r="B103" s="377" t="s">
        <v>231</v>
      </c>
      <c r="C103" s="938">
        <f>'6_Óvoda'!C104+'5_Hivatal'!C104+'4_Önkormányzat'!C102+'7_Bölcsöde'!C106+'8_KGMH'!C106</f>
        <v>0</v>
      </c>
      <c r="D103" s="825">
        <f>'[1]4_Önkormányzat'!D104+'[1]5_Hivatal'!D106+'[1]6_Óvoda'!D106+'[1]7_Bölcsöde'!D106+'[1]8_KGMH'!D106</f>
        <v>0</v>
      </c>
      <c r="E103" s="825">
        <f>'4_Önkormányzat'!E102+'5_Hivatal'!E104+'6_Óvoda'!E104+'7_Bölcsöde'!E106+'8_KGMH'!E106</f>
        <v>0</v>
      </c>
      <c r="F103" s="825">
        <f>'4_Önkormányzat'!F102+'5_Hivatal'!F104+'6_Óvoda'!F104+'7_Bölcsöde'!F106+'8_KGMH'!F106</f>
        <v>0</v>
      </c>
      <c r="G103" s="825"/>
      <c r="H103" s="912">
        <f t="shared" si="1"/>
        <v>0</v>
      </c>
    </row>
    <row r="104" spans="1:8" ht="12" customHeight="1" x14ac:dyDescent="0.3">
      <c r="A104" s="361" t="s">
        <v>232</v>
      </c>
      <c r="B104" s="378" t="s">
        <v>233</v>
      </c>
      <c r="C104" s="938">
        <f>'6_Óvoda'!C105+'5_Hivatal'!C105+'4_Önkormányzat'!C103+'7_Bölcsöde'!C107+'8_KGMH'!C107</f>
        <v>0</v>
      </c>
      <c r="D104" s="825">
        <f>'[1]4_Önkormányzat'!D105+'[1]5_Hivatal'!D107+'[1]6_Óvoda'!D107+'[1]7_Bölcsöde'!D107+'[1]8_KGMH'!D107</f>
        <v>0</v>
      </c>
      <c r="E104" s="825">
        <f>'4_Önkormányzat'!E103+'5_Hivatal'!E105+'6_Óvoda'!E105+'7_Bölcsöde'!E107+'8_KGMH'!E107</f>
        <v>0</v>
      </c>
      <c r="F104" s="825">
        <f>'4_Önkormányzat'!F103+'5_Hivatal'!F105+'6_Óvoda'!F105+'7_Bölcsöde'!F107+'8_KGMH'!F107</f>
        <v>0</v>
      </c>
      <c r="G104" s="825">
        <f>'4_Önkormányzat'!G103+'5_Hivatal'!G105+'6_Óvoda'!G105+'7_Bölcsöde'!G107+'8_KGMH'!G107</f>
        <v>0</v>
      </c>
      <c r="H104" s="912">
        <f t="shared" si="1"/>
        <v>0</v>
      </c>
    </row>
    <row r="105" spans="1:8" ht="12" customHeight="1" x14ac:dyDescent="0.3">
      <c r="A105" s="360" t="s">
        <v>234</v>
      </c>
      <c r="B105" s="379" t="s">
        <v>235</v>
      </c>
      <c r="C105" s="938">
        <f>'6_Óvoda'!C106+'5_Hivatal'!C106+'4_Önkormányzat'!C104+'7_Bölcsöde'!C108+'8_KGMH'!C108</f>
        <v>0</v>
      </c>
      <c r="D105" s="825">
        <f>'[1]4_Önkormányzat'!D106+'[1]5_Hivatal'!D108+'[1]6_Óvoda'!D108+'[1]7_Bölcsöde'!D108+'[1]8_KGMH'!D108</f>
        <v>0</v>
      </c>
      <c r="E105" s="825">
        <f>'4_Önkormányzat'!E104+'5_Hivatal'!E106+'6_Óvoda'!E106+'7_Bölcsöde'!E108+'8_KGMH'!E108</f>
        <v>0</v>
      </c>
      <c r="F105" s="825">
        <f>'4_Önkormányzat'!F104+'5_Hivatal'!F106+'6_Óvoda'!F106+'7_Bölcsöde'!F108+'8_KGMH'!F108</f>
        <v>0</v>
      </c>
      <c r="G105" s="825">
        <f>'4_Önkormányzat'!G104+'5_Hivatal'!G106+'6_Óvoda'!G106+'7_Bölcsöde'!G108+'8_KGMH'!G108</f>
        <v>0</v>
      </c>
      <c r="H105" s="912">
        <f t="shared" si="1"/>
        <v>0</v>
      </c>
    </row>
    <row r="106" spans="1:8" ht="12" customHeight="1" x14ac:dyDescent="0.3">
      <c r="A106" s="361" t="s">
        <v>236</v>
      </c>
      <c r="B106" s="379" t="s">
        <v>237</v>
      </c>
      <c r="C106" s="938">
        <f>'6_Óvoda'!C107+'5_Hivatal'!C107+'4_Önkormányzat'!C105+'7_Bölcsöde'!C109+'8_KGMH'!C109</f>
        <v>0</v>
      </c>
      <c r="D106" s="825">
        <f>'[1]4_Önkormányzat'!D107+'[1]5_Hivatal'!D109+'[1]6_Óvoda'!D109+'[1]7_Bölcsöde'!D109+'[1]8_KGMH'!D109</f>
        <v>0</v>
      </c>
      <c r="E106" s="825">
        <f>'4_Önkormányzat'!E105+'5_Hivatal'!E107+'6_Óvoda'!E107+'7_Bölcsöde'!E109+'8_KGMH'!E109</f>
        <v>0</v>
      </c>
      <c r="F106" s="825">
        <f>'4_Önkormányzat'!F105+'5_Hivatal'!F107+'6_Óvoda'!F107+'7_Bölcsöde'!F109+'8_KGMH'!F109</f>
        <v>0</v>
      </c>
      <c r="G106" s="825">
        <f>'4_Önkormányzat'!G105+'5_Hivatal'!G107+'6_Óvoda'!G107+'7_Bölcsöde'!G109+'8_KGMH'!G109</f>
        <v>0</v>
      </c>
      <c r="H106" s="912">
        <f t="shared" si="1"/>
        <v>0</v>
      </c>
    </row>
    <row r="107" spans="1:8" ht="12" customHeight="1" thickBot="1" x14ac:dyDescent="0.35">
      <c r="A107" s="365" t="s">
        <v>238</v>
      </c>
      <c r="B107" s="380" t="s">
        <v>239</v>
      </c>
      <c r="C107" s="938">
        <f>'6_Óvoda'!C108+'5_Hivatal'!C108+'4_Önkormányzat'!C106+'7_Bölcsöde'!C110+'8_KGMH'!C110</f>
        <v>21396000</v>
      </c>
      <c r="D107" s="957">
        <f>'[1]4_Önkormányzat'!D108+'[1]5_Hivatal'!D110+'[1]6_Óvoda'!D110+'[1]7_Bölcsöde'!D110+'[1]8_KGMH'!D110</f>
        <v>37334000</v>
      </c>
      <c r="E107" s="957">
        <f>'4_Önkormányzat'!E106+'5_Hivatal'!E108+'6_Óvoda'!E108+'7_Bölcsöde'!E110+'8_KGMH'!E110</f>
        <v>79534400</v>
      </c>
      <c r="F107" s="957">
        <f>'4_Önkormányzat'!F106+'5_Hivatal'!F108+'6_Óvoda'!F108+'7_Bölcsöde'!F110+'8_KGMH'!F110</f>
        <v>77948049</v>
      </c>
      <c r="G107" s="957">
        <f>'4_Önkormányzat'!G106+'5_Hivatal'!G108+'6_Óvoda'!G108+'7_Bölcsöde'!G110+'8_KGMH'!G110</f>
        <v>77883049</v>
      </c>
      <c r="H107" s="912">
        <f t="shared" si="1"/>
        <v>-65000</v>
      </c>
    </row>
    <row r="108" spans="1:8" ht="12" customHeight="1" thickBot="1" x14ac:dyDescent="0.35">
      <c r="A108" s="367" t="s">
        <v>65</v>
      </c>
      <c r="B108" s="370" t="s">
        <v>240</v>
      </c>
      <c r="C108" s="937">
        <f>+C109+C111+C113</f>
        <v>152722145</v>
      </c>
      <c r="D108" s="827">
        <f>'[1]4_Önkormányzat'!D109+'[1]5_Hivatal'!D111+'[1]6_Óvoda'!D111+'[1]7_Bölcsöde'!D111+'[1]8_KGMH'!D111</f>
        <v>196986902</v>
      </c>
      <c r="E108" s="1455">
        <f>'4_Önkormányzat'!E107+'5_Hivatal'!E109+'6_Óvoda'!E109+'7_Bölcsöde'!E111+'8_KGMH'!E111</f>
        <v>204420812</v>
      </c>
      <c r="F108" s="1455">
        <f>'4_Önkormányzat'!F107+'5_Hivatal'!F109+'6_Óvoda'!F109+'7_Bölcsöde'!F111+'8_KGMH'!F111</f>
        <v>202895829</v>
      </c>
      <c r="G108" s="1455">
        <f>'4_Önkormányzat'!G107+'5_Hivatal'!G109+'6_Óvoda'!G109+'7_Bölcsöde'!G111+'8_KGMH'!G111</f>
        <v>201608887</v>
      </c>
      <c r="H108" s="912">
        <f t="shared" si="1"/>
        <v>-1286942</v>
      </c>
    </row>
    <row r="109" spans="1:8" ht="12" customHeight="1" x14ac:dyDescent="0.3">
      <c r="A109" s="362" t="s">
        <v>67</v>
      </c>
      <c r="B109" s="355" t="s">
        <v>241</v>
      </c>
      <c r="C109" s="938">
        <f>'6_Óvoda'!C110+'5_Hivatal'!C110+'4_Önkormányzat'!C108+'7_Bölcsöde'!C112+'8_KGMH'!C112</f>
        <v>103722145</v>
      </c>
      <c r="D109" s="825">
        <f>'[1]4_Önkormányzat'!D110+'[1]5_Hivatal'!D112+'[1]6_Óvoda'!D112+'[1]7_Bölcsöde'!D112+'[1]8_KGMH'!D112</f>
        <v>86684545</v>
      </c>
      <c r="E109" s="825">
        <f>'4_Önkormányzat'!E108+'5_Hivatal'!E110+'6_Óvoda'!E110+'7_Bölcsöde'!E112+'8_KGMH'!E112</f>
        <v>94118455</v>
      </c>
      <c r="F109" s="825">
        <f>'4_Önkormányzat'!F108+'5_Hivatal'!F110+'6_Óvoda'!F110+'7_Bölcsöde'!F112+'8_KGMH'!F112</f>
        <v>91993972</v>
      </c>
      <c r="G109" s="825">
        <f>'4_Önkormányzat'!G108+'5_Hivatal'!G110+'6_Óvoda'!G110+'7_Bölcsöde'!G112+'8_KGMH'!G112</f>
        <v>67441294</v>
      </c>
      <c r="H109" s="912">
        <f t="shared" si="1"/>
        <v>-24552678</v>
      </c>
    </row>
    <row r="110" spans="1:8" ht="12" customHeight="1" x14ac:dyDescent="0.3">
      <c r="A110" s="362" t="s">
        <v>69</v>
      </c>
      <c r="B110" s="359" t="s">
        <v>242</v>
      </c>
      <c r="C110" s="938">
        <f>'6_Óvoda'!C111+'5_Hivatal'!C111+'4_Önkormányzat'!C109+'7_Bölcsöde'!C113+'8_KGMH'!C113</f>
        <v>0</v>
      </c>
      <c r="D110" s="825">
        <f>'[1]4_Önkormányzat'!D111+'[1]5_Hivatal'!D113+'[1]6_Óvoda'!D113+'[1]7_Bölcsöde'!D113+'[1]8_KGMH'!D113</f>
        <v>0</v>
      </c>
      <c r="E110" s="825">
        <f>'4_Önkormányzat'!E109+'5_Hivatal'!E111+'6_Óvoda'!E111+'7_Bölcsöde'!E113+'8_KGMH'!E113</f>
        <v>0</v>
      </c>
      <c r="F110" s="825">
        <f>'4_Önkormányzat'!F109+'5_Hivatal'!F111+'6_Óvoda'!F111+'7_Bölcsöde'!F113+'8_KGMH'!F113</f>
        <v>0</v>
      </c>
      <c r="G110" s="825">
        <f>'4_Önkormányzat'!G109+'5_Hivatal'!G111+'6_Óvoda'!G111+'7_Bölcsöde'!G113+'8_KGMH'!G113</f>
        <v>0</v>
      </c>
      <c r="H110" s="912">
        <f t="shared" si="1"/>
        <v>0</v>
      </c>
    </row>
    <row r="111" spans="1:8" x14ac:dyDescent="0.3">
      <c r="A111" s="362" t="s">
        <v>71</v>
      </c>
      <c r="B111" s="359" t="s">
        <v>243</v>
      </c>
      <c r="C111" s="938">
        <f>'6_Óvoda'!C112+'5_Hivatal'!C112+'4_Önkormányzat'!C110+'7_Bölcsöde'!C114+'8_KGMH'!C114</f>
        <v>46500000</v>
      </c>
      <c r="D111" s="825">
        <f>'[1]4_Önkormányzat'!D112+'[1]5_Hivatal'!D114+'[1]6_Óvoda'!D114+'[1]7_Bölcsöde'!D114+'[1]8_KGMH'!D114</f>
        <v>77518890</v>
      </c>
      <c r="E111" s="825">
        <f>'4_Önkormányzat'!E110+'5_Hivatal'!E112+'6_Óvoda'!E112+'7_Bölcsöde'!E114+'8_KGMH'!E114</f>
        <v>77518890</v>
      </c>
      <c r="F111" s="825">
        <f>'4_Önkormányzat'!F110+'5_Hivatal'!F112+'6_Óvoda'!F112+'7_Bölcsöde'!F114+'8_KGMH'!F114</f>
        <v>77518890</v>
      </c>
      <c r="G111" s="825">
        <f>'4_Önkormányzat'!G110+'5_Hivatal'!G112+'6_Óvoda'!G112+'7_Bölcsöde'!G114+'8_KGMH'!G114</f>
        <v>122364144</v>
      </c>
      <c r="H111" s="912">
        <f t="shared" si="1"/>
        <v>44845254</v>
      </c>
    </row>
    <row r="112" spans="1:8" ht="12" customHeight="1" x14ac:dyDescent="0.3">
      <c r="A112" s="362" t="s">
        <v>73</v>
      </c>
      <c r="B112" s="359" t="s">
        <v>244</v>
      </c>
      <c r="C112" s="938">
        <f>'6_Óvoda'!C113+'5_Hivatal'!C113+'4_Önkormányzat'!C111+'7_Bölcsöde'!C115+'8_KGMH'!C115</f>
        <v>0</v>
      </c>
      <c r="D112" s="825">
        <f>'[1]4_Önkormányzat'!D113+'[1]5_Hivatal'!D115+'[1]6_Óvoda'!D115+'[1]7_Bölcsöde'!D115+'[1]8_KGMH'!D115</f>
        <v>0</v>
      </c>
      <c r="E112" s="825">
        <f>'4_Önkormányzat'!E111+'5_Hivatal'!E113+'6_Óvoda'!E113+'7_Bölcsöde'!E115+'8_KGMH'!E115</f>
        <v>0</v>
      </c>
      <c r="F112" s="825">
        <f>'4_Önkormányzat'!F111+'5_Hivatal'!F113+'6_Óvoda'!F113+'7_Bölcsöde'!F115+'8_KGMH'!F115</f>
        <v>0</v>
      </c>
      <c r="G112" s="825">
        <f>'4_Önkormányzat'!G111+'5_Hivatal'!G113+'6_Óvoda'!G113+'7_Bölcsöde'!G115+'8_KGMH'!G115</f>
        <v>0</v>
      </c>
      <c r="H112" s="912">
        <f t="shared" si="1"/>
        <v>0</v>
      </c>
    </row>
    <row r="113" spans="1:8" ht="12" customHeight="1" x14ac:dyDescent="0.3">
      <c r="A113" s="362" t="s">
        <v>75</v>
      </c>
      <c r="B113" s="390" t="s">
        <v>245</v>
      </c>
      <c r="C113" s="938">
        <f>'6_Óvoda'!C114+'5_Hivatal'!C114+'4_Önkormányzat'!C112+'7_Bölcsöde'!C116+'8_KGMH'!C116</f>
        <v>2500000</v>
      </c>
      <c r="D113" s="825">
        <f>'[1]4_Önkormányzat'!D114+'[1]5_Hivatal'!D116+'[1]6_Óvoda'!D116+'[1]7_Bölcsöde'!D116+'[1]8_KGMH'!D116</f>
        <v>32783467</v>
      </c>
      <c r="E113" s="825">
        <f>'4_Önkormányzat'!E112+'5_Hivatal'!E114+'6_Óvoda'!E114+'7_Bölcsöde'!E116+'8_KGMH'!E116</f>
        <v>32783467</v>
      </c>
      <c r="F113" s="825">
        <f>'4_Önkormányzat'!F112+'5_Hivatal'!F114+'6_Óvoda'!F114+'7_Bölcsöde'!F116+'8_KGMH'!F116</f>
        <v>33382967</v>
      </c>
      <c r="G113" s="825">
        <f>'4_Önkormányzat'!G112+'5_Hivatal'!G114+'6_Óvoda'!G114+'7_Bölcsöde'!G116+'8_KGMH'!G116</f>
        <v>11803449</v>
      </c>
      <c r="H113" s="912">
        <f t="shared" si="1"/>
        <v>-21579518</v>
      </c>
    </row>
    <row r="114" spans="1:8" ht="21.75" customHeight="1" x14ac:dyDescent="0.3">
      <c r="A114" s="362" t="s">
        <v>77</v>
      </c>
      <c r="B114" s="389" t="s">
        <v>246</v>
      </c>
      <c r="C114" s="938">
        <f>'6_Óvoda'!C115+'5_Hivatal'!C115+'4_Önkormányzat'!C113+'7_Bölcsöde'!C117+'8_KGMH'!C117</f>
        <v>0</v>
      </c>
      <c r="D114" s="825">
        <f>'[1]4_Önkormányzat'!D115+'[1]5_Hivatal'!D117+'[1]6_Óvoda'!D117+'[1]7_Bölcsöde'!D117+'[1]8_KGMH'!D117</f>
        <v>0</v>
      </c>
      <c r="E114" s="825">
        <f>'4_Önkormányzat'!E113+'5_Hivatal'!E115+'6_Óvoda'!E115+'7_Bölcsöde'!E117+'8_KGMH'!E117</f>
        <v>0</v>
      </c>
      <c r="F114" s="825">
        <f>'4_Önkormányzat'!F113+'5_Hivatal'!F115+'6_Óvoda'!F115+'7_Bölcsöde'!F117+'8_KGMH'!F117</f>
        <v>0</v>
      </c>
      <c r="G114" s="825">
        <f>'4_Önkormányzat'!G113+'5_Hivatal'!G115+'6_Óvoda'!G115+'7_Bölcsöde'!G117+'8_KGMH'!G117</f>
        <v>0</v>
      </c>
      <c r="H114" s="912">
        <f t="shared" si="1"/>
        <v>0</v>
      </c>
    </row>
    <row r="115" spans="1:8" ht="24" customHeight="1" x14ac:dyDescent="0.3">
      <c r="A115" s="362" t="s">
        <v>247</v>
      </c>
      <c r="B115" s="405" t="s">
        <v>248</v>
      </c>
      <c r="C115" s="938">
        <f>'6_Óvoda'!C116+'5_Hivatal'!C116+'4_Önkormányzat'!C114+'7_Bölcsöde'!C118+'8_KGMH'!C118</f>
        <v>0</v>
      </c>
      <c r="D115" s="825">
        <f>'[1]4_Önkormányzat'!D116+'[1]5_Hivatal'!D118+'[1]6_Óvoda'!D118+'[1]7_Bölcsöde'!D118+'[1]8_KGMH'!D118</f>
        <v>0</v>
      </c>
      <c r="E115" s="825">
        <f>'4_Önkormányzat'!E114+'5_Hivatal'!E116+'6_Óvoda'!E116+'7_Bölcsöde'!E118+'8_KGMH'!E118</f>
        <v>0</v>
      </c>
      <c r="F115" s="825">
        <f>'4_Önkormányzat'!F114+'5_Hivatal'!F116+'6_Óvoda'!F116+'7_Bölcsöde'!F118+'8_KGMH'!F118</f>
        <v>0</v>
      </c>
      <c r="G115" s="825">
        <f>'4_Önkormányzat'!G114+'5_Hivatal'!G116+'6_Óvoda'!G116+'7_Bölcsöde'!G118+'8_KGMH'!G118</f>
        <v>0</v>
      </c>
      <c r="H115" s="912">
        <f t="shared" si="1"/>
        <v>0</v>
      </c>
    </row>
    <row r="116" spans="1:8" ht="18.75" customHeight="1" x14ac:dyDescent="0.3">
      <c r="A116" s="362" t="s">
        <v>249</v>
      </c>
      <c r="B116" s="378" t="s">
        <v>227</v>
      </c>
      <c r="C116" s="938">
        <f>'6_Óvoda'!C117+'5_Hivatal'!C117+'4_Önkormányzat'!C115+'7_Bölcsöde'!C119+'8_KGMH'!C119</f>
        <v>0</v>
      </c>
      <c r="D116" s="825">
        <f>'[1]4_Önkormányzat'!D117+'[1]5_Hivatal'!D119+'[1]6_Óvoda'!D119+'[1]7_Bölcsöde'!D119+'[1]8_KGMH'!D119</f>
        <v>0</v>
      </c>
      <c r="E116" s="825">
        <f>'4_Önkormányzat'!E115+'5_Hivatal'!E117+'6_Óvoda'!E117+'7_Bölcsöde'!E119+'8_KGMH'!E119</f>
        <v>0</v>
      </c>
      <c r="F116" s="825">
        <f>'4_Önkormányzat'!F115+'5_Hivatal'!F117+'6_Óvoda'!F117+'7_Bölcsöde'!F119+'8_KGMH'!F119</f>
        <v>0</v>
      </c>
      <c r="G116" s="825">
        <f>'4_Önkormányzat'!G115+'5_Hivatal'!G117+'6_Óvoda'!G117+'7_Bölcsöde'!G119+'8_KGMH'!G119</f>
        <v>0</v>
      </c>
      <c r="H116" s="912">
        <f t="shared" si="1"/>
        <v>0</v>
      </c>
    </row>
    <row r="117" spans="1:8" ht="12" customHeight="1" x14ac:dyDescent="0.3">
      <c r="A117" s="362" t="s">
        <v>250</v>
      </c>
      <c r="B117" s="378" t="s">
        <v>251</v>
      </c>
      <c r="C117" s="938">
        <f>'6_Óvoda'!C118+'5_Hivatal'!C118+'4_Önkormányzat'!C116+'7_Bölcsöde'!C120+'8_KGMH'!C120</f>
        <v>0</v>
      </c>
      <c r="D117" s="825">
        <f>'[1]4_Önkormányzat'!D118+'[1]5_Hivatal'!D120+'[1]6_Óvoda'!D120+'[1]7_Bölcsöde'!D120+'[1]8_KGMH'!D120</f>
        <v>0</v>
      </c>
      <c r="E117" s="825">
        <f>'4_Önkormányzat'!E116+'5_Hivatal'!E118+'6_Óvoda'!E118+'7_Bölcsöde'!E120+'8_KGMH'!E120</f>
        <v>0</v>
      </c>
      <c r="F117" s="825">
        <f>'4_Önkormányzat'!F116+'5_Hivatal'!F118+'6_Óvoda'!F118+'7_Bölcsöde'!F120+'8_KGMH'!F120</f>
        <v>0</v>
      </c>
      <c r="G117" s="825">
        <f>'4_Önkormányzat'!G116+'5_Hivatal'!G118+'6_Óvoda'!G118+'7_Bölcsöde'!G120+'8_KGMH'!G120</f>
        <v>0</v>
      </c>
      <c r="H117" s="912">
        <f t="shared" si="1"/>
        <v>0</v>
      </c>
    </row>
    <row r="118" spans="1:8" ht="12" customHeight="1" x14ac:dyDescent="0.3">
      <c r="A118" s="362" t="s">
        <v>252</v>
      </c>
      <c r="B118" s="378" t="s">
        <v>253</v>
      </c>
      <c r="C118" s="938">
        <f>'6_Óvoda'!C119+'5_Hivatal'!C119+'4_Önkormányzat'!C117+'7_Bölcsöde'!C121+'8_KGMH'!C121</f>
        <v>0</v>
      </c>
      <c r="D118" s="825">
        <f>'[1]4_Önkormányzat'!D119+'[1]5_Hivatal'!D121+'[1]6_Óvoda'!D121+'[1]7_Bölcsöde'!D121+'[1]8_KGMH'!D121</f>
        <v>0</v>
      </c>
      <c r="E118" s="825">
        <f>'4_Önkormányzat'!E117+'5_Hivatal'!E119+'6_Óvoda'!E119+'7_Bölcsöde'!E121+'8_KGMH'!E121</f>
        <v>0</v>
      </c>
      <c r="F118" s="825">
        <f>'4_Önkormányzat'!F117+'5_Hivatal'!F119+'6_Óvoda'!F119+'7_Bölcsöde'!F121+'8_KGMH'!F121</f>
        <v>0</v>
      </c>
      <c r="G118" s="825">
        <f>'4_Önkormányzat'!G117+'5_Hivatal'!G119+'6_Óvoda'!G119+'7_Bölcsöde'!G121+'8_KGMH'!G121</f>
        <v>0</v>
      </c>
      <c r="H118" s="912">
        <f t="shared" si="1"/>
        <v>0</v>
      </c>
    </row>
    <row r="119" spans="1:8" s="427" customFormat="1" ht="17.25" customHeight="1" x14ac:dyDescent="0.25">
      <c r="A119" s="362" t="s">
        <v>254</v>
      </c>
      <c r="B119" s="378" t="s">
        <v>233</v>
      </c>
      <c r="C119" s="938">
        <f>'6_Óvoda'!C120+'5_Hivatal'!C120+'4_Önkormányzat'!C118+'7_Bölcsöde'!C122+'8_KGMH'!C122</f>
        <v>0</v>
      </c>
      <c r="D119" s="825">
        <f>'[1]4_Önkormányzat'!D120+'[1]5_Hivatal'!D122+'[1]6_Óvoda'!D122+'[1]7_Bölcsöde'!D122+'[1]8_KGMH'!D122</f>
        <v>30283467</v>
      </c>
      <c r="E119" s="825">
        <f>'4_Önkormányzat'!E118+'5_Hivatal'!E120+'6_Óvoda'!E120+'7_Bölcsöde'!E122+'8_KGMH'!E122</f>
        <v>30283467</v>
      </c>
      <c r="F119" s="825">
        <f>'4_Önkormányzat'!F118+'5_Hivatal'!F120+'6_Óvoda'!F120+'7_Bölcsöde'!F122+'8_KGMH'!F122</f>
        <v>30283467</v>
      </c>
      <c r="G119" s="825">
        <f>'4_Önkormányzat'!G118+'5_Hivatal'!G120+'6_Óvoda'!G120+'7_Bölcsöde'!G122+'8_KGMH'!G122</f>
        <v>8703949</v>
      </c>
      <c r="H119" s="912">
        <f t="shared" si="1"/>
        <v>-21579518</v>
      </c>
    </row>
    <row r="120" spans="1:8" ht="12" customHeight="1" x14ac:dyDescent="0.3">
      <c r="A120" s="362" t="s">
        <v>255</v>
      </c>
      <c r="B120" s="378" t="s">
        <v>256</v>
      </c>
      <c r="C120" s="938">
        <f>'6_Óvoda'!C121+'5_Hivatal'!C121+'4_Önkormányzat'!C119+'7_Bölcsöde'!C123+'8_KGMH'!C123</f>
        <v>0</v>
      </c>
      <c r="D120" s="825">
        <f>'[1]4_Önkormányzat'!D121+'[1]5_Hivatal'!D123+'[1]6_Óvoda'!D123+'[1]7_Bölcsöde'!D123+'[1]8_KGMH'!D123</f>
        <v>0</v>
      </c>
      <c r="E120" s="825">
        <f>'4_Önkormányzat'!E119+'5_Hivatal'!E121+'6_Óvoda'!E121+'7_Bölcsöde'!E123+'8_KGMH'!E123</f>
        <v>0</v>
      </c>
      <c r="F120" s="825">
        <f>'4_Önkormányzat'!F119+'5_Hivatal'!F121+'6_Óvoda'!F121+'7_Bölcsöde'!F123+'8_KGMH'!F123</f>
        <v>0</v>
      </c>
      <c r="G120" s="825">
        <f>'4_Önkormányzat'!G119+'5_Hivatal'!G121+'6_Óvoda'!G121+'7_Bölcsöde'!G123+'8_KGMH'!G123</f>
        <v>0</v>
      </c>
      <c r="H120" s="912">
        <f t="shared" si="1"/>
        <v>0</v>
      </c>
    </row>
    <row r="121" spans="1:8" ht="12" customHeight="1" thickBot="1" x14ac:dyDescent="0.35">
      <c r="A121" s="360" t="s">
        <v>257</v>
      </c>
      <c r="B121" s="378" t="s">
        <v>258</v>
      </c>
      <c r="C121" s="950">
        <f>'6_Óvoda'!C122+'5_Hivatal'!C122+'4_Önkormányzat'!C120+'7_Bölcsöde'!C124+'8_KGMH'!C124</f>
        <v>2500000</v>
      </c>
      <c r="D121" s="957">
        <f>'[1]4_Önkormányzat'!D122+'[1]5_Hivatal'!D124+'[1]6_Óvoda'!D124+'[1]7_Bölcsöde'!D124+'[1]8_KGMH'!D124</f>
        <v>2500000</v>
      </c>
      <c r="E121" s="957">
        <f>'4_Önkormányzat'!E120+'5_Hivatal'!E122+'6_Óvoda'!E122+'7_Bölcsöde'!E124+'8_KGMH'!E124</f>
        <v>2500000</v>
      </c>
      <c r="F121" s="957">
        <f>'4_Önkormányzat'!F120+'5_Hivatal'!F122+'6_Óvoda'!F122+'7_Bölcsöde'!F124+'8_KGMH'!F124</f>
        <v>3099500</v>
      </c>
      <c r="G121" s="957">
        <f>'4_Önkormányzat'!G120+'5_Hivatal'!G122+'6_Óvoda'!G122+'7_Bölcsöde'!G124+'8_KGMH'!G124</f>
        <v>3099500</v>
      </c>
      <c r="H121" s="912">
        <f t="shared" si="1"/>
        <v>0</v>
      </c>
    </row>
    <row r="122" spans="1:8" ht="12" customHeight="1" thickBot="1" x14ac:dyDescent="0.35">
      <c r="A122" s="367" t="s">
        <v>79</v>
      </c>
      <c r="B122" s="948" t="s">
        <v>259</v>
      </c>
      <c r="C122" s="951">
        <f>+C123+C124</f>
        <v>1804406</v>
      </c>
      <c r="D122" s="827">
        <f>'[1]4_Önkormányzat'!D123+'[1]5_Hivatal'!D125+'[1]6_Óvoda'!D125+'[1]7_Bölcsöde'!D125+'[1]8_KGMH'!D125</f>
        <v>14277308</v>
      </c>
      <c r="E122" s="1455">
        <f>'4_Önkormányzat'!E121+'5_Hivatal'!E123+'6_Óvoda'!E123+'7_Bölcsöde'!E125+'8_KGMH'!E125</f>
        <v>33191074</v>
      </c>
      <c r="F122" s="1455">
        <f>'4_Önkormányzat'!F121+'5_Hivatal'!F123+'6_Óvoda'!F123+'7_Bölcsöde'!F125+'8_KGMH'!F125</f>
        <v>5168931</v>
      </c>
      <c r="G122" s="1455">
        <f>'4_Önkormányzat'!G121+'5_Hivatal'!G123+'6_Óvoda'!G123+'7_Bölcsöde'!G125+'8_KGMH'!G125</f>
        <v>0</v>
      </c>
      <c r="H122" s="912">
        <f t="shared" si="1"/>
        <v>-5168931</v>
      </c>
    </row>
    <row r="123" spans="1:8" ht="12" customHeight="1" x14ac:dyDescent="0.3">
      <c r="A123" s="362" t="s">
        <v>81</v>
      </c>
      <c r="B123" s="356" t="s">
        <v>260</v>
      </c>
      <c r="C123" s="938">
        <f>'6_Óvoda'!C124+'5_Hivatal'!C124+'4_Önkormányzat'!C122+'7_Bölcsöde'!C126+'8_KGMH'!C126</f>
        <v>1804406</v>
      </c>
      <c r="D123" s="825">
        <f>'[1]4_Önkormányzat'!D124+'[1]5_Hivatal'!D126+'[1]6_Óvoda'!D126+'[1]7_Bölcsöde'!D126+'[1]8_KGMH'!D126</f>
        <v>14277308</v>
      </c>
      <c r="E123" s="825">
        <f>'4_Önkormányzat'!E122+'5_Hivatal'!E124+'6_Óvoda'!E124+'7_Bölcsöde'!E126+'8_KGMH'!E126</f>
        <v>6925647</v>
      </c>
      <c r="F123" s="825">
        <f>'4_Önkormányzat'!F122+'5_Hivatal'!F124+'6_Óvoda'!F124+'7_Bölcsöde'!F126+'8_KGMH'!F126</f>
        <v>5168931</v>
      </c>
      <c r="G123" s="825">
        <f>'4_Önkormányzat'!G122+'5_Hivatal'!G124+'6_Óvoda'!G124+'7_Bölcsöde'!G126+'8_KGMH'!G126</f>
        <v>0</v>
      </c>
      <c r="H123" s="912">
        <f t="shared" si="1"/>
        <v>-5168931</v>
      </c>
    </row>
    <row r="124" spans="1:8" ht="12" customHeight="1" thickBot="1" x14ac:dyDescent="0.35">
      <c r="A124" s="363" t="s">
        <v>83</v>
      </c>
      <c r="B124" s="359" t="s">
        <v>261</v>
      </c>
      <c r="C124" s="938">
        <f>'6_Óvoda'!C125+'5_Hivatal'!C125+'4_Önkormányzat'!C123+'7_Bölcsöde'!C127+'8_KGMH'!C127</f>
        <v>0</v>
      </c>
      <c r="D124" s="957">
        <f>'[1]4_Önkormányzat'!D125+'[1]5_Hivatal'!D127+'[1]6_Óvoda'!D127+'[1]7_Bölcsöde'!D127+'[1]8_KGMH'!D127</f>
        <v>0</v>
      </c>
      <c r="E124" s="957">
        <f>'4_Önkormányzat'!E123+'5_Hivatal'!E125+'6_Óvoda'!E125+'7_Bölcsöde'!E127+'8_KGMH'!E127</f>
        <v>26265427</v>
      </c>
      <c r="F124" s="957">
        <f>'4_Önkormányzat'!F123+'5_Hivatal'!F125+'6_Óvoda'!F125+'7_Bölcsöde'!F127+'8_KGMH'!F127</f>
        <v>0</v>
      </c>
      <c r="G124" s="957">
        <f>'4_Önkormányzat'!G123+'5_Hivatal'!G125+'6_Óvoda'!G125+'7_Bölcsöde'!G127+'8_KGMH'!G127</f>
        <v>0</v>
      </c>
      <c r="H124" s="912">
        <f t="shared" si="1"/>
        <v>0</v>
      </c>
    </row>
    <row r="125" spans="1:8" ht="12" customHeight="1" thickBot="1" x14ac:dyDescent="0.35">
      <c r="A125" s="367" t="s">
        <v>262</v>
      </c>
      <c r="B125" s="375" t="s">
        <v>263</v>
      </c>
      <c r="C125" s="937">
        <f>+C92+C108+C122</f>
        <v>1515294503</v>
      </c>
      <c r="D125" s="827">
        <f>'[1]4_Önkormányzat'!D126+'[1]5_Hivatal'!D128+'[1]6_Óvoda'!D128+'[1]7_Bölcsöde'!D128+'[1]8_KGMH'!D128</f>
        <v>1656734186</v>
      </c>
      <c r="E125" s="1455">
        <f>'4_Önkormányzat'!E124+'5_Hivatal'!E126+'6_Óvoda'!E126+'7_Bölcsöde'!E128+'8_KGMH'!E128</f>
        <v>1721589486</v>
      </c>
      <c r="F125" s="1455">
        <f>'4_Önkormányzat'!F124+'5_Hivatal'!F126+'6_Óvoda'!F126+'7_Bölcsöde'!F128+'8_KGMH'!F128</f>
        <v>1757045366</v>
      </c>
      <c r="G125" s="1455">
        <f>'4_Önkormányzat'!G124+'5_Hivatal'!G126+'6_Óvoda'!G126+'7_Bölcsöde'!G128+'8_KGMH'!G128</f>
        <v>1756269024</v>
      </c>
      <c r="H125" s="912">
        <f t="shared" si="1"/>
        <v>-776342</v>
      </c>
    </row>
    <row r="126" spans="1:8" ht="12" customHeight="1" thickBot="1" x14ac:dyDescent="0.35">
      <c r="A126" s="367" t="s">
        <v>107</v>
      </c>
      <c r="B126" s="375" t="s">
        <v>264</v>
      </c>
      <c r="C126" s="937">
        <f>+C127+C128+C129</f>
        <v>96193309</v>
      </c>
      <c r="D126" s="827">
        <f>'[1]4_Önkormányzat'!D127+'[1]5_Hivatal'!D129+'[1]6_Óvoda'!D129+'[1]7_Bölcsöde'!D129+'[1]8_KGMH'!D129</f>
        <v>96193309</v>
      </c>
      <c r="E126" s="1455">
        <f>'4_Önkormányzat'!E125+'5_Hivatal'!E127+'6_Óvoda'!E127+'7_Bölcsöde'!E129+'8_KGMH'!E129</f>
        <v>96193309</v>
      </c>
      <c r="F126" s="1455">
        <f>'4_Önkormányzat'!F125+'5_Hivatal'!F127+'6_Óvoda'!F127+'7_Bölcsöde'!F129+'8_KGMH'!F129</f>
        <v>96193309</v>
      </c>
      <c r="G126" s="1455">
        <f>'4_Önkormányzat'!G125+'5_Hivatal'!G127+'6_Óvoda'!G127+'7_Bölcsöde'!G129+'8_KGMH'!G129</f>
        <v>96193309</v>
      </c>
      <c r="H126" s="912">
        <f t="shared" si="1"/>
        <v>0</v>
      </c>
    </row>
    <row r="127" spans="1:8" ht="12" customHeight="1" x14ac:dyDescent="0.3">
      <c r="A127" s="362" t="s">
        <v>109</v>
      </c>
      <c r="B127" s="356" t="s">
        <v>265</v>
      </c>
      <c r="C127" s="939">
        <f>'6_Óvoda'!C128+'5_Hivatal'!C128+'4_Önkormányzat'!C126+'7_Bölcsöde'!C130+'8_KGMH'!C130</f>
        <v>96193309</v>
      </c>
      <c r="D127" s="825">
        <f>'[1]4_Önkormányzat'!D128+'[1]5_Hivatal'!D130+'[1]6_Óvoda'!D130+'[1]7_Bölcsöde'!D130+'[1]8_KGMH'!D130</f>
        <v>96193309</v>
      </c>
      <c r="E127" s="825">
        <f>'4_Önkormányzat'!E126+'5_Hivatal'!E128+'6_Óvoda'!E128+'7_Bölcsöde'!E130+'8_KGMH'!E130</f>
        <v>96193309</v>
      </c>
      <c r="F127" s="825">
        <f>'4_Önkormányzat'!F126+'5_Hivatal'!F128+'6_Óvoda'!F128+'7_Bölcsöde'!F130+'8_KGMH'!F130</f>
        <v>96193309</v>
      </c>
      <c r="G127" s="825">
        <f>'4_Önkormányzat'!G126+'5_Hivatal'!G128+'6_Óvoda'!G128+'7_Bölcsöde'!G130+'8_KGMH'!G130</f>
        <v>96193309</v>
      </c>
      <c r="H127" s="912">
        <f t="shared" si="1"/>
        <v>0</v>
      </c>
    </row>
    <row r="128" spans="1:8" ht="12" customHeight="1" x14ac:dyDescent="0.3">
      <c r="A128" s="362" t="s">
        <v>111</v>
      </c>
      <c r="B128" s="356" t="s">
        <v>266</v>
      </c>
      <c r="C128" s="939">
        <f>'6_Óvoda'!C129+'5_Hivatal'!C129+'4_Önkormányzat'!C127+'7_Bölcsöde'!C131+'8_KGMH'!C131</f>
        <v>0</v>
      </c>
      <c r="D128" s="825">
        <f>'[1]4_Önkormányzat'!D129+'[1]5_Hivatal'!D131+'[1]6_Óvoda'!D131+'[1]7_Bölcsöde'!D131+'[1]8_KGMH'!D131</f>
        <v>0</v>
      </c>
      <c r="E128" s="825">
        <f>'4_Önkormányzat'!E127+'5_Hivatal'!E129+'6_Óvoda'!E129+'7_Bölcsöde'!E131+'8_KGMH'!E131</f>
        <v>0</v>
      </c>
      <c r="F128" s="825">
        <f>'4_Önkormányzat'!F127+'5_Hivatal'!F129+'6_Óvoda'!F129+'7_Bölcsöde'!F131+'8_KGMH'!F131</f>
        <v>0</v>
      </c>
      <c r="G128" s="825">
        <f>'4_Önkormányzat'!G127+'5_Hivatal'!G129+'6_Óvoda'!G129+'7_Bölcsöde'!G131+'8_KGMH'!G131</f>
        <v>0</v>
      </c>
      <c r="H128" s="912">
        <f t="shared" si="1"/>
        <v>0</v>
      </c>
    </row>
    <row r="129" spans="1:8" ht="12" customHeight="1" thickBot="1" x14ac:dyDescent="0.35">
      <c r="A129" s="360" t="s">
        <v>113</v>
      </c>
      <c r="B129" s="354" t="s">
        <v>267</v>
      </c>
      <c r="C129" s="939">
        <f>'6_Óvoda'!C130+'5_Hivatal'!C130+'4_Önkormányzat'!C128+'7_Bölcsöde'!C132+'8_KGMH'!C132</f>
        <v>0</v>
      </c>
      <c r="D129" s="957">
        <f>'[1]4_Önkormányzat'!D130+'[1]5_Hivatal'!D132+'[1]6_Óvoda'!D132+'[1]7_Bölcsöde'!D132+'[1]8_KGMH'!D132</f>
        <v>0</v>
      </c>
      <c r="E129" s="825"/>
      <c r="F129" s="825"/>
      <c r="G129" s="825"/>
      <c r="H129" s="912">
        <f t="shared" si="1"/>
        <v>0</v>
      </c>
    </row>
    <row r="130" spans="1:8" ht="12" customHeight="1" thickBot="1" x14ac:dyDescent="0.35">
      <c r="A130" s="367" t="s">
        <v>129</v>
      </c>
      <c r="B130" s="375" t="s">
        <v>268</v>
      </c>
      <c r="C130" s="937">
        <f>'6_Óvoda'!C131+'5_Hivatal'!C131+'4_Önkormányzat'!C129+'7_Bölcsöde'!C133+'8_KGMH'!C133</f>
        <v>0</v>
      </c>
      <c r="D130" s="958">
        <f>'[1]4_Önkormányzat'!D131+'[1]5_Hivatal'!D133+'[1]6_Óvoda'!D133+'[1]7_Bölcsöde'!D133+'[1]8_KGMH'!D133</f>
        <v>0</v>
      </c>
      <c r="E130" s="825">
        <f>'4_Önkormányzat'!E129+'5_Hivatal'!E131+'6_Óvoda'!E131+'7_Bölcsöde'!E133+'8_KGMH'!E133</f>
        <v>0</v>
      </c>
      <c r="F130" s="825">
        <f>'4_Önkormányzat'!F129+'5_Hivatal'!F131+'6_Óvoda'!F131+'7_Bölcsöde'!F133+'8_KGMH'!F133</f>
        <v>0</v>
      </c>
      <c r="G130" s="825">
        <f>'4_Önkormányzat'!G129+'5_Hivatal'!G131+'6_Óvoda'!G131+'7_Bölcsöde'!G133+'8_KGMH'!G133</f>
        <v>0</v>
      </c>
      <c r="H130" s="912">
        <f t="shared" si="1"/>
        <v>0</v>
      </c>
    </row>
    <row r="131" spans="1:8" ht="12" customHeight="1" x14ac:dyDescent="0.3">
      <c r="A131" s="362" t="s">
        <v>131</v>
      </c>
      <c r="B131" s="356" t="s">
        <v>269</v>
      </c>
      <c r="C131" s="939">
        <f>'6_Óvoda'!C132+'5_Hivatal'!C132+'4_Önkormányzat'!C130+'7_Bölcsöde'!C134+'8_KGMH'!C134</f>
        <v>0</v>
      </c>
      <c r="D131" s="825">
        <f>'[1]4_Önkormányzat'!D132+'[1]5_Hivatal'!D134+'[1]6_Óvoda'!D134+'[1]7_Bölcsöde'!D134+'[1]8_KGMH'!D134</f>
        <v>0</v>
      </c>
      <c r="E131" s="825">
        <f>'4_Önkormányzat'!E130+'5_Hivatal'!E132+'6_Óvoda'!E132+'7_Bölcsöde'!E134+'8_KGMH'!E134</f>
        <v>0</v>
      </c>
      <c r="F131" s="825">
        <f>'4_Önkormányzat'!F130+'5_Hivatal'!F132+'6_Óvoda'!F132+'7_Bölcsöde'!F134+'8_KGMH'!F134</f>
        <v>0</v>
      </c>
      <c r="G131" s="825">
        <f>'4_Önkormányzat'!G130+'5_Hivatal'!G132+'6_Óvoda'!G132+'7_Bölcsöde'!G134+'8_KGMH'!G134</f>
        <v>0</v>
      </c>
      <c r="H131" s="912">
        <f t="shared" si="1"/>
        <v>0</v>
      </c>
    </row>
    <row r="132" spans="1:8" ht="12" customHeight="1" x14ac:dyDescent="0.3">
      <c r="A132" s="362" t="s">
        <v>133</v>
      </c>
      <c r="B132" s="356" t="s">
        <v>270</v>
      </c>
      <c r="C132" s="939">
        <f>'6_Óvoda'!C133+'5_Hivatal'!C133+'4_Önkormányzat'!C131+'7_Bölcsöde'!C135+'8_KGMH'!C135</f>
        <v>0</v>
      </c>
      <c r="D132" s="825">
        <f>'[1]4_Önkormányzat'!D133+'[1]5_Hivatal'!D135+'[1]6_Óvoda'!D135+'[1]7_Bölcsöde'!D135+'[1]8_KGMH'!D135</f>
        <v>0</v>
      </c>
      <c r="E132" s="825">
        <f>'4_Önkormányzat'!E131+'5_Hivatal'!E133+'6_Óvoda'!E133+'7_Bölcsöde'!E135+'8_KGMH'!E135</f>
        <v>0</v>
      </c>
      <c r="F132" s="825">
        <f>'4_Önkormányzat'!F131+'5_Hivatal'!F133+'6_Óvoda'!F133+'7_Bölcsöde'!F135+'8_KGMH'!F135</f>
        <v>0</v>
      </c>
      <c r="G132" s="825">
        <f>'4_Önkormányzat'!G131+'5_Hivatal'!G133+'6_Óvoda'!G133+'7_Bölcsöde'!G135+'8_KGMH'!G135</f>
        <v>0</v>
      </c>
      <c r="H132" s="912">
        <f t="shared" si="1"/>
        <v>0</v>
      </c>
    </row>
    <row r="133" spans="1:8" ht="12" customHeight="1" x14ac:dyDescent="0.3">
      <c r="A133" s="362" t="s">
        <v>135</v>
      </c>
      <c r="B133" s="356" t="s">
        <v>271</v>
      </c>
      <c r="C133" s="939">
        <f>'6_Óvoda'!C134+'5_Hivatal'!C134+'4_Önkormányzat'!C132+'7_Bölcsöde'!C136+'8_KGMH'!C136</f>
        <v>0</v>
      </c>
      <c r="D133" s="825">
        <f>'[1]4_Önkormányzat'!D134+'[1]5_Hivatal'!D136+'[1]6_Óvoda'!D136+'[1]7_Bölcsöde'!D136+'[1]8_KGMH'!D136</f>
        <v>0</v>
      </c>
      <c r="E133" s="825">
        <f>'4_Önkormányzat'!E132+'5_Hivatal'!E134+'6_Óvoda'!E134+'7_Bölcsöde'!E136+'8_KGMH'!E136</f>
        <v>0</v>
      </c>
      <c r="F133" s="825">
        <f>'4_Önkormányzat'!F132+'5_Hivatal'!F134+'6_Óvoda'!F134+'7_Bölcsöde'!F136+'8_KGMH'!F136</f>
        <v>0</v>
      </c>
      <c r="G133" s="825">
        <f>'4_Önkormányzat'!G132+'5_Hivatal'!G134+'6_Óvoda'!G134+'7_Bölcsöde'!G136+'8_KGMH'!G136</f>
        <v>0</v>
      </c>
      <c r="H133" s="912">
        <f t="shared" si="1"/>
        <v>0</v>
      </c>
    </row>
    <row r="134" spans="1:8" ht="12" customHeight="1" thickBot="1" x14ac:dyDescent="0.35">
      <c r="A134" s="360" t="s">
        <v>137</v>
      </c>
      <c r="B134" s="354" t="s">
        <v>272</v>
      </c>
      <c r="C134" s="939">
        <f>'6_Óvoda'!C135+'5_Hivatal'!C135+'4_Önkormányzat'!C133+'7_Bölcsöde'!C137+'8_KGMH'!C137</f>
        <v>0</v>
      </c>
      <c r="D134" s="957">
        <f>'[1]4_Önkormányzat'!D135+'[1]5_Hivatal'!D137+'[1]6_Óvoda'!D137+'[1]7_Bölcsöde'!D137+'[1]8_KGMH'!D137</f>
        <v>0</v>
      </c>
      <c r="E134" s="957">
        <f>'4_Önkormányzat'!E133+'5_Hivatal'!E135+'6_Óvoda'!E135+'7_Bölcsöde'!E137+'8_KGMH'!E137</f>
        <v>0</v>
      </c>
      <c r="F134" s="957">
        <f>'4_Önkormányzat'!F133+'5_Hivatal'!F135+'6_Óvoda'!F135+'7_Bölcsöde'!F137+'8_KGMH'!F137</f>
        <v>0</v>
      </c>
      <c r="G134" s="957">
        <f>'4_Önkormányzat'!G133+'5_Hivatal'!G135+'6_Óvoda'!G135+'7_Bölcsöde'!G137+'8_KGMH'!G137</f>
        <v>0</v>
      </c>
      <c r="H134" s="912">
        <f t="shared" si="1"/>
        <v>0</v>
      </c>
    </row>
    <row r="135" spans="1:8" ht="12" customHeight="1" thickBot="1" x14ac:dyDescent="0.35">
      <c r="A135" s="367" t="s">
        <v>273</v>
      </c>
      <c r="B135" s="375" t="s">
        <v>274</v>
      </c>
      <c r="C135" s="941">
        <f>+C136+C137+C138+C139</f>
        <v>916841426</v>
      </c>
      <c r="D135" s="827">
        <f>'[1]4_Önkormányzat'!D136+'[1]5_Hivatal'!D138+'[1]6_Óvoda'!D138+'[1]7_Bölcsöde'!D138+'[1]8_KGMH'!D138</f>
        <v>953608692</v>
      </c>
      <c r="E135" s="1455">
        <f>'4_Önkormányzat'!E134+'5_Hivatal'!E136+'6_Óvoda'!E136+'7_Bölcsöde'!E138+'8_KGMH'!E138</f>
        <v>944073265</v>
      </c>
      <c r="F135" s="1455">
        <f>'4_Önkormányzat'!F134+'5_Hivatal'!F136+'6_Óvoda'!F136+'7_Bölcsöde'!F138+'8_KGMH'!F138</f>
        <v>987564176</v>
      </c>
      <c r="G135" s="1455">
        <f>'4_Önkormányzat'!G134+'5_Hivatal'!G136+'6_Óvoda'!G136+'7_Bölcsöde'!G138+'8_KGMH'!G138</f>
        <v>987564176</v>
      </c>
      <c r="H135" s="912">
        <f t="shared" ref="H135:H147" si="2">G135-F135</f>
        <v>0</v>
      </c>
    </row>
    <row r="136" spans="1:8" ht="12" customHeight="1" x14ac:dyDescent="0.3">
      <c r="A136" s="362" t="s">
        <v>143</v>
      </c>
      <c r="B136" s="356" t="s">
        <v>275</v>
      </c>
      <c r="C136" s="938">
        <f>'6_Óvoda'!C137+'5_Hivatal'!C137+'4_Önkormányzat'!C135+'7_Bölcsöde'!C139+'8_KGMH'!C139</f>
        <v>0</v>
      </c>
      <c r="D136" s="825">
        <f>'[1]4_Önkormányzat'!D137+'[1]5_Hivatal'!D139+'[1]6_Óvoda'!D139+'[1]7_Bölcsöde'!D139+'[1]8_KGMH'!D139</f>
        <v>0</v>
      </c>
      <c r="E136" s="825">
        <f>'4_Önkormányzat'!E135+'5_Hivatal'!E137+'6_Óvoda'!E137+'7_Bölcsöde'!E139+'8_KGMH'!E139</f>
        <v>0</v>
      </c>
      <c r="F136" s="825">
        <f>'4_Önkormányzat'!F135+'5_Hivatal'!F137+'6_Óvoda'!F137+'7_Bölcsöde'!F139+'8_KGMH'!F139</f>
        <v>0</v>
      </c>
      <c r="G136" s="825">
        <f>'4_Önkormányzat'!G135+'5_Hivatal'!G137+'6_Óvoda'!G137+'7_Bölcsöde'!G139+'8_KGMH'!G139</f>
        <v>0</v>
      </c>
      <c r="H136" s="912">
        <f t="shared" si="2"/>
        <v>0</v>
      </c>
    </row>
    <row r="137" spans="1:8" ht="12" customHeight="1" x14ac:dyDescent="0.3">
      <c r="A137" s="362" t="s">
        <v>145</v>
      </c>
      <c r="B137" s="356" t="s">
        <v>276</v>
      </c>
      <c r="C137" s="938">
        <f>'6_Óvoda'!C138+'5_Hivatal'!C138+'4_Önkormányzat'!C136+'7_Bölcsöde'!C140+'8_KGMH'!C140</f>
        <v>16000000</v>
      </c>
      <c r="D137" s="825">
        <f>'[1]4_Önkormányzat'!D138+'[1]5_Hivatal'!D140+'[1]6_Óvoda'!D140+'[1]7_Bölcsöde'!D140+'[1]8_KGMH'!D140</f>
        <v>11236412</v>
      </c>
      <c r="E137" s="825">
        <f>'4_Önkormányzat'!E136+'5_Hivatal'!E138+'6_Óvoda'!E138+'7_Bölcsöde'!E140+'8_KGMH'!E140</f>
        <v>11236412</v>
      </c>
      <c r="F137" s="825">
        <f>'4_Önkormányzat'!F136+'5_Hivatal'!F138+'6_Óvoda'!F138+'7_Bölcsöde'!F140+'8_KGMH'!F140</f>
        <v>11236412</v>
      </c>
      <c r="G137" s="825">
        <f>'4_Önkormányzat'!G136+'5_Hivatal'!G138+'6_Óvoda'!G138+'7_Bölcsöde'!G140+'8_KGMH'!G140</f>
        <v>11236412</v>
      </c>
      <c r="H137" s="912">
        <f t="shared" si="2"/>
        <v>0</v>
      </c>
    </row>
    <row r="138" spans="1:8" ht="12" customHeight="1" x14ac:dyDescent="0.3">
      <c r="A138" s="362" t="s">
        <v>147</v>
      </c>
      <c r="B138" s="356" t="s">
        <v>277</v>
      </c>
      <c r="C138" s="938">
        <f>'6_Óvoda'!C139+'5_Hivatal'!C139+'4_Önkormányzat'!C137+'7_Bölcsöde'!C141+'8_KGMH'!C141</f>
        <v>898692888</v>
      </c>
      <c r="D138" s="825">
        <f>'[1]4_Önkormányzat'!D139+'[1]5_Hivatal'!D141+'[1]6_Óvoda'!D141+'[1]7_Bölcsöde'!D141+'[1]8_KGMH'!D141</f>
        <v>940223742</v>
      </c>
      <c r="E138" s="825">
        <f>'4_Önkormányzat'!E137+'5_Hivatal'!E139+'6_Óvoda'!E139+'7_Bölcsöde'!E141+'8_KGMH'!E141</f>
        <v>930688315</v>
      </c>
      <c r="F138" s="825">
        <f>'4_Önkormányzat'!F137+'5_Hivatal'!F139+'6_Óvoda'!F139+'7_Bölcsöde'!F141+'8_KGMH'!F141</f>
        <v>972206827</v>
      </c>
      <c r="G138" s="825">
        <f>'4_Önkormányzat'!G137+'5_Hivatal'!G139+'6_Óvoda'!G139+'7_Bölcsöde'!G141+'8_KGMH'!G141</f>
        <v>972206827</v>
      </c>
      <c r="H138" s="912">
        <f t="shared" si="2"/>
        <v>0</v>
      </c>
    </row>
    <row r="139" spans="1:8" ht="12" customHeight="1" thickBot="1" x14ac:dyDescent="0.35">
      <c r="A139" s="360" t="s">
        <v>149</v>
      </c>
      <c r="B139" s="354" t="s">
        <v>278</v>
      </c>
      <c r="C139" s="938">
        <f>'6_Óvoda'!C140+'5_Hivatal'!C140+'4_Önkormányzat'!C138+'7_Bölcsöde'!C142+'8_KGMH'!C142</f>
        <v>2148538</v>
      </c>
      <c r="D139" s="957">
        <f>'[1]4_Önkormányzat'!D140+'[1]5_Hivatal'!D142+'[1]6_Óvoda'!D142+'[1]7_Bölcsöde'!D142+'[1]8_KGMH'!D142</f>
        <v>2148538</v>
      </c>
      <c r="E139" s="957">
        <f>'4_Önkormányzat'!E138+'5_Hivatal'!E140+'6_Óvoda'!E140+'7_Bölcsöde'!E142+'8_KGMH'!E142</f>
        <v>2148538</v>
      </c>
      <c r="F139" s="957">
        <f>'4_Önkormányzat'!F138+'5_Hivatal'!F140+'6_Óvoda'!F140+'7_Bölcsöde'!F142+'8_KGMH'!F142</f>
        <v>4120937</v>
      </c>
      <c r="G139" s="957">
        <f>'4_Önkormányzat'!G138+'5_Hivatal'!G140+'6_Óvoda'!G140+'7_Bölcsöde'!G142+'8_KGMH'!G142</f>
        <v>4120937</v>
      </c>
      <c r="H139" s="912">
        <f t="shared" si="2"/>
        <v>0</v>
      </c>
    </row>
    <row r="140" spans="1:8" ht="15" customHeight="1" thickBot="1" x14ac:dyDescent="0.35">
      <c r="A140" s="367" t="s">
        <v>151</v>
      </c>
      <c r="B140" s="375" t="s">
        <v>279</v>
      </c>
      <c r="C140" s="944">
        <f>+C141+C142+C143+C144</f>
        <v>0</v>
      </c>
      <c r="D140" s="958">
        <f>'[1]4_Önkormányzat'!D141+'[1]5_Hivatal'!D143+'[1]6_Óvoda'!D143+'[1]7_Bölcsöde'!D143+'[1]8_KGMH'!D143</f>
        <v>0</v>
      </c>
      <c r="E140" s="958">
        <f>'4_Önkormányzat'!E139+'5_Hivatal'!E141+'6_Óvoda'!E141+'7_Bölcsöde'!E143+'8_KGMH'!E143</f>
        <v>0</v>
      </c>
      <c r="F140" s="958">
        <f>'4_Önkormányzat'!F139+'5_Hivatal'!F141+'6_Óvoda'!F141+'7_Bölcsöde'!F143+'8_KGMH'!F143</f>
        <v>0</v>
      </c>
      <c r="G140" s="958">
        <f>'4_Önkormányzat'!G139+'5_Hivatal'!G141+'6_Óvoda'!G141+'7_Bölcsöde'!G143+'8_KGMH'!G143</f>
        <v>0</v>
      </c>
      <c r="H140" s="912">
        <f t="shared" si="2"/>
        <v>0</v>
      </c>
    </row>
    <row r="141" spans="1:8" s="408" customFormat="1" ht="12.9" customHeight="1" x14ac:dyDescent="0.25">
      <c r="A141" s="362" t="s">
        <v>153</v>
      </c>
      <c r="B141" s="356" t="s">
        <v>280</v>
      </c>
      <c r="C141" s="939">
        <f>'6_Óvoda'!C142+'5_Hivatal'!C142+'4_Önkormányzat'!C140+'7_Bölcsöde'!C144+'8_KGMH'!C144</f>
        <v>0</v>
      </c>
      <c r="D141" s="825">
        <f>'[1]4_Önkormányzat'!D142+'[1]5_Hivatal'!D144+'[1]6_Óvoda'!D144+'[1]7_Bölcsöde'!D144+'[1]8_KGMH'!D144</f>
        <v>0</v>
      </c>
      <c r="E141" s="825">
        <f>'4_Önkormányzat'!E140+'5_Hivatal'!E142+'6_Óvoda'!E142+'7_Bölcsöde'!E144+'8_KGMH'!E144</f>
        <v>0</v>
      </c>
      <c r="F141" s="825">
        <f>'4_Önkormányzat'!F140+'5_Hivatal'!F142+'6_Óvoda'!F142+'7_Bölcsöde'!F144+'8_KGMH'!F144</f>
        <v>0</v>
      </c>
      <c r="G141" s="825">
        <f>'4_Önkormányzat'!G140+'5_Hivatal'!G142+'6_Óvoda'!G142+'7_Bölcsöde'!G144+'8_KGMH'!G144</f>
        <v>0</v>
      </c>
      <c r="H141" s="912">
        <f t="shared" si="2"/>
        <v>0</v>
      </c>
    </row>
    <row r="142" spans="1:8" ht="12.75" customHeight="1" x14ac:dyDescent="0.3">
      <c r="A142" s="362" t="s">
        <v>155</v>
      </c>
      <c r="B142" s="356" t="s">
        <v>281</v>
      </c>
      <c r="C142" s="939">
        <f>'6_Óvoda'!C143+'5_Hivatal'!C143+'4_Önkormányzat'!C141+'7_Bölcsöde'!C145+'8_KGMH'!C145</f>
        <v>0</v>
      </c>
      <c r="D142" s="825">
        <f>'[1]4_Önkormányzat'!D143+'[1]5_Hivatal'!D145+'[1]6_Óvoda'!D145+'[1]7_Bölcsöde'!D145+'[1]8_KGMH'!D145</f>
        <v>0</v>
      </c>
      <c r="E142" s="825">
        <f>'4_Önkormányzat'!E141+'5_Hivatal'!E143+'6_Óvoda'!E143+'7_Bölcsöde'!E145+'8_KGMH'!E145</f>
        <v>0</v>
      </c>
      <c r="F142" s="825">
        <f>'4_Önkormányzat'!F141+'5_Hivatal'!F143+'6_Óvoda'!F143+'7_Bölcsöde'!F145+'8_KGMH'!F145</f>
        <v>0</v>
      </c>
      <c r="G142" s="825">
        <f>'4_Önkormányzat'!G141+'5_Hivatal'!G143+'6_Óvoda'!G143+'7_Bölcsöde'!G145+'8_KGMH'!G145</f>
        <v>0</v>
      </c>
      <c r="H142" s="912">
        <f t="shared" si="2"/>
        <v>0</v>
      </c>
    </row>
    <row r="143" spans="1:8" ht="12.75" customHeight="1" x14ac:dyDescent="0.3">
      <c r="A143" s="362" t="s">
        <v>157</v>
      </c>
      <c r="B143" s="356" t="s">
        <v>282</v>
      </c>
      <c r="C143" s="939">
        <f>'6_Óvoda'!C144+'5_Hivatal'!C144+'4_Önkormányzat'!C142+'7_Bölcsöde'!C146+'8_KGMH'!C146</f>
        <v>0</v>
      </c>
      <c r="D143" s="825">
        <f>'[1]4_Önkormányzat'!D144+'[1]5_Hivatal'!D146+'[1]6_Óvoda'!D146+'[1]7_Bölcsöde'!D146+'[1]8_KGMH'!D146</f>
        <v>0</v>
      </c>
      <c r="E143" s="825">
        <f>'4_Önkormányzat'!E142+'5_Hivatal'!E144+'6_Óvoda'!E144+'7_Bölcsöde'!E146+'8_KGMH'!E146</f>
        <v>0</v>
      </c>
      <c r="F143" s="825">
        <f>'4_Önkormányzat'!F142+'5_Hivatal'!F144+'6_Óvoda'!F144+'7_Bölcsöde'!F146+'8_KGMH'!F146</f>
        <v>0</v>
      </c>
      <c r="G143" s="825">
        <f>'4_Önkormányzat'!G142+'5_Hivatal'!G144+'6_Óvoda'!G144+'7_Bölcsöde'!G146+'8_KGMH'!G146</f>
        <v>0</v>
      </c>
      <c r="H143" s="912">
        <f t="shared" si="2"/>
        <v>0</v>
      </c>
    </row>
    <row r="144" spans="1:8" ht="12.75" customHeight="1" thickBot="1" x14ac:dyDescent="0.35">
      <c r="A144" s="362" t="s">
        <v>159</v>
      </c>
      <c r="B144" s="356" t="s">
        <v>283</v>
      </c>
      <c r="C144" s="939">
        <f>'6_Óvoda'!C145+'5_Hivatal'!C145+'4_Önkormányzat'!C143+'7_Bölcsöde'!C147+'8_KGMH'!C147</f>
        <v>0</v>
      </c>
      <c r="D144" s="957">
        <f>'[1]4_Önkormányzat'!D145+'[1]5_Hivatal'!D147+'[1]6_Óvoda'!D147+'[1]7_Bölcsöde'!D147+'[1]8_KGMH'!D147</f>
        <v>0</v>
      </c>
      <c r="E144" s="957">
        <f>'4_Önkormányzat'!E143+'5_Hivatal'!E145+'6_Óvoda'!E145+'7_Bölcsöde'!E147+'8_KGMH'!E147</f>
        <v>0</v>
      </c>
      <c r="F144" s="957">
        <f>'4_Önkormányzat'!F143+'5_Hivatal'!F145+'6_Óvoda'!F145+'7_Bölcsöde'!F147+'8_KGMH'!F147</f>
        <v>0</v>
      </c>
      <c r="G144" s="957">
        <f>'4_Önkormányzat'!G143+'5_Hivatal'!G145+'6_Óvoda'!G145+'7_Bölcsöde'!G147+'8_KGMH'!G147</f>
        <v>0</v>
      </c>
      <c r="H144" s="912">
        <f t="shared" si="2"/>
        <v>0</v>
      </c>
    </row>
    <row r="145" spans="1:8" ht="16.2" thickBot="1" x14ac:dyDescent="0.35">
      <c r="A145" s="367" t="s">
        <v>161</v>
      </c>
      <c r="B145" s="375" t="s">
        <v>284</v>
      </c>
      <c r="C145" s="945">
        <f>+C126+C130+C135+C140</f>
        <v>1013034735</v>
      </c>
      <c r="D145" s="959">
        <f>'[1]4_Önkormányzat'!D146+'[1]5_Hivatal'!D148+'[1]6_Óvoda'!D148+'[1]7_Bölcsöde'!D148+'[1]8_KGMH'!D148</f>
        <v>1049802001</v>
      </c>
      <c r="E145" s="1455">
        <f>'4_Önkormányzat'!E144</f>
        <v>1040266574</v>
      </c>
      <c r="F145" s="1455">
        <f>'4_Önkormányzat'!F144</f>
        <v>1083757485</v>
      </c>
      <c r="G145" s="1455">
        <f>'4_Önkormányzat'!G144</f>
        <v>1083757485</v>
      </c>
      <c r="H145" s="912">
        <f t="shared" si="2"/>
        <v>0</v>
      </c>
    </row>
    <row r="146" spans="1:8" ht="16.2" thickBot="1" x14ac:dyDescent="0.35">
      <c r="A146" s="391" t="s">
        <v>285</v>
      </c>
      <c r="B146" s="394" t="s">
        <v>286</v>
      </c>
      <c r="C146" s="945">
        <f>+C125+C145</f>
        <v>2528329238</v>
      </c>
      <c r="D146" s="827">
        <f>'[1]4_Önkormányzat'!D147+'[1]5_Hivatal'!D149+'[1]6_Óvoda'!D149+'[1]7_Bölcsöde'!D149+'[1]8_KGMH'!D149</f>
        <v>2706536187</v>
      </c>
      <c r="E146" s="1455">
        <f>'4_Önkormányzat'!E145+'5_Hivatal'!E147+'6_Óvoda'!E147+'7_Bölcsöde'!E149+'8_KGMH'!E149</f>
        <v>2761856060</v>
      </c>
      <c r="F146" s="1455">
        <f>'4_Önkormányzat'!F145+'5_Hivatal'!F147+'6_Óvoda'!F147+'7_Bölcsöde'!F149+'8_KGMH'!F149</f>
        <v>2840802851</v>
      </c>
      <c r="G146" s="1455">
        <f>'4_Önkormányzat'!G145+'5_Hivatal'!G147+'6_Óvoda'!G147+'7_Bölcsöde'!G149+'8_KGMH'!G149</f>
        <v>2840026509</v>
      </c>
      <c r="H146" s="912">
        <f t="shared" si="2"/>
        <v>-776342</v>
      </c>
    </row>
    <row r="147" spans="1:8" ht="16.2" thickBot="1" x14ac:dyDescent="0.35">
      <c r="A147" s="925"/>
      <c r="B147" s="924" t="s">
        <v>1861</v>
      </c>
      <c r="C147" s="949">
        <f>C146-C138</f>
        <v>1629636350</v>
      </c>
      <c r="D147" s="960">
        <f>D146-D138</f>
        <v>1766312445</v>
      </c>
      <c r="E147" s="960">
        <f>E146-E138</f>
        <v>1831167745</v>
      </c>
      <c r="F147" s="960">
        <f>F146-F138</f>
        <v>1868596024</v>
      </c>
      <c r="G147" s="960">
        <f>G146-G138</f>
        <v>1867819682</v>
      </c>
      <c r="H147" s="912">
        <f t="shared" si="2"/>
        <v>-776342</v>
      </c>
    </row>
    <row r="148" spans="1:8" ht="7.5" customHeight="1" x14ac:dyDescent="0.3"/>
    <row r="149" spans="1:8" x14ac:dyDescent="0.3">
      <c r="D149" s="811">
        <f>D86-D147</f>
        <v>0</v>
      </c>
      <c r="E149" s="811">
        <f>E86-E147</f>
        <v>0</v>
      </c>
      <c r="G149" s="812">
        <f>G86-G147</f>
        <v>0</v>
      </c>
    </row>
    <row r="150" spans="1:8" ht="12.75" customHeight="1" x14ac:dyDescent="0.3"/>
    <row r="151" spans="1:8" ht="12.75" customHeight="1" x14ac:dyDescent="0.3"/>
    <row r="152" spans="1:8" ht="12.75" customHeight="1" x14ac:dyDescent="0.3"/>
    <row r="153" spans="1:8" ht="12.75" customHeight="1" x14ac:dyDescent="0.3"/>
    <row r="154" spans="1:8" ht="12.75" customHeight="1" x14ac:dyDescent="0.3"/>
    <row r="155" spans="1:8" ht="12.75" customHeight="1" x14ac:dyDescent="0.3"/>
    <row r="156" spans="1:8" ht="12.75" customHeight="1" x14ac:dyDescent="0.3"/>
    <row r="157" spans="1:8" s="395" customFormat="1" ht="12.75" customHeight="1" x14ac:dyDescent="0.3">
      <c r="C157" s="396"/>
      <c r="D157" s="396"/>
      <c r="E157" s="396"/>
    </row>
  </sheetData>
  <mergeCells count="8">
    <mergeCell ref="A1:G1"/>
    <mergeCell ref="A89:A90"/>
    <mergeCell ref="B89:B90"/>
    <mergeCell ref="A3:A4"/>
    <mergeCell ref="B3:B4"/>
    <mergeCell ref="C3:G3"/>
    <mergeCell ref="C89:G89"/>
    <mergeCell ref="A87:G87"/>
  </mergeCells>
  <printOptions horizontalCentered="1"/>
  <pageMargins left="0.78740157480314965" right="0.78740157480314965" top="1.4566929133858268" bottom="0.86614173228346458" header="0.78740157480314965" footer="0.59055118110236227"/>
  <pageSetup paperSize="8" scale="80" fitToHeight="2" orientation="portrait" r:id="rId1"/>
  <headerFooter alignWithMargins="0">
    <oddHeader xml:space="preserve">&amp;R&amp;"Times New Roman CE,Félkövér dőlt"&amp;11 1-2. melléklet a 2/2020. (II.28.) önkormányzati rendelethez 
</oddHeader>
  </headerFooter>
  <rowBreaks count="1" manualBreakCount="1">
    <brk id="86" max="6" man="1"/>
  </rowBreaks>
  <ignoredErrors>
    <ignoredError sqref="E13 C108 E20 E27 E34 E45 E56 E62 E71 E85 C122 C125:C126" unlockedFormula="1"/>
  </ignoredError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N56"/>
  <sheetViews>
    <sheetView view="pageLayout" topLeftCell="B1" zoomScaleNormal="102" workbookViewId="0">
      <selection activeCell="H46" sqref="H46"/>
    </sheetView>
  </sheetViews>
  <sheetFormatPr defaultColWidth="9.33203125" defaultRowHeight="15.6" x14ac:dyDescent="0.3"/>
  <cols>
    <col min="1" max="1" width="55.109375" style="395" customWidth="1"/>
    <col min="2" max="2" width="15.109375" style="396" bestFit="1" customWidth="1"/>
    <col min="3" max="3" width="14.33203125" style="396" customWidth="1"/>
    <col min="4" max="4" width="14.33203125" style="406" customWidth="1"/>
    <col min="5" max="5" width="15.33203125" style="406" bestFit="1" customWidth="1"/>
    <col min="6" max="6" width="14.109375" style="406" customWidth="1"/>
    <col min="7" max="14" width="14.33203125" style="406" customWidth="1"/>
    <col min="15" max="16384" width="9.33203125" style="406"/>
  </cols>
  <sheetData>
    <row r="1" spans="1:14" ht="16.2" thickBot="1" x14ac:dyDescent="0.35"/>
    <row r="2" spans="1:14" ht="15.9" customHeight="1" x14ac:dyDescent="0.3">
      <c r="A2" s="998" t="s">
        <v>42</v>
      </c>
      <c r="B2" s="999" t="s">
        <v>2030</v>
      </c>
      <c r="C2" s="999" t="s">
        <v>2031</v>
      </c>
      <c r="D2" s="999" t="s">
        <v>2032</v>
      </c>
      <c r="E2" s="999" t="s">
        <v>2033</v>
      </c>
      <c r="F2" s="999" t="s">
        <v>2034</v>
      </c>
      <c r="G2" s="999" t="s">
        <v>2035</v>
      </c>
      <c r="H2" s="999" t="s">
        <v>2036</v>
      </c>
      <c r="I2" s="999" t="s">
        <v>2037</v>
      </c>
      <c r="J2" s="999" t="s">
        <v>2038</v>
      </c>
      <c r="K2" s="999" t="s">
        <v>2039</v>
      </c>
      <c r="L2" s="999" t="s">
        <v>2040</v>
      </c>
      <c r="M2" s="999" t="s">
        <v>2041</v>
      </c>
      <c r="N2" s="1000" t="s">
        <v>2042</v>
      </c>
    </row>
    <row r="3" spans="1:14" s="408" customFormat="1" ht="12" customHeight="1" x14ac:dyDescent="0.25">
      <c r="A3" s="1363" t="s">
        <v>2043</v>
      </c>
      <c r="B3" s="1364">
        <f>SUM(C3:N3)</f>
        <v>551209563</v>
      </c>
      <c r="C3" s="1365">
        <v>43872700</v>
      </c>
      <c r="D3" s="1365">
        <v>43872700</v>
      </c>
      <c r="E3" s="1365">
        <v>43872700</v>
      </c>
      <c r="F3" s="1365">
        <v>43872700</v>
      </c>
      <c r="G3" s="1365">
        <v>43872700</v>
      </c>
      <c r="H3" s="1365">
        <v>44872700</v>
      </c>
      <c r="I3" s="1365">
        <v>44872700</v>
      </c>
      <c r="J3" s="1365">
        <v>44872700</v>
      </c>
      <c r="K3" s="1365">
        <v>44872700</v>
      </c>
      <c r="L3" s="1365">
        <v>44872700</v>
      </c>
      <c r="M3" s="1365">
        <f>43872700+1169243</f>
        <v>45041943</v>
      </c>
      <c r="N3" s="1366">
        <f>43872700+18567920</f>
        <v>62440620</v>
      </c>
    </row>
    <row r="4" spans="1:14" s="408" customFormat="1" ht="12" customHeight="1" x14ac:dyDescent="0.25">
      <c r="A4" s="1367" t="s">
        <v>300</v>
      </c>
      <c r="B4" s="1364">
        <f>SUM(C4:N4)</f>
        <v>35260891</v>
      </c>
      <c r="C4" s="1365">
        <v>2171700</v>
      </c>
      <c r="D4" s="1365">
        <v>2171700</v>
      </c>
      <c r="E4" s="1365">
        <v>2171700</v>
      </c>
      <c r="F4" s="1365">
        <v>2171700</v>
      </c>
      <c r="G4" s="1365">
        <f>2171700+1924780</f>
        <v>4096480</v>
      </c>
      <c r="H4" s="1365">
        <v>2171700</v>
      </c>
      <c r="I4" s="1365">
        <v>2171700</v>
      </c>
      <c r="J4" s="1365">
        <v>2171700</v>
      </c>
      <c r="K4" s="1365">
        <f>2171700+5155300</f>
        <v>7327000</v>
      </c>
      <c r="L4" s="1365">
        <v>2171700</v>
      </c>
      <c r="M4" s="1365">
        <f>2171700+36184995-34064584</f>
        <v>4292111</v>
      </c>
      <c r="N4" s="1366">
        <v>2171700</v>
      </c>
    </row>
    <row r="5" spans="1:14" s="408" customFormat="1" ht="12" customHeight="1" x14ac:dyDescent="0.25">
      <c r="A5" s="1363" t="s">
        <v>2044</v>
      </c>
      <c r="B5" s="1364">
        <f>SUM(C5:N5)</f>
        <v>278000</v>
      </c>
      <c r="C5" s="1365"/>
      <c r="D5" s="1365"/>
      <c r="E5" s="1365"/>
      <c r="F5" s="1368"/>
      <c r="G5" s="1368"/>
      <c r="H5" s="1368"/>
      <c r="I5" s="1368"/>
      <c r="J5" s="1368"/>
      <c r="K5" s="1368"/>
      <c r="L5" s="1368"/>
      <c r="M5" s="1368"/>
      <c r="N5" s="1369">
        <v>278000</v>
      </c>
    </row>
    <row r="6" spans="1:14" s="408" customFormat="1" ht="12" customHeight="1" x14ac:dyDescent="0.25">
      <c r="A6" s="1363" t="s">
        <v>1839</v>
      </c>
      <c r="B6" s="1364">
        <f>SUM(C6:N6)</f>
        <v>725000000</v>
      </c>
      <c r="C6" s="1365">
        <v>5000000</v>
      </c>
      <c r="D6" s="1365">
        <v>16000000</v>
      </c>
      <c r="E6" s="1365">
        <v>250000000</v>
      </c>
      <c r="F6" s="1368">
        <v>45000000</v>
      </c>
      <c r="G6" s="1368">
        <v>30000000</v>
      </c>
      <c r="H6" s="1368">
        <v>10000000</v>
      </c>
      <c r="I6" s="1368">
        <v>2000000</v>
      </c>
      <c r="J6" s="1368">
        <v>15000000</v>
      </c>
      <c r="K6" s="1368">
        <v>250000000</v>
      </c>
      <c r="L6" s="1368">
        <v>65000000</v>
      </c>
      <c r="M6" s="1368">
        <v>25000000</v>
      </c>
      <c r="N6" s="1369">
        <v>12000000</v>
      </c>
    </row>
    <row r="7" spans="1:14" s="408" customFormat="1" ht="12" customHeight="1" x14ac:dyDescent="0.25">
      <c r="A7" s="1363" t="s">
        <v>2045</v>
      </c>
      <c r="B7" s="1499">
        <f t="shared" ref="B7:B17" si="0">SUM(C7:N7)</f>
        <v>231622763</v>
      </c>
      <c r="C7" s="1500">
        <v>14960300</v>
      </c>
      <c r="D7" s="1500">
        <v>20000000</v>
      </c>
      <c r="E7" s="1500">
        <v>20000000</v>
      </c>
      <c r="F7" s="1500">
        <v>20000000</v>
      </c>
      <c r="G7" s="1500">
        <v>20000000</v>
      </c>
      <c r="H7" s="1500">
        <v>18000000</v>
      </c>
      <c r="I7" s="1500">
        <v>18000000</v>
      </c>
      <c r="J7" s="1500">
        <v>21810000</v>
      </c>
      <c r="K7" s="1500">
        <v>18000000</v>
      </c>
      <c r="L7" s="1500">
        <v>18000000</v>
      </c>
      <c r="M7" s="1500">
        <v>18000000</v>
      </c>
      <c r="N7" s="1501">
        <f>18000000+6852463</f>
        <v>24852463</v>
      </c>
    </row>
    <row r="8" spans="1:14" s="408" customFormat="1" ht="12" customHeight="1" x14ac:dyDescent="0.25">
      <c r="A8" s="1363" t="s">
        <v>2046</v>
      </c>
      <c r="B8" s="1499">
        <f t="shared" si="0"/>
        <v>106800000</v>
      </c>
      <c r="C8" s="1500"/>
      <c r="D8" s="1500">
        <v>16500000</v>
      </c>
      <c r="E8" s="1500">
        <v>16500000</v>
      </c>
      <c r="F8" s="1502">
        <v>26300000</v>
      </c>
      <c r="G8" s="1502">
        <v>25000000</v>
      </c>
      <c r="H8" s="1502">
        <v>22500000</v>
      </c>
      <c r="I8" s="1502"/>
      <c r="J8" s="1502"/>
      <c r="K8" s="1502"/>
      <c r="L8" s="1502"/>
      <c r="M8" s="1502"/>
      <c r="N8" s="1503"/>
    </row>
    <row r="9" spans="1:14" s="408" customFormat="1" ht="17.25" customHeight="1" x14ac:dyDescent="0.25">
      <c r="A9" s="1363" t="s">
        <v>2047</v>
      </c>
      <c r="B9" s="1499">
        <f t="shared" si="0"/>
        <v>63100000</v>
      </c>
      <c r="C9" s="1500"/>
      <c r="D9" s="1500"/>
      <c r="E9" s="1500"/>
      <c r="F9" s="1502"/>
      <c r="G9" s="1502"/>
      <c r="H9" s="1502"/>
      <c r="I9" s="1502"/>
      <c r="J9" s="1502">
        <v>63100000</v>
      </c>
      <c r="K9" s="1502"/>
      <c r="L9" s="1502"/>
      <c r="M9" s="1502"/>
      <c r="N9" s="1503"/>
    </row>
    <row r="10" spans="1:14" s="408" customFormat="1" ht="12" customHeight="1" x14ac:dyDescent="0.25">
      <c r="A10" s="1367" t="s">
        <v>2048</v>
      </c>
      <c r="B10" s="1499">
        <f t="shared" si="0"/>
        <v>11000000</v>
      </c>
      <c r="C10" s="1500"/>
      <c r="D10" s="1500"/>
      <c r="E10" s="1500">
        <v>5000000</v>
      </c>
      <c r="F10" s="1502">
        <v>6000000</v>
      </c>
      <c r="G10" s="1502"/>
      <c r="H10" s="1502"/>
      <c r="I10" s="1502"/>
      <c r="J10" s="1502"/>
      <c r="K10" s="1502"/>
      <c r="L10" s="1502"/>
      <c r="M10" s="1502"/>
      <c r="N10" s="1503"/>
    </row>
    <row r="11" spans="1:14" s="408" customFormat="1" ht="12" customHeight="1" x14ac:dyDescent="0.25">
      <c r="A11" s="1363" t="s">
        <v>2049</v>
      </c>
      <c r="B11" s="1499">
        <f>SUM(B3:B10)</f>
        <v>1724271217</v>
      </c>
      <c r="C11" s="1500">
        <f t="shared" ref="C11:N11" si="1">SUM(C3:C10)</f>
        <v>66004700</v>
      </c>
      <c r="D11" s="1500">
        <f t="shared" si="1"/>
        <v>98544400</v>
      </c>
      <c r="E11" s="1500">
        <f t="shared" si="1"/>
        <v>337544400</v>
      </c>
      <c r="F11" s="1500">
        <f t="shared" si="1"/>
        <v>143344400</v>
      </c>
      <c r="G11" s="1500">
        <f t="shared" si="1"/>
        <v>122969180</v>
      </c>
      <c r="H11" s="1500">
        <f t="shared" si="1"/>
        <v>97544400</v>
      </c>
      <c r="I11" s="1500">
        <f t="shared" si="1"/>
        <v>67044400</v>
      </c>
      <c r="J11" s="1500">
        <v>144954400</v>
      </c>
      <c r="K11" s="1500">
        <f t="shared" si="1"/>
        <v>320199700</v>
      </c>
      <c r="L11" s="1500">
        <f t="shared" si="1"/>
        <v>130044400</v>
      </c>
      <c r="M11" s="1500">
        <f t="shared" si="1"/>
        <v>92334054</v>
      </c>
      <c r="N11" s="1501">
        <f t="shared" si="1"/>
        <v>101742783</v>
      </c>
    </row>
    <row r="12" spans="1:14" s="408" customFormat="1" ht="12" customHeight="1" x14ac:dyDescent="0.25">
      <c r="A12" s="1367" t="s">
        <v>2050</v>
      </c>
      <c r="B12" s="1499">
        <f t="shared" si="0"/>
        <v>0</v>
      </c>
      <c r="C12" s="1500"/>
      <c r="D12" s="1500"/>
      <c r="E12" s="1500"/>
      <c r="F12" s="1502"/>
      <c r="G12" s="1502"/>
      <c r="H12" s="1502"/>
      <c r="I12" s="1502"/>
      <c r="J12" s="1502"/>
      <c r="K12" s="1502"/>
      <c r="L12" s="1502"/>
      <c r="M12" s="1502"/>
      <c r="N12" s="1503"/>
    </row>
    <row r="13" spans="1:14" s="408" customFormat="1" ht="12" customHeight="1" x14ac:dyDescent="0.25">
      <c r="A13" s="1367" t="s">
        <v>2051</v>
      </c>
      <c r="B13" s="1499">
        <f t="shared" si="0"/>
        <v>0</v>
      </c>
      <c r="C13" s="1500"/>
      <c r="D13" s="1500"/>
      <c r="E13" s="1500"/>
      <c r="F13" s="1502"/>
      <c r="G13" s="1502"/>
      <c r="H13" s="1502"/>
      <c r="I13" s="1502"/>
      <c r="J13" s="1502"/>
      <c r="K13" s="1502"/>
      <c r="L13" s="1502"/>
      <c r="M13" s="1502"/>
      <c r="N13" s="1503"/>
    </row>
    <row r="14" spans="1:14" s="408" customFormat="1" ht="12" customHeight="1" x14ac:dyDescent="0.25">
      <c r="A14" s="1367" t="s">
        <v>2052</v>
      </c>
      <c r="B14" s="1499">
        <f t="shared" si="0"/>
        <v>124722194</v>
      </c>
      <c r="C14" s="1500"/>
      <c r="D14" s="1500">
        <v>14837945</v>
      </c>
      <c r="E14" s="1500">
        <v>83532000</v>
      </c>
      <c r="F14" s="1502">
        <v>12036000</v>
      </c>
      <c r="G14" s="1502">
        <v>11296642</v>
      </c>
      <c r="H14" s="1502">
        <v>3019607</v>
      </c>
      <c r="I14" s="1502"/>
      <c r="J14" s="1502"/>
      <c r="K14" s="1502"/>
      <c r="L14" s="1502"/>
      <c r="M14" s="1502"/>
      <c r="N14" s="1503"/>
    </row>
    <row r="15" spans="1:14" s="408" customFormat="1" ht="12" customHeight="1" x14ac:dyDescent="0.25">
      <c r="A15" s="1367" t="s">
        <v>2053</v>
      </c>
      <c r="B15" s="1499">
        <f t="shared" si="0"/>
        <v>18826271</v>
      </c>
      <c r="C15" s="1504">
        <f>11236412+7589859</f>
        <v>18826271</v>
      </c>
      <c r="D15" s="1500"/>
      <c r="E15" s="1500"/>
      <c r="F15" s="1502"/>
      <c r="G15" s="1502"/>
      <c r="H15" s="1502"/>
      <c r="I15" s="1502"/>
      <c r="J15" s="1502"/>
      <c r="K15" s="1502"/>
      <c r="L15" s="1502"/>
      <c r="M15" s="1502"/>
      <c r="N15" s="1503"/>
    </row>
    <row r="16" spans="1:14" s="408" customFormat="1" ht="12" customHeight="1" x14ac:dyDescent="0.25">
      <c r="A16" s="1367" t="s">
        <v>2054</v>
      </c>
      <c r="B16" s="1499">
        <f>SUM(C16:N16)</f>
        <v>972206827</v>
      </c>
      <c r="C16" s="1500">
        <v>77558000</v>
      </c>
      <c r="D16" s="1500">
        <v>77558000</v>
      </c>
      <c r="E16" s="1500">
        <v>77558000</v>
      </c>
      <c r="F16" s="1500">
        <v>77558000</v>
      </c>
      <c r="G16" s="1500">
        <v>77558000</v>
      </c>
      <c r="H16" s="1500">
        <v>77558000</v>
      </c>
      <c r="I16" s="1500">
        <v>77558000</v>
      </c>
      <c r="J16" s="1500">
        <v>77558000</v>
      </c>
      <c r="K16" s="1500">
        <v>77558000</v>
      </c>
      <c r="L16" s="1500">
        <v>77558000</v>
      </c>
      <c r="M16" s="1500">
        <f>77558000+41518512</f>
        <v>119076512</v>
      </c>
      <c r="N16" s="1503">
        <v>77550315</v>
      </c>
    </row>
    <row r="17" spans="1:14" s="408" customFormat="1" ht="12" customHeight="1" x14ac:dyDescent="0.25">
      <c r="A17" s="1367" t="s">
        <v>206</v>
      </c>
      <c r="B17" s="1499">
        <f t="shared" si="0"/>
        <v>0</v>
      </c>
      <c r="C17" s="1505"/>
      <c r="D17" s="1505"/>
      <c r="E17" s="1505"/>
      <c r="F17" s="1502"/>
      <c r="G17" s="1502"/>
      <c r="H17" s="1502"/>
      <c r="I17" s="1502"/>
      <c r="J17" s="1502"/>
      <c r="K17" s="1502"/>
      <c r="L17" s="1502"/>
      <c r="M17" s="1502"/>
      <c r="N17" s="1503"/>
    </row>
    <row r="18" spans="1:14" s="408" customFormat="1" ht="12" customHeight="1" x14ac:dyDescent="0.25">
      <c r="A18" s="1370" t="s">
        <v>2055</v>
      </c>
      <c r="B18" s="1499">
        <f>SUM(B12:B17)</f>
        <v>1115755292</v>
      </c>
      <c r="C18" s="1500">
        <f t="shared" ref="C18:N18" si="2">SUM(C12:C17)</f>
        <v>96384271</v>
      </c>
      <c r="D18" s="1500">
        <f t="shared" si="2"/>
        <v>92395945</v>
      </c>
      <c r="E18" s="1500">
        <f t="shared" si="2"/>
        <v>161090000</v>
      </c>
      <c r="F18" s="1500">
        <f t="shared" si="2"/>
        <v>89594000</v>
      </c>
      <c r="G18" s="1500">
        <f t="shared" si="2"/>
        <v>88854642</v>
      </c>
      <c r="H18" s="1500">
        <f t="shared" si="2"/>
        <v>80577607</v>
      </c>
      <c r="I18" s="1500">
        <f t="shared" si="2"/>
        <v>77558000</v>
      </c>
      <c r="J18" s="1500">
        <f t="shared" si="2"/>
        <v>77558000</v>
      </c>
      <c r="K18" s="1500">
        <f t="shared" si="2"/>
        <v>77558000</v>
      </c>
      <c r="L18" s="1500">
        <f t="shared" si="2"/>
        <v>77558000</v>
      </c>
      <c r="M18" s="1500">
        <f t="shared" si="2"/>
        <v>119076512</v>
      </c>
      <c r="N18" s="1501">
        <f t="shared" si="2"/>
        <v>77550315</v>
      </c>
    </row>
    <row r="19" spans="1:14" s="408" customFormat="1" ht="12" customHeight="1" thickBot="1" x14ac:dyDescent="0.3">
      <c r="A19" s="1371" t="s">
        <v>2056</v>
      </c>
      <c r="B19" s="1499">
        <f>B18+B11</f>
        <v>2840026509</v>
      </c>
      <c r="C19" s="1500">
        <f t="shared" ref="C19:N19" si="3">C18+C11</f>
        <v>162388971</v>
      </c>
      <c r="D19" s="1500">
        <f t="shared" si="3"/>
        <v>190940345</v>
      </c>
      <c r="E19" s="1500">
        <f t="shared" si="3"/>
        <v>498634400</v>
      </c>
      <c r="F19" s="1500">
        <f t="shared" si="3"/>
        <v>232938400</v>
      </c>
      <c r="G19" s="1500">
        <f t="shared" si="3"/>
        <v>211823822</v>
      </c>
      <c r="H19" s="1500">
        <f t="shared" si="3"/>
        <v>178122007</v>
      </c>
      <c r="I19" s="1500">
        <f t="shared" si="3"/>
        <v>144602400</v>
      </c>
      <c r="J19" s="1500">
        <f t="shared" si="3"/>
        <v>222512400</v>
      </c>
      <c r="K19" s="1500">
        <f t="shared" si="3"/>
        <v>397757700</v>
      </c>
      <c r="L19" s="1500">
        <f t="shared" si="3"/>
        <v>207602400</v>
      </c>
      <c r="M19" s="1500">
        <f t="shared" si="3"/>
        <v>211410566</v>
      </c>
      <c r="N19" s="1501">
        <f t="shared" si="3"/>
        <v>179293098</v>
      </c>
    </row>
    <row r="20" spans="1:14" s="408" customFormat="1" ht="12" customHeight="1" thickBot="1" x14ac:dyDescent="0.3">
      <c r="A20" s="1372"/>
      <c r="B20" s="1506"/>
      <c r="C20" s="1506"/>
      <c r="D20" s="1507"/>
      <c r="E20" s="1508"/>
      <c r="F20" s="1508"/>
      <c r="G20" s="1508"/>
      <c r="H20" s="1508"/>
      <c r="I20" s="1508"/>
      <c r="J20" s="1508"/>
      <c r="K20" s="1508"/>
      <c r="L20" s="1508"/>
      <c r="M20" s="1508"/>
      <c r="N20" s="1509"/>
    </row>
    <row r="21" spans="1:14" ht="16.5" customHeight="1" x14ac:dyDescent="0.3">
      <c r="A21" s="1615" t="s">
        <v>213</v>
      </c>
      <c r="B21" s="1510" t="s">
        <v>2030</v>
      </c>
      <c r="C21" s="1510" t="s">
        <v>2031</v>
      </c>
      <c r="D21" s="1510" t="s">
        <v>2032</v>
      </c>
      <c r="E21" s="1510" t="s">
        <v>2033</v>
      </c>
      <c r="F21" s="1510" t="s">
        <v>2034</v>
      </c>
      <c r="G21" s="1510" t="s">
        <v>2035</v>
      </c>
      <c r="H21" s="1510" t="s">
        <v>2036</v>
      </c>
      <c r="I21" s="1510" t="s">
        <v>2037</v>
      </c>
      <c r="J21" s="1510" t="s">
        <v>2038</v>
      </c>
      <c r="K21" s="1510" t="s">
        <v>2039</v>
      </c>
      <c r="L21" s="1510" t="s">
        <v>2040</v>
      </c>
      <c r="M21" s="1510" t="s">
        <v>2041</v>
      </c>
      <c r="N21" s="1511" t="s">
        <v>2042</v>
      </c>
    </row>
    <row r="22" spans="1:14" s="414" customFormat="1" ht="12.75" customHeight="1" x14ac:dyDescent="0.3">
      <c r="A22" s="1373" t="s">
        <v>2057</v>
      </c>
      <c r="B22" s="1512">
        <f>SUM(B23:B27)</f>
        <v>1554660137</v>
      </c>
      <c r="C22" s="1512">
        <f t="shared" ref="C22:M22" si="4">SUM(C23:C27)</f>
        <v>118180365</v>
      </c>
      <c r="D22" s="1512">
        <f t="shared" si="4"/>
        <v>119180365</v>
      </c>
      <c r="E22" s="1512">
        <f t="shared" si="4"/>
        <v>119998070</v>
      </c>
      <c r="F22" s="1512">
        <f t="shared" si="4"/>
        <v>117180365</v>
      </c>
      <c r="G22" s="1512">
        <f t="shared" si="4"/>
        <v>166132245</v>
      </c>
      <c r="H22" s="1512">
        <f t="shared" si="4"/>
        <v>115716365</v>
      </c>
      <c r="I22" s="1512">
        <f t="shared" si="4"/>
        <v>113180366</v>
      </c>
      <c r="J22" s="1512">
        <f t="shared" si="4"/>
        <v>154687991</v>
      </c>
      <c r="K22" s="1512">
        <f t="shared" si="4"/>
        <v>119180367</v>
      </c>
      <c r="L22" s="1512">
        <f t="shared" si="4"/>
        <v>113680367</v>
      </c>
      <c r="M22" s="1512">
        <f t="shared" si="4"/>
        <v>174149584</v>
      </c>
      <c r="N22" s="1513">
        <f>SUM(N23:N27)</f>
        <v>123393687</v>
      </c>
    </row>
    <row r="23" spans="1:14" s="414" customFormat="1" ht="12.75" customHeight="1" x14ac:dyDescent="0.3">
      <c r="A23" s="1374" t="s">
        <v>215</v>
      </c>
      <c r="B23" s="1512">
        <f t="shared" ref="B23:B39" si="5">SUM(C23:N23)</f>
        <v>694637500</v>
      </c>
      <c r="C23" s="1514">
        <v>55420187</v>
      </c>
      <c r="D23" s="1514">
        <v>55420187</v>
      </c>
      <c r="E23" s="1514">
        <v>55420187</v>
      </c>
      <c r="F23" s="1514">
        <v>55420187</v>
      </c>
      <c r="G23" s="1514">
        <v>55420187</v>
      </c>
      <c r="H23" s="1514">
        <v>55420187</v>
      </c>
      <c r="I23" s="1514">
        <v>55420187</v>
      </c>
      <c r="J23" s="1514">
        <v>69232188</v>
      </c>
      <c r="K23" s="1514">
        <v>55420188</v>
      </c>
      <c r="L23" s="1514">
        <v>55420188</v>
      </c>
      <c r="M23" s="1514">
        <f>55420188+19679200-3895949</f>
        <v>71203439</v>
      </c>
      <c r="N23" s="1515">
        <v>55420188</v>
      </c>
    </row>
    <row r="24" spans="1:14" ht="12" customHeight="1" x14ac:dyDescent="0.3">
      <c r="A24" s="1374" t="s">
        <v>216</v>
      </c>
      <c r="B24" s="1512">
        <f t="shared" si="5"/>
        <v>140809952</v>
      </c>
      <c r="C24" s="1514">
        <v>11599858</v>
      </c>
      <c r="D24" s="1514">
        <v>11599858</v>
      </c>
      <c r="E24" s="1514">
        <v>11599858</v>
      </c>
      <c r="F24" s="1514">
        <v>11599858</v>
      </c>
      <c r="G24" s="1514">
        <v>11599858</v>
      </c>
      <c r="H24" s="1514">
        <v>11599858</v>
      </c>
      <c r="I24" s="1514">
        <v>11599859</v>
      </c>
      <c r="J24" s="1514">
        <v>12446405</v>
      </c>
      <c r="K24" s="1514">
        <v>11599859</v>
      </c>
      <c r="L24" s="1514">
        <v>11599859</v>
      </c>
      <c r="M24" s="1514">
        <f>11599859+674721</f>
        <v>12274580</v>
      </c>
      <c r="N24" s="1515">
        <f>11599859+90383</f>
        <v>11690242</v>
      </c>
    </row>
    <row r="25" spans="1:14" s="407" customFormat="1" ht="12" customHeight="1" x14ac:dyDescent="0.2">
      <c r="A25" s="1374" t="s">
        <v>217</v>
      </c>
      <c r="B25" s="1512">
        <f t="shared" si="5"/>
        <v>621772437</v>
      </c>
      <c r="C25" s="1514">
        <v>44802320</v>
      </c>
      <c r="D25" s="1514">
        <v>44802320</v>
      </c>
      <c r="E25" s="1514">
        <v>44802320</v>
      </c>
      <c r="F25" s="1514">
        <v>44802320</v>
      </c>
      <c r="G25" s="1514">
        <f>44802320+48451639</f>
        <v>93253959</v>
      </c>
      <c r="H25" s="1514">
        <v>44802320</v>
      </c>
      <c r="I25" s="1514">
        <v>44802320</v>
      </c>
      <c r="J25" s="1514">
        <v>25350998</v>
      </c>
      <c r="K25" s="1514">
        <v>44802320</v>
      </c>
      <c r="L25" s="1514">
        <v>44802320</v>
      </c>
      <c r="M25" s="1514">
        <f>44802320+45021343</f>
        <v>89823663</v>
      </c>
      <c r="N25" s="1515">
        <f>44802320+10122937</f>
        <v>54925257</v>
      </c>
    </row>
    <row r="26" spans="1:14" ht="12" customHeight="1" x14ac:dyDescent="0.3">
      <c r="A26" s="1374" t="s">
        <v>218</v>
      </c>
      <c r="B26" s="1512">
        <f t="shared" si="5"/>
        <v>9562495</v>
      </c>
      <c r="C26" s="1514">
        <v>500000</v>
      </c>
      <c r="D26" s="1514">
        <v>500000</v>
      </c>
      <c r="E26" s="1514">
        <v>1217705</v>
      </c>
      <c r="F26" s="1516">
        <v>500000</v>
      </c>
      <c r="G26" s="1516">
        <v>1000000</v>
      </c>
      <c r="H26" s="1516">
        <v>500000</v>
      </c>
      <c r="I26" s="1516">
        <v>500000</v>
      </c>
      <c r="J26" s="1516">
        <v>1500000</v>
      </c>
      <c r="K26" s="1516">
        <v>1500000</v>
      </c>
      <c r="L26" s="1516">
        <v>1000000</v>
      </c>
      <c r="M26" s="1516">
        <f>1000000-655210</f>
        <v>344790</v>
      </c>
      <c r="N26" s="1517">
        <v>500000</v>
      </c>
    </row>
    <row r="27" spans="1:14" ht="12" customHeight="1" x14ac:dyDescent="0.3">
      <c r="A27" s="1374" t="s">
        <v>220</v>
      </c>
      <c r="B27" s="1512">
        <f t="shared" si="5"/>
        <v>87877753</v>
      </c>
      <c r="C27" s="1514">
        <v>5858000</v>
      </c>
      <c r="D27" s="1514">
        <v>6858000</v>
      </c>
      <c r="E27" s="1514">
        <v>6958000</v>
      </c>
      <c r="F27" s="1516">
        <v>4858000</v>
      </c>
      <c r="G27" s="1516">
        <v>4858241</v>
      </c>
      <c r="H27" s="1516">
        <f>858000+2536000</f>
        <v>3394000</v>
      </c>
      <c r="I27" s="1516">
        <v>858000</v>
      </c>
      <c r="J27" s="1516">
        <v>46158400</v>
      </c>
      <c r="K27" s="1516">
        <v>5858000</v>
      </c>
      <c r="L27" s="1516">
        <v>858000</v>
      </c>
      <c r="M27" s="1516">
        <f>858000-372258+17370</f>
        <v>503112</v>
      </c>
      <c r="N27" s="1517">
        <v>858000</v>
      </c>
    </row>
    <row r="28" spans="1:14" ht="12" customHeight="1" x14ac:dyDescent="0.3">
      <c r="A28" s="1373" t="s">
        <v>2058</v>
      </c>
      <c r="B28" s="1512">
        <f>SUM(B29:B31)</f>
        <v>201608887</v>
      </c>
      <c r="C28" s="1512">
        <f t="shared" ref="C28:N28" si="6">SUM(C29:C31)</f>
        <v>0</v>
      </c>
      <c r="D28" s="1512">
        <f t="shared" si="6"/>
        <v>0</v>
      </c>
      <c r="E28" s="1512">
        <f t="shared" si="6"/>
        <v>30000000</v>
      </c>
      <c r="F28" s="1512">
        <f t="shared" si="6"/>
        <v>24462400</v>
      </c>
      <c r="G28" s="1512">
        <f t="shared" si="6"/>
        <v>20000000</v>
      </c>
      <c r="H28" s="1512">
        <f t="shared" si="6"/>
        <v>22426094</v>
      </c>
      <c r="I28" s="1512">
        <f t="shared" si="6"/>
        <v>15000000</v>
      </c>
      <c r="J28" s="1512">
        <f t="shared" si="6"/>
        <v>23966212</v>
      </c>
      <c r="K28" s="1512">
        <f t="shared" si="6"/>
        <v>59845254</v>
      </c>
      <c r="L28" s="1512">
        <f t="shared" si="6"/>
        <v>5908927</v>
      </c>
      <c r="M28" s="1512">
        <f t="shared" si="6"/>
        <v>0</v>
      </c>
      <c r="N28" s="1513">
        <f t="shared" si="6"/>
        <v>0</v>
      </c>
    </row>
    <row r="29" spans="1:14" ht="12" customHeight="1" x14ac:dyDescent="0.3">
      <c r="A29" s="1374" t="s">
        <v>241</v>
      </c>
      <c r="B29" s="1512">
        <f t="shared" si="5"/>
        <v>67441294</v>
      </c>
      <c r="C29" s="1514"/>
      <c r="D29" s="1514"/>
      <c r="E29" s="1514">
        <v>25000000</v>
      </c>
      <c r="F29" s="1516">
        <f>25000000-17037600</f>
        <v>7962400</v>
      </c>
      <c r="G29" s="1516">
        <v>10000000</v>
      </c>
      <c r="H29" s="1516">
        <v>3722145</v>
      </c>
      <c r="I29" s="1516">
        <v>10000000</v>
      </c>
      <c r="J29" s="1516">
        <f>15000000-24552678</f>
        <v>-9552678</v>
      </c>
      <c r="K29" s="1516">
        <v>15000000</v>
      </c>
      <c r="L29" s="1516">
        <f>7433910-2124483</f>
        <v>5309427</v>
      </c>
      <c r="M29" s="1516"/>
      <c r="N29" s="1517"/>
    </row>
    <row r="30" spans="1:14" ht="12" customHeight="1" x14ac:dyDescent="0.3">
      <c r="A30" s="1374" t="s">
        <v>243</v>
      </c>
      <c r="B30" s="1512">
        <f t="shared" si="5"/>
        <v>122364144</v>
      </c>
      <c r="C30" s="1514"/>
      <c r="D30" s="1514"/>
      <c r="E30" s="1514">
        <v>5000000</v>
      </c>
      <c r="F30" s="1516">
        <v>16500000</v>
      </c>
      <c r="G30" s="1516">
        <v>10000000</v>
      </c>
      <c r="H30" s="1516">
        <v>10000000</v>
      </c>
      <c r="I30" s="1516">
        <v>5000000</v>
      </c>
      <c r="J30" s="1516">
        <v>31018890</v>
      </c>
      <c r="K30" s="1516">
        <v>44845254</v>
      </c>
      <c r="L30" s="1516"/>
      <c r="M30" s="1516"/>
      <c r="N30" s="1517"/>
    </row>
    <row r="31" spans="1:14" ht="12" customHeight="1" x14ac:dyDescent="0.3">
      <c r="A31" s="1375" t="s">
        <v>245</v>
      </c>
      <c r="B31" s="1512">
        <f t="shared" si="5"/>
        <v>11803449</v>
      </c>
      <c r="C31" s="1514"/>
      <c r="D31" s="1514"/>
      <c r="E31" s="1514"/>
      <c r="F31" s="1516"/>
      <c r="G31" s="1516"/>
      <c r="H31" s="1516">
        <f>30283467-21579518</f>
        <v>8703949</v>
      </c>
      <c r="I31" s="1516"/>
      <c r="J31" s="1516">
        <v>2500000</v>
      </c>
      <c r="K31" s="1516"/>
      <c r="L31" s="1516">
        <v>599500</v>
      </c>
      <c r="M31" s="1516"/>
      <c r="N31" s="1517"/>
    </row>
    <row r="32" spans="1:14" ht="12" customHeight="1" x14ac:dyDescent="0.3">
      <c r="A32" s="1376" t="s">
        <v>2059</v>
      </c>
      <c r="B32" s="1512">
        <f>SUM(B33:B34)</f>
        <v>0</v>
      </c>
      <c r="C32" s="1512">
        <f t="shared" ref="C32:N32" si="7">SUM(C33:C34)</f>
        <v>0</v>
      </c>
      <c r="D32" s="1512">
        <f t="shared" si="7"/>
        <v>0</v>
      </c>
      <c r="E32" s="1512">
        <f t="shared" si="7"/>
        <v>0</v>
      </c>
      <c r="F32" s="1512">
        <f t="shared" si="7"/>
        <v>0</v>
      </c>
      <c r="G32" s="1512">
        <f t="shared" si="7"/>
        <v>0</v>
      </c>
      <c r="H32" s="1512">
        <f t="shared" si="7"/>
        <v>0</v>
      </c>
      <c r="I32" s="1512">
        <f t="shared" si="7"/>
        <v>0</v>
      </c>
      <c r="J32" s="1512">
        <f t="shared" si="7"/>
        <v>0</v>
      </c>
      <c r="K32" s="1512">
        <f t="shared" si="7"/>
        <v>0</v>
      </c>
      <c r="L32" s="1512">
        <f t="shared" si="7"/>
        <v>0</v>
      </c>
      <c r="M32" s="1512">
        <v>5121241</v>
      </c>
      <c r="N32" s="1513">
        <f t="shared" si="7"/>
        <v>0</v>
      </c>
    </row>
    <row r="33" spans="1:14" s="427" customFormat="1" ht="12" customHeight="1" x14ac:dyDescent="0.25">
      <c r="A33" s="1374" t="s">
        <v>260</v>
      </c>
      <c r="B33" s="1512">
        <f t="shared" si="5"/>
        <v>0</v>
      </c>
      <c r="C33" s="1514"/>
      <c r="D33" s="1514"/>
      <c r="E33" s="1514"/>
      <c r="F33" s="1518"/>
      <c r="G33" s="1518"/>
      <c r="H33" s="1518"/>
      <c r="I33" s="1518"/>
      <c r="J33" s="1518"/>
      <c r="K33" s="1518"/>
      <c r="L33" s="1518"/>
      <c r="M33" s="1518"/>
      <c r="N33" s="1519"/>
    </row>
    <row r="34" spans="1:14" ht="12" customHeight="1" x14ac:dyDescent="0.3">
      <c r="A34" s="1374" t="s">
        <v>261</v>
      </c>
      <c r="B34" s="1512">
        <f t="shared" si="5"/>
        <v>0</v>
      </c>
      <c r="C34" s="1514"/>
      <c r="D34" s="1514"/>
      <c r="E34" s="1514"/>
      <c r="F34" s="1516"/>
      <c r="G34" s="1516"/>
      <c r="H34" s="1516"/>
      <c r="I34" s="1516"/>
      <c r="J34" s="1516"/>
      <c r="K34" s="1516"/>
      <c r="L34" s="1516"/>
      <c r="M34" s="1516"/>
      <c r="N34" s="1517"/>
    </row>
    <row r="35" spans="1:14" ht="12" customHeight="1" x14ac:dyDescent="0.3">
      <c r="A35" s="1376" t="s">
        <v>2060</v>
      </c>
      <c r="B35" s="1512">
        <f>B32+B28+B22</f>
        <v>1756269024</v>
      </c>
      <c r="C35" s="1512">
        <f t="shared" ref="C35:N35" si="8">C32+C28+C22</f>
        <v>118180365</v>
      </c>
      <c r="D35" s="1512">
        <f t="shared" si="8"/>
        <v>119180365</v>
      </c>
      <c r="E35" s="1512">
        <f t="shared" si="8"/>
        <v>149998070</v>
      </c>
      <c r="F35" s="1512">
        <f t="shared" si="8"/>
        <v>141642765</v>
      </c>
      <c r="G35" s="1512">
        <f t="shared" si="8"/>
        <v>186132245</v>
      </c>
      <c r="H35" s="1512">
        <f t="shared" si="8"/>
        <v>138142459</v>
      </c>
      <c r="I35" s="1512">
        <f t="shared" si="8"/>
        <v>128180366</v>
      </c>
      <c r="J35" s="1512">
        <f t="shared" si="8"/>
        <v>178654203</v>
      </c>
      <c r="K35" s="1512">
        <f t="shared" si="8"/>
        <v>179025621</v>
      </c>
      <c r="L35" s="1512">
        <f t="shared" si="8"/>
        <v>119589294</v>
      </c>
      <c r="M35" s="1512">
        <f t="shared" si="8"/>
        <v>179270825</v>
      </c>
      <c r="N35" s="1513">
        <f t="shared" si="8"/>
        <v>123393687</v>
      </c>
    </row>
    <row r="36" spans="1:14" ht="12" customHeight="1" x14ac:dyDescent="0.3">
      <c r="A36" s="1376" t="s">
        <v>2061</v>
      </c>
      <c r="B36" s="1512">
        <f t="shared" si="5"/>
        <v>96193309</v>
      </c>
      <c r="C36" s="1512"/>
      <c r="D36" s="1512"/>
      <c r="E36" s="1512">
        <v>24048328</v>
      </c>
      <c r="F36" s="1516"/>
      <c r="G36" s="1516"/>
      <c r="H36" s="1516">
        <v>24048328</v>
      </c>
      <c r="I36" s="1516"/>
      <c r="J36" s="1516"/>
      <c r="K36" s="1516">
        <v>24048328</v>
      </c>
      <c r="L36" s="1516"/>
      <c r="M36" s="1516"/>
      <c r="N36" s="1517">
        <v>24048325</v>
      </c>
    </row>
    <row r="37" spans="1:14" ht="12" customHeight="1" x14ac:dyDescent="0.3">
      <c r="A37" s="1376" t="s">
        <v>2062</v>
      </c>
      <c r="B37" s="1512"/>
      <c r="C37" s="1512"/>
      <c r="D37" s="1512"/>
      <c r="E37" s="1512"/>
      <c r="F37" s="1516"/>
      <c r="G37" s="1516"/>
      <c r="H37" s="1516"/>
      <c r="I37" s="1516"/>
      <c r="J37" s="1516"/>
      <c r="K37" s="1516"/>
      <c r="L37" s="1516"/>
      <c r="M37" s="1516"/>
      <c r="N37" s="1517"/>
    </row>
    <row r="38" spans="1:14" ht="12" customHeight="1" x14ac:dyDescent="0.3">
      <c r="A38" s="1376" t="s">
        <v>2063</v>
      </c>
      <c r="B38" s="1512">
        <f t="shared" si="5"/>
        <v>987564176</v>
      </c>
      <c r="C38" s="1520">
        <v>78673000</v>
      </c>
      <c r="D38" s="1520">
        <v>78673000</v>
      </c>
      <c r="E38" s="1520">
        <v>78673000</v>
      </c>
      <c r="F38" s="1520">
        <v>78673000</v>
      </c>
      <c r="G38" s="1520">
        <v>78673000</v>
      </c>
      <c r="H38" s="1520">
        <v>78673000</v>
      </c>
      <c r="I38" s="1520">
        <v>78673000</v>
      </c>
      <c r="J38" s="1520">
        <v>78673000</v>
      </c>
      <c r="K38" s="1520">
        <v>78673000</v>
      </c>
      <c r="L38" s="1520">
        <v>78673000</v>
      </c>
      <c r="M38" s="1520">
        <f>78673000+41518512+1972399</f>
        <v>122163911</v>
      </c>
      <c r="N38" s="1616">
        <v>78670265</v>
      </c>
    </row>
    <row r="39" spans="1:14" ht="12" customHeight="1" x14ac:dyDescent="0.3">
      <c r="A39" s="1376" t="s">
        <v>2064</v>
      </c>
      <c r="B39" s="1512">
        <f t="shared" si="5"/>
        <v>0</v>
      </c>
      <c r="C39" s="1521"/>
      <c r="D39" s="1521"/>
      <c r="E39" s="1521"/>
      <c r="F39" s="1516"/>
      <c r="G39" s="1516"/>
      <c r="H39" s="1516"/>
      <c r="I39" s="1516"/>
      <c r="J39" s="1516"/>
      <c r="K39" s="1516"/>
      <c r="L39" s="1516"/>
      <c r="M39" s="1516"/>
      <c r="N39" s="1517"/>
    </row>
    <row r="40" spans="1:14" s="408" customFormat="1" ht="12.9" customHeight="1" x14ac:dyDescent="0.25">
      <c r="A40" s="1376" t="s">
        <v>2065</v>
      </c>
      <c r="B40" s="1512">
        <f>SUM(B36:B39)</f>
        <v>1083757485</v>
      </c>
      <c r="C40" s="1512">
        <f t="shared" ref="C40:N40" si="9">SUM(C36:C39)</f>
        <v>78673000</v>
      </c>
      <c r="D40" s="1512">
        <f t="shared" si="9"/>
        <v>78673000</v>
      </c>
      <c r="E40" s="1512">
        <f t="shared" si="9"/>
        <v>102721328</v>
      </c>
      <c r="F40" s="1512">
        <f t="shared" si="9"/>
        <v>78673000</v>
      </c>
      <c r="G40" s="1512">
        <f t="shared" si="9"/>
        <v>78673000</v>
      </c>
      <c r="H40" s="1512">
        <f t="shared" si="9"/>
        <v>102721328</v>
      </c>
      <c r="I40" s="1512">
        <f t="shared" si="9"/>
        <v>78673000</v>
      </c>
      <c r="J40" s="1512">
        <f t="shared" si="9"/>
        <v>78673000</v>
      </c>
      <c r="K40" s="1512">
        <f t="shared" si="9"/>
        <v>102721328</v>
      </c>
      <c r="L40" s="1512">
        <f t="shared" si="9"/>
        <v>78673000</v>
      </c>
      <c r="M40" s="1512">
        <f t="shared" si="9"/>
        <v>122163911</v>
      </c>
      <c r="N40" s="1513">
        <f t="shared" si="9"/>
        <v>102718590</v>
      </c>
    </row>
    <row r="41" spans="1:14" ht="12.75" customHeight="1" thickBot="1" x14ac:dyDescent="0.35">
      <c r="A41" s="1377" t="s">
        <v>2066</v>
      </c>
      <c r="B41" s="1522">
        <f>B40+B35</f>
        <v>2840026509</v>
      </c>
      <c r="C41" s="1522">
        <f t="shared" ref="C41:N41" si="10">C40+C35</f>
        <v>196853365</v>
      </c>
      <c r="D41" s="1522">
        <f t="shared" si="10"/>
        <v>197853365</v>
      </c>
      <c r="E41" s="1522">
        <f t="shared" si="10"/>
        <v>252719398</v>
      </c>
      <c r="F41" s="1522">
        <f t="shared" si="10"/>
        <v>220315765</v>
      </c>
      <c r="G41" s="1522">
        <f t="shared" si="10"/>
        <v>264805245</v>
      </c>
      <c r="H41" s="1522">
        <f t="shared" si="10"/>
        <v>240863787</v>
      </c>
      <c r="I41" s="1522">
        <f t="shared" si="10"/>
        <v>206853366</v>
      </c>
      <c r="J41" s="1522">
        <f t="shared" si="10"/>
        <v>257327203</v>
      </c>
      <c r="K41" s="1522">
        <f t="shared" si="10"/>
        <v>281746949</v>
      </c>
      <c r="L41" s="1522">
        <f t="shared" si="10"/>
        <v>198262294</v>
      </c>
      <c r="M41" s="1522">
        <f t="shared" si="10"/>
        <v>301434736</v>
      </c>
      <c r="N41" s="1523">
        <f t="shared" si="10"/>
        <v>226112277</v>
      </c>
    </row>
    <row r="42" spans="1:14" ht="12.75" customHeight="1" x14ac:dyDescent="0.3">
      <c r="B42" s="811"/>
      <c r="C42" s="811"/>
      <c r="D42" s="1378"/>
    </row>
    <row r="43" spans="1:14" ht="12.75" customHeight="1" x14ac:dyDescent="0.3"/>
    <row r="47" spans="1:14" ht="7.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</sheetData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Header xml:space="preserve">&amp;R30. melléklet a 2/2020. (II.28.) önkormányzati rendelethez
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H61"/>
  <sheetViews>
    <sheetView view="pageLayout" zoomScaleNormal="100" zoomScaleSheetLayoutView="100" workbookViewId="0">
      <selection activeCell="J27" sqref="J27"/>
    </sheetView>
  </sheetViews>
  <sheetFormatPr defaultColWidth="9.33203125" defaultRowHeight="10.199999999999999" x14ac:dyDescent="0.2"/>
  <cols>
    <col min="1" max="1" width="35.109375" style="1380" customWidth="1"/>
    <col min="2" max="2" width="13.44140625" style="1380" customWidth="1"/>
    <col min="3" max="3" width="15" style="1380" customWidth="1"/>
    <col min="4" max="4" width="14.109375" style="1380" customWidth="1"/>
    <col min="5" max="5" width="14.44140625" style="1380" customWidth="1"/>
    <col min="6" max="6" width="9.33203125" style="1380"/>
    <col min="7" max="7" width="11.6640625" style="1380" bestFit="1" customWidth="1"/>
    <col min="8" max="16384" width="9.33203125" style="1380"/>
  </cols>
  <sheetData>
    <row r="1" spans="1:5" ht="10.8" thickBot="1" x14ac:dyDescent="0.25">
      <c r="A1" s="1690" t="s">
        <v>291</v>
      </c>
      <c r="B1" s="1379" t="s">
        <v>2067</v>
      </c>
      <c r="C1" s="1379" t="s">
        <v>2068</v>
      </c>
      <c r="D1" s="1379" t="s">
        <v>2069</v>
      </c>
      <c r="E1" s="1379" t="s">
        <v>2070</v>
      </c>
    </row>
    <row r="2" spans="1:5" ht="10.8" thickBot="1" x14ac:dyDescent="0.25">
      <c r="A2" s="1690"/>
      <c r="B2" s="1379" t="s">
        <v>2071</v>
      </c>
      <c r="C2" s="1379" t="s">
        <v>2071</v>
      </c>
      <c r="D2" s="1379" t="s">
        <v>2071</v>
      </c>
      <c r="E2" s="1379" t="s">
        <v>2071</v>
      </c>
    </row>
    <row r="3" spans="1:5" ht="10.8" thickBot="1" x14ac:dyDescent="0.25">
      <c r="A3" s="1381" t="s">
        <v>2072</v>
      </c>
      <c r="B3" s="1382">
        <f>B4+B10+B15</f>
        <v>1810416</v>
      </c>
      <c r="C3" s="1382">
        <f>C4+C10+C15</f>
        <v>1501000</v>
      </c>
      <c r="D3" s="1382">
        <f>D4+D10+D15</f>
        <v>1511000</v>
      </c>
      <c r="E3" s="1382">
        <f>E4+E10+E15</f>
        <v>1521000</v>
      </c>
    </row>
    <row r="4" spans="1:5" ht="10.8" thickBot="1" x14ac:dyDescent="0.25">
      <c r="A4" s="1381" t="s">
        <v>2073</v>
      </c>
      <c r="B4" s="1383">
        <f>SUM(B5:B9)</f>
        <v>1551810</v>
      </c>
      <c r="C4" s="1383">
        <f>SUM(C5:C9)</f>
        <v>1430000</v>
      </c>
      <c r="D4" s="1383">
        <f>SUM(D5:D9)</f>
        <v>1440000</v>
      </c>
      <c r="E4" s="1383">
        <f>SUM(E5:E9)</f>
        <v>1450000</v>
      </c>
    </row>
    <row r="5" spans="1:5" x14ac:dyDescent="0.2">
      <c r="A5" s="1384" t="s">
        <v>2074</v>
      </c>
      <c r="B5" s="1385">
        <v>551210</v>
      </c>
      <c r="C5" s="1385">
        <v>530000</v>
      </c>
      <c r="D5" s="1385">
        <v>530000</v>
      </c>
      <c r="E5" s="1385">
        <v>530000</v>
      </c>
    </row>
    <row r="6" spans="1:5" x14ac:dyDescent="0.2">
      <c r="A6" s="1384" t="s">
        <v>2075</v>
      </c>
      <c r="B6" s="1385">
        <v>30500</v>
      </c>
      <c r="C6" s="1385"/>
      <c r="D6" s="1385"/>
      <c r="E6" s="1385"/>
    </row>
    <row r="7" spans="1:5" x14ac:dyDescent="0.2">
      <c r="A7" s="1386" t="s">
        <v>2076</v>
      </c>
      <c r="B7" s="1387">
        <v>725000</v>
      </c>
      <c r="C7" s="1387">
        <v>700000</v>
      </c>
      <c r="D7" s="1387">
        <v>700000</v>
      </c>
      <c r="E7" s="1387">
        <v>700000</v>
      </c>
    </row>
    <row r="8" spans="1:5" x14ac:dyDescent="0.2">
      <c r="A8" s="1386" t="s">
        <v>2077</v>
      </c>
      <c r="B8" s="1387">
        <v>182000</v>
      </c>
      <c r="C8" s="1387">
        <v>200000</v>
      </c>
      <c r="D8" s="1387">
        <v>210000</v>
      </c>
      <c r="E8" s="1387">
        <v>220000</v>
      </c>
    </row>
    <row r="9" spans="1:5" ht="10.8" thickBot="1" x14ac:dyDescent="0.25">
      <c r="A9" s="1386" t="s">
        <v>2078</v>
      </c>
      <c r="B9" s="1387">
        <v>63100</v>
      </c>
      <c r="C9" s="1387">
        <v>0</v>
      </c>
      <c r="D9" s="1387">
        <v>0</v>
      </c>
      <c r="E9" s="1387"/>
    </row>
    <row r="10" spans="1:5" ht="10.8" thickBot="1" x14ac:dyDescent="0.25">
      <c r="A10" s="1381" t="s">
        <v>351</v>
      </c>
      <c r="B10" s="1383">
        <f>SUM(B11:B14)</f>
        <v>239780</v>
      </c>
      <c r="C10" s="1383">
        <f>SUM(C11:C13)</f>
        <v>55000</v>
      </c>
      <c r="D10" s="1383">
        <f>SUM(D11:D13)</f>
        <v>55000</v>
      </c>
      <c r="E10" s="1383">
        <f>SUM(E11:E13)</f>
        <v>55000</v>
      </c>
    </row>
    <row r="11" spans="1:5" x14ac:dyDescent="0.2">
      <c r="A11" s="1384" t="s">
        <v>2079</v>
      </c>
      <c r="B11" s="1385">
        <v>106800</v>
      </c>
      <c r="C11" s="1385">
        <v>25000</v>
      </c>
      <c r="D11" s="1385">
        <v>25000</v>
      </c>
      <c r="E11" s="1385">
        <v>25000</v>
      </c>
    </row>
    <row r="12" spans="1:5" x14ac:dyDescent="0.2">
      <c r="A12" s="1386" t="s">
        <v>2080</v>
      </c>
      <c r="B12" s="1387">
        <v>11000</v>
      </c>
      <c r="C12" s="1387">
        <v>20000</v>
      </c>
      <c r="D12" s="1387">
        <v>20000</v>
      </c>
      <c r="E12" s="1387">
        <v>20000</v>
      </c>
    </row>
    <row r="13" spans="1:5" x14ac:dyDescent="0.2">
      <c r="A13" s="1386" t="s">
        <v>2081</v>
      </c>
      <c r="B13" s="1387">
        <v>278</v>
      </c>
      <c r="C13" s="1387">
        <v>10000</v>
      </c>
      <c r="D13" s="1387">
        <v>10000</v>
      </c>
      <c r="E13" s="1387">
        <v>10000</v>
      </c>
    </row>
    <row r="14" spans="1:5" ht="10.8" thickBot="1" x14ac:dyDescent="0.25">
      <c r="A14" s="1388" t="s">
        <v>2082</v>
      </c>
      <c r="B14" s="1389">
        <v>121702</v>
      </c>
      <c r="C14" s="1389"/>
      <c r="D14" s="1389"/>
      <c r="E14" s="1389"/>
    </row>
    <row r="15" spans="1:5" ht="10.8" thickBot="1" x14ac:dyDescent="0.25">
      <c r="A15" s="1381" t="s">
        <v>2083</v>
      </c>
      <c r="B15" s="1383">
        <v>18826</v>
      </c>
      <c r="C15" s="1390">
        <v>16000</v>
      </c>
      <c r="D15" s="1390">
        <v>16000</v>
      </c>
      <c r="E15" s="1390">
        <v>16000</v>
      </c>
    </row>
    <row r="16" spans="1:5" ht="10.8" thickBot="1" x14ac:dyDescent="0.25">
      <c r="A16" s="1381" t="s">
        <v>2084</v>
      </c>
      <c r="B16" s="1383">
        <f>B17+B21+B22</f>
        <v>7919</v>
      </c>
      <c r="C16" s="1383">
        <f>C17+C21+C22</f>
        <v>1200</v>
      </c>
      <c r="D16" s="1383">
        <f>D17+D21+D22</f>
        <v>1200</v>
      </c>
      <c r="E16" s="1383">
        <f>E17+E21+E22</f>
        <v>1200</v>
      </c>
    </row>
    <row r="17" spans="1:8" ht="10.8" thickBot="1" x14ac:dyDescent="0.25">
      <c r="A17" s="1381" t="s">
        <v>2073</v>
      </c>
      <c r="B17" s="1383">
        <f>SUM(B18:B20)</f>
        <v>5809</v>
      </c>
      <c r="C17" s="1383">
        <f>SUM(C18:C20)</f>
        <v>1200</v>
      </c>
      <c r="D17" s="1383">
        <f>SUM(D18:D20)</f>
        <v>1200</v>
      </c>
      <c r="E17" s="1383">
        <f>SUM(E18:E20)</f>
        <v>1200</v>
      </c>
    </row>
    <row r="18" spans="1:8" x14ac:dyDescent="0.2">
      <c r="A18" s="1384" t="s">
        <v>2076</v>
      </c>
      <c r="B18" s="1385">
        <v>0</v>
      </c>
      <c r="C18" s="1385">
        <v>0</v>
      </c>
      <c r="D18" s="1385">
        <v>0</v>
      </c>
      <c r="E18" s="1385"/>
    </row>
    <row r="19" spans="1:8" x14ac:dyDescent="0.2">
      <c r="A19" s="1386" t="s">
        <v>2085</v>
      </c>
      <c r="B19" s="1387">
        <v>1143</v>
      </c>
      <c r="C19" s="1387">
        <v>1200</v>
      </c>
      <c r="D19" s="1387">
        <v>1200</v>
      </c>
      <c r="E19" s="1387">
        <v>1200</v>
      </c>
    </row>
    <row r="20" spans="1:8" ht="10.8" thickBot="1" x14ac:dyDescent="0.25">
      <c r="A20" s="1388" t="s">
        <v>2086</v>
      </c>
      <c r="B20" s="1389">
        <v>4666</v>
      </c>
      <c r="C20" s="1389">
        <v>0</v>
      </c>
      <c r="D20" s="1389">
        <v>0</v>
      </c>
      <c r="E20" s="1389"/>
    </row>
    <row r="21" spans="1:8" ht="10.8" thickBot="1" x14ac:dyDescent="0.25">
      <c r="A21" s="1381" t="s">
        <v>351</v>
      </c>
      <c r="B21" s="1390">
        <v>0</v>
      </c>
      <c r="C21" s="1390">
        <v>0</v>
      </c>
      <c r="D21" s="1390">
        <v>0</v>
      </c>
      <c r="E21" s="1390">
        <v>0</v>
      </c>
    </row>
    <row r="22" spans="1:8" ht="10.8" thickBot="1" x14ac:dyDescent="0.25">
      <c r="A22" s="1381" t="s">
        <v>2083</v>
      </c>
      <c r="B22" s="1390">
        <v>2110</v>
      </c>
      <c r="C22" s="1390">
        <v>0</v>
      </c>
      <c r="D22" s="1390">
        <v>0</v>
      </c>
      <c r="E22" s="1390">
        <v>0</v>
      </c>
    </row>
    <row r="23" spans="1:8" ht="10.8" thickBot="1" x14ac:dyDescent="0.25">
      <c r="A23" s="1381" t="s">
        <v>2087</v>
      </c>
      <c r="B23" s="1383">
        <f>B24+B27+B28</f>
        <v>49484</v>
      </c>
      <c r="C23" s="1383">
        <f>C24+C27+C28</f>
        <v>70000</v>
      </c>
      <c r="D23" s="1383">
        <f>D24+D27+D28</f>
        <v>70000</v>
      </c>
      <c r="E23" s="1383">
        <f>E24+E27+E28</f>
        <v>70000</v>
      </c>
    </row>
    <row r="24" spans="1:8" ht="10.8" thickBot="1" x14ac:dyDescent="0.25">
      <c r="A24" s="1381" t="s">
        <v>2073</v>
      </c>
      <c r="B24" s="1383">
        <f>SUM(B25:B26)</f>
        <v>48575</v>
      </c>
      <c r="C24" s="1383">
        <f>SUM(C25:C26)</f>
        <v>70000</v>
      </c>
      <c r="D24" s="1383">
        <f>SUM(D25:D26)</f>
        <v>70000</v>
      </c>
      <c r="E24" s="1383">
        <f>SUM(E25:E26)</f>
        <v>70000</v>
      </c>
    </row>
    <row r="25" spans="1:8" x14ac:dyDescent="0.2">
      <c r="A25" s="1384" t="s">
        <v>2088</v>
      </c>
      <c r="B25" s="1385"/>
      <c r="C25" s="1385"/>
      <c r="D25" s="1385"/>
      <c r="E25" s="1385"/>
    </row>
    <row r="26" spans="1:8" ht="10.8" thickBot="1" x14ac:dyDescent="0.25">
      <c r="A26" s="1388" t="s">
        <v>2085</v>
      </c>
      <c r="B26" s="1389">
        <v>48575</v>
      </c>
      <c r="C26" s="1389">
        <v>70000</v>
      </c>
      <c r="D26" s="1389">
        <v>70000</v>
      </c>
      <c r="E26" s="1389">
        <v>70000</v>
      </c>
    </row>
    <row r="27" spans="1:8" ht="10.8" thickBot="1" x14ac:dyDescent="0.25">
      <c r="A27" s="1381" t="s">
        <v>351</v>
      </c>
      <c r="B27" s="1390">
        <v>0</v>
      </c>
      <c r="C27" s="1390"/>
      <c r="D27" s="1390"/>
      <c r="E27" s="1390"/>
    </row>
    <row r="28" spans="1:8" ht="10.8" thickBot="1" x14ac:dyDescent="0.25">
      <c r="A28" s="1381" t="s">
        <v>2083</v>
      </c>
      <c r="B28" s="1390">
        <v>909</v>
      </c>
      <c r="C28" s="1390"/>
      <c r="D28" s="1390"/>
      <c r="E28" s="1390"/>
    </row>
    <row r="29" spans="1:8" ht="10.8" thickBot="1" x14ac:dyDescent="0.25">
      <c r="A29" s="1391" t="s">
        <v>2089</v>
      </c>
      <c r="B29" s="1392">
        <f>B23+B16+B3</f>
        <v>1867819</v>
      </c>
      <c r="C29" s="1392">
        <f>C23+C16+C3</f>
        <v>1572200</v>
      </c>
      <c r="D29" s="1392">
        <f>D23+D16+D3</f>
        <v>1582200</v>
      </c>
      <c r="E29" s="1392">
        <f>E23+E16+E3</f>
        <v>1592200</v>
      </c>
      <c r="H29" s="1393"/>
    </row>
    <row r="30" spans="1:8" ht="10.8" thickBot="1" x14ac:dyDescent="0.25">
      <c r="E30" s="1394" t="s">
        <v>2090</v>
      </c>
    </row>
    <row r="31" spans="1:8" ht="10.8" thickBot="1" x14ac:dyDescent="0.25">
      <c r="A31" s="1691" t="s">
        <v>292</v>
      </c>
      <c r="B31" s="1395" t="s">
        <v>1795</v>
      </c>
      <c r="C31" s="1395" t="s">
        <v>2091</v>
      </c>
      <c r="D31" s="1396" t="s">
        <v>2092</v>
      </c>
      <c r="E31" s="1396" t="s">
        <v>2093</v>
      </c>
    </row>
    <row r="32" spans="1:8" ht="10.8" thickBot="1" x14ac:dyDescent="0.25">
      <c r="A32" s="1691"/>
      <c r="B32" s="1396" t="s">
        <v>2071</v>
      </c>
      <c r="C32" s="1396" t="s">
        <v>2071</v>
      </c>
      <c r="D32" s="1396" t="s">
        <v>2071</v>
      </c>
      <c r="E32" s="1396" t="s">
        <v>2071</v>
      </c>
    </row>
    <row r="33" spans="1:5" ht="10.8" thickBot="1" x14ac:dyDescent="0.25">
      <c r="A33" s="1381" t="s">
        <v>2094</v>
      </c>
      <c r="B33" s="1395">
        <f>B34+B40+B44+B45</f>
        <v>838209</v>
      </c>
      <c r="C33" s="1395">
        <f>C34+C40+C44+C45</f>
        <v>630200</v>
      </c>
      <c r="D33" s="1395">
        <f>D34+D40+D44+D45</f>
        <v>640200</v>
      </c>
      <c r="E33" s="1395">
        <f>E34+E40+E44+E45</f>
        <v>640200</v>
      </c>
    </row>
    <row r="34" spans="1:5" ht="10.8" thickBot="1" x14ac:dyDescent="0.25">
      <c r="A34" s="1397" t="s">
        <v>2095</v>
      </c>
      <c r="B34" s="1395">
        <f>SUM(B35:B39)</f>
        <v>540087</v>
      </c>
      <c r="C34" s="1395">
        <f>SUM(C35:C39)</f>
        <v>400200</v>
      </c>
      <c r="D34" s="1395">
        <f>SUM(D35:D39)</f>
        <v>410200</v>
      </c>
      <c r="E34" s="1395">
        <f>SUM(E35:E39)</f>
        <v>415200</v>
      </c>
    </row>
    <row r="35" spans="1:5" x14ac:dyDescent="0.2">
      <c r="A35" s="1398" t="s">
        <v>2096</v>
      </c>
      <c r="B35" s="1385">
        <v>60141</v>
      </c>
      <c r="C35" s="1385">
        <v>56000</v>
      </c>
      <c r="D35" s="1385">
        <v>56000</v>
      </c>
      <c r="E35" s="1385">
        <v>60000</v>
      </c>
    </row>
    <row r="36" spans="1:5" x14ac:dyDescent="0.2">
      <c r="A36" s="1399" t="s">
        <v>2097</v>
      </c>
      <c r="B36" s="1387">
        <v>11358</v>
      </c>
      <c r="C36" s="1387">
        <v>11000</v>
      </c>
      <c r="D36" s="1387">
        <v>11000</v>
      </c>
      <c r="E36" s="1387">
        <v>11000</v>
      </c>
    </row>
    <row r="37" spans="1:5" x14ac:dyDescent="0.2">
      <c r="A37" s="1399" t="s">
        <v>2098</v>
      </c>
      <c r="B37" s="1387">
        <v>373142</v>
      </c>
      <c r="C37" s="1387">
        <v>300000</v>
      </c>
      <c r="D37" s="1387">
        <v>310200</v>
      </c>
      <c r="E37" s="1387">
        <v>311200</v>
      </c>
    </row>
    <row r="38" spans="1:5" x14ac:dyDescent="0.2">
      <c r="A38" s="1386" t="s">
        <v>2099</v>
      </c>
      <c r="B38" s="1387">
        <v>9562</v>
      </c>
      <c r="C38" s="1387">
        <v>11000</v>
      </c>
      <c r="D38" s="1387">
        <v>11000</v>
      </c>
      <c r="E38" s="1387">
        <v>11000</v>
      </c>
    </row>
    <row r="39" spans="1:5" ht="10.8" thickBot="1" x14ac:dyDescent="0.25">
      <c r="A39" s="1399" t="s">
        <v>2100</v>
      </c>
      <c r="B39" s="1387">
        <v>85884</v>
      </c>
      <c r="C39" s="1387">
        <v>22200</v>
      </c>
      <c r="D39" s="1387">
        <v>22000</v>
      </c>
      <c r="E39" s="1387">
        <v>22000</v>
      </c>
    </row>
    <row r="40" spans="1:5" ht="10.8" thickBot="1" x14ac:dyDescent="0.25">
      <c r="A40" s="1397" t="s">
        <v>2101</v>
      </c>
      <c r="B40" s="1383">
        <f>SUM(B41:B43)</f>
        <v>186572</v>
      </c>
      <c r="C40" s="1383">
        <f>SUM(C41:C43)</f>
        <v>125000</v>
      </c>
      <c r="D40" s="1383">
        <f>SUM(D41:D43)</f>
        <v>125000</v>
      </c>
      <c r="E40" s="1383">
        <f>SUM(E41:E43)</f>
        <v>120000</v>
      </c>
    </row>
    <row r="41" spans="1:5" x14ac:dyDescent="0.2">
      <c r="A41" s="1384" t="s">
        <v>2102</v>
      </c>
      <c r="B41" s="1385">
        <v>52404</v>
      </c>
      <c r="C41" s="1385">
        <v>100000</v>
      </c>
      <c r="D41" s="1385">
        <v>100000</v>
      </c>
      <c r="E41" s="1385">
        <v>105000</v>
      </c>
    </row>
    <row r="42" spans="1:5" x14ac:dyDescent="0.2">
      <c r="A42" s="1386" t="s">
        <v>2103</v>
      </c>
      <c r="B42" s="1387">
        <v>122365</v>
      </c>
      <c r="C42" s="1387">
        <v>20000</v>
      </c>
      <c r="D42" s="1387">
        <v>20000</v>
      </c>
      <c r="E42" s="1387">
        <v>10000</v>
      </c>
    </row>
    <row r="43" spans="1:5" ht="10.8" thickBot="1" x14ac:dyDescent="0.25">
      <c r="A43" s="1386" t="s">
        <v>2104</v>
      </c>
      <c r="B43" s="1387">
        <v>11803</v>
      </c>
      <c r="C43" s="1387">
        <v>5000</v>
      </c>
      <c r="D43" s="1387">
        <v>5000</v>
      </c>
      <c r="E43" s="1387">
        <v>5000</v>
      </c>
    </row>
    <row r="44" spans="1:5" ht="10.8" thickBot="1" x14ac:dyDescent="0.25">
      <c r="A44" s="1381" t="s">
        <v>2105</v>
      </c>
      <c r="B44" s="1383">
        <v>111550</v>
      </c>
      <c r="C44" s="1383">
        <v>95000</v>
      </c>
      <c r="D44" s="1383">
        <v>95000</v>
      </c>
      <c r="E44" s="1383">
        <v>95000</v>
      </c>
    </row>
    <row r="45" spans="1:5" ht="10.8" thickBot="1" x14ac:dyDescent="0.25">
      <c r="A45" s="1381" t="s">
        <v>306</v>
      </c>
      <c r="B45" s="1383"/>
      <c r="C45" s="1383">
        <v>10000</v>
      </c>
      <c r="D45" s="1383">
        <v>10000</v>
      </c>
      <c r="E45" s="1383">
        <v>10000</v>
      </c>
    </row>
    <row r="46" spans="1:5" ht="10.8" thickBot="1" x14ac:dyDescent="0.25">
      <c r="A46" s="1381" t="s">
        <v>2106</v>
      </c>
      <c r="B46" s="1383">
        <f>B47+B51+B52</f>
        <v>418149</v>
      </c>
      <c r="C46" s="1383">
        <f>C47+C51+C52</f>
        <v>347000</v>
      </c>
      <c r="D46" s="1383">
        <f>D47+D51+D52</f>
        <v>347000</v>
      </c>
      <c r="E46" s="1534">
        <f>E47+E51+E52</f>
        <v>347000</v>
      </c>
    </row>
    <row r="47" spans="1:5" ht="10.8" thickBot="1" x14ac:dyDescent="0.25">
      <c r="A47" s="1381" t="s">
        <v>2095</v>
      </c>
      <c r="B47" s="1383">
        <f>SUM(B48:B50)</f>
        <v>412662</v>
      </c>
      <c r="C47" s="1383">
        <f>SUM(C48:C50)</f>
        <v>342000</v>
      </c>
      <c r="D47" s="1383">
        <f>SUM(D48:D50)</f>
        <v>342000</v>
      </c>
      <c r="E47" s="1383">
        <f>SUM(E48:E50)</f>
        <v>342000</v>
      </c>
    </row>
    <row r="48" spans="1:5" x14ac:dyDescent="0.2">
      <c r="A48" s="1384" t="s">
        <v>2096</v>
      </c>
      <c r="B48" s="1385">
        <v>259655</v>
      </c>
      <c r="C48" s="1385">
        <v>245000</v>
      </c>
      <c r="D48" s="1385">
        <v>245000</v>
      </c>
      <c r="E48" s="1385">
        <v>245000</v>
      </c>
    </row>
    <row r="49" spans="1:7" x14ac:dyDescent="0.2">
      <c r="A49" s="1386" t="s">
        <v>2097</v>
      </c>
      <c r="B49" s="1387">
        <v>51824</v>
      </c>
      <c r="C49" s="1387">
        <v>52000</v>
      </c>
      <c r="D49" s="1387">
        <v>52000</v>
      </c>
      <c r="E49" s="1387">
        <v>52000</v>
      </c>
    </row>
    <row r="50" spans="1:7" ht="10.8" thickBot="1" x14ac:dyDescent="0.25">
      <c r="A50" s="1388" t="s">
        <v>2098</v>
      </c>
      <c r="B50" s="1389">
        <f>100080+1103</f>
        <v>101183</v>
      </c>
      <c r="C50" s="1389">
        <v>45000</v>
      </c>
      <c r="D50" s="1389">
        <v>45000</v>
      </c>
      <c r="E50" s="1389">
        <v>45000</v>
      </c>
    </row>
    <row r="51" spans="1:7" ht="10.8" thickBot="1" x14ac:dyDescent="0.25">
      <c r="A51" s="1381" t="s">
        <v>2101</v>
      </c>
      <c r="B51" s="1383">
        <v>5487</v>
      </c>
      <c r="C51" s="1383">
        <v>5000</v>
      </c>
      <c r="D51" s="1383">
        <v>5000</v>
      </c>
      <c r="E51" s="1383">
        <v>5000</v>
      </c>
    </row>
    <row r="52" spans="1:7" ht="10.8" thickBot="1" x14ac:dyDescent="0.25">
      <c r="A52" s="1381" t="s">
        <v>2105</v>
      </c>
      <c r="B52" s="1390">
        <v>0</v>
      </c>
      <c r="C52" s="1390"/>
      <c r="D52" s="1390"/>
      <c r="E52" s="1390"/>
    </row>
    <row r="53" spans="1:7" ht="10.8" thickBot="1" x14ac:dyDescent="0.25">
      <c r="A53" s="1381" t="s">
        <v>2107</v>
      </c>
      <c r="B53" s="1383">
        <f>B54+B58+B59</f>
        <v>611461</v>
      </c>
      <c r="C53" s="1383">
        <f>C54+C58+C59</f>
        <v>595000</v>
      </c>
      <c r="D53" s="1383">
        <f>D54+D58+D59</f>
        <v>595000</v>
      </c>
      <c r="E53" s="1383">
        <f>E54+E58+E59</f>
        <v>605000</v>
      </c>
    </row>
    <row r="54" spans="1:7" ht="10.8" thickBot="1" x14ac:dyDescent="0.25">
      <c r="A54" s="1381" t="s">
        <v>2095</v>
      </c>
      <c r="B54" s="1383">
        <f>SUM(B55:B57)</f>
        <v>601910</v>
      </c>
      <c r="C54" s="1383">
        <f>SUM(C55:C57)</f>
        <v>585000</v>
      </c>
      <c r="D54" s="1383">
        <f>SUM(D55:D57)</f>
        <v>585000</v>
      </c>
      <c r="E54" s="1383">
        <f>SUM(E55:E57)</f>
        <v>585000</v>
      </c>
    </row>
    <row r="55" spans="1:7" x14ac:dyDescent="0.2">
      <c r="A55" s="1384" t="s">
        <v>2096</v>
      </c>
      <c r="B55" s="1385">
        <v>374842</v>
      </c>
      <c r="C55" s="1385">
        <v>360000</v>
      </c>
      <c r="D55" s="1385">
        <v>360000</v>
      </c>
      <c r="E55" s="1385">
        <v>360000</v>
      </c>
    </row>
    <row r="56" spans="1:7" x14ac:dyDescent="0.2">
      <c r="A56" s="1386" t="s">
        <v>2097</v>
      </c>
      <c r="B56" s="1387">
        <v>77628</v>
      </c>
      <c r="C56" s="1387">
        <v>75000</v>
      </c>
      <c r="D56" s="1387">
        <v>75000</v>
      </c>
      <c r="E56" s="1387">
        <v>75000</v>
      </c>
    </row>
    <row r="57" spans="1:7" ht="10.8" thickBot="1" x14ac:dyDescent="0.25">
      <c r="A57" s="1388" t="s">
        <v>2098</v>
      </c>
      <c r="B57" s="1389">
        <v>149440</v>
      </c>
      <c r="C57" s="1389">
        <v>150000</v>
      </c>
      <c r="D57" s="1389">
        <v>150000</v>
      </c>
      <c r="E57" s="1389">
        <v>150000</v>
      </c>
    </row>
    <row r="58" spans="1:7" ht="10.8" thickBot="1" x14ac:dyDescent="0.25">
      <c r="A58" s="1381" t="s">
        <v>2108</v>
      </c>
      <c r="B58" s="1383">
        <v>9551</v>
      </c>
      <c r="C58" s="1383">
        <v>10000</v>
      </c>
      <c r="D58" s="1383">
        <v>10000</v>
      </c>
      <c r="E58" s="1383">
        <v>20000</v>
      </c>
    </row>
    <row r="59" spans="1:7" ht="10.8" thickBot="1" x14ac:dyDescent="0.25">
      <c r="A59" s="1381" t="s">
        <v>2105</v>
      </c>
      <c r="B59" s="1390">
        <v>0</v>
      </c>
      <c r="C59" s="1390"/>
      <c r="D59" s="1390"/>
      <c r="E59" s="1390"/>
    </row>
    <row r="60" spans="1:7" ht="10.8" thickBot="1" x14ac:dyDescent="0.25">
      <c r="A60" s="1381" t="s">
        <v>306</v>
      </c>
      <c r="B60" s="1390"/>
      <c r="C60" s="1390">
        <v>0</v>
      </c>
      <c r="D60" s="1390">
        <v>0</v>
      </c>
      <c r="E60" s="1390">
        <v>0</v>
      </c>
    </row>
    <row r="61" spans="1:7" ht="10.8" thickBot="1" x14ac:dyDescent="0.25">
      <c r="A61" s="1391" t="s">
        <v>415</v>
      </c>
      <c r="B61" s="1400">
        <f>B60+B53+B46+B33</f>
        <v>1867819</v>
      </c>
      <c r="C61" s="1400">
        <f>C53+C46+C33</f>
        <v>1572200</v>
      </c>
      <c r="D61" s="1400">
        <f>D53+D46+D33</f>
        <v>1582200</v>
      </c>
      <c r="E61" s="1400">
        <f>E53+E46+E33</f>
        <v>1592200</v>
      </c>
      <c r="G61" s="1401">
        <f>B61-B29</f>
        <v>0</v>
      </c>
    </row>
  </sheetData>
  <mergeCells count="2">
    <mergeCell ref="A1:A2"/>
    <mergeCell ref="A31:A32"/>
  </mergeCells>
  <pageMargins left="0.7" right="0.7" top="0.75" bottom="0.75" header="0.3" footer="0.3"/>
  <pageSetup paperSize="9" orientation="portrait" r:id="rId1"/>
  <headerFooter>
    <oddHeader xml:space="preserve">&amp;R4. melléklet a 2/2020. (II.28.) önkormányzati rendelethez
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  <pageSetUpPr fitToPage="1"/>
  </sheetPr>
  <dimension ref="A1:E38"/>
  <sheetViews>
    <sheetView topLeftCell="A10" zoomScaleNormal="100" zoomScaleSheetLayoutView="115" workbookViewId="0">
      <selection activeCell="A6" sqref="A6"/>
    </sheetView>
  </sheetViews>
  <sheetFormatPr defaultColWidth="9.33203125" defaultRowHeight="13.2" x14ac:dyDescent="0.25"/>
  <cols>
    <col min="1" max="1" width="46.33203125" style="305" customWidth="1"/>
    <col min="2" max="2" width="13.77734375" style="305" customWidth="1"/>
    <col min="3" max="3" width="66.109375" style="305" customWidth="1"/>
    <col min="4" max="5" width="13.77734375" style="305" customWidth="1"/>
    <col min="6" max="16384" width="9.33203125" style="305"/>
  </cols>
  <sheetData>
    <row r="1" spans="1:5" ht="17.399999999999999" x14ac:dyDescent="0.3">
      <c r="A1" s="485" t="s">
        <v>0</v>
      </c>
      <c r="E1" s="491" t="s">
        <v>380</v>
      </c>
    </row>
    <row r="3" spans="1:5" x14ac:dyDescent="0.25">
      <c r="A3" s="486"/>
      <c r="B3" s="492"/>
      <c r="C3" s="486"/>
      <c r="D3" s="493"/>
      <c r="E3" s="492"/>
    </row>
    <row r="4" spans="1:5" ht="15.6" x14ac:dyDescent="0.3">
      <c r="A4" s="460" t="str">
        <f>+ÖSSZEFÜGGÉSEK!A4</f>
        <v>2016. évi eredeti előirányzat BEVÉTELEK</v>
      </c>
      <c r="B4" s="494"/>
      <c r="C4" s="487"/>
      <c r="D4" s="493"/>
      <c r="E4" s="492"/>
    </row>
    <row r="5" spans="1:5" x14ac:dyDescent="0.25">
      <c r="A5" s="486"/>
      <c r="B5" s="492"/>
      <c r="C5" s="486"/>
      <c r="D5" s="493"/>
      <c r="E5" s="492"/>
    </row>
    <row r="6" spans="1:5" x14ac:dyDescent="0.25">
      <c r="A6" s="486" t="s">
        <v>1</v>
      </c>
      <c r="B6" s="492">
        <f>+'1_2_Mindösszesen'!C61</f>
        <v>1598798405</v>
      </c>
      <c r="C6" s="486" t="s">
        <v>2</v>
      </c>
      <c r="D6" s="493">
        <f>+'Működési bev.és kiad.mérlege'!C18+'Felhalm. bev.és kiad.mérlege'!C17</f>
        <v>1598798405</v>
      </c>
      <c r="E6" s="492">
        <f>+B6-D6</f>
        <v>0</v>
      </c>
    </row>
    <row r="7" spans="1:5" x14ac:dyDescent="0.25">
      <c r="A7" s="486" t="s">
        <v>3</v>
      </c>
      <c r="B7" s="492">
        <f>+'1_2_Mindösszesen'!C84</f>
        <v>929530833</v>
      </c>
      <c r="C7" s="486" t="s">
        <v>4</v>
      </c>
      <c r="D7" s="493">
        <f>+'Működési bev.és kiad.mérlege'!C27+'Felhalm. bev.és kiad.mérlege'!C30</f>
        <v>14837945</v>
      </c>
      <c r="E7" s="492">
        <f>+B7-D7</f>
        <v>914692888</v>
      </c>
    </row>
    <row r="8" spans="1:5" x14ac:dyDescent="0.25">
      <c r="A8" s="486" t="s">
        <v>5</v>
      </c>
      <c r="B8" s="492">
        <f>+'1_2_Mindösszesen'!C85</f>
        <v>2528329238</v>
      </c>
      <c r="C8" s="486" t="s">
        <v>6</v>
      </c>
      <c r="D8" s="493">
        <f>+'Működési bev.és kiad.mérlege'!C28+'Felhalm. bev.és kiad.mérlege'!C31</f>
        <v>1613636350</v>
      </c>
      <c r="E8" s="492">
        <f>+B8-D8</f>
        <v>914692888</v>
      </c>
    </row>
    <row r="9" spans="1:5" x14ac:dyDescent="0.25">
      <c r="A9" s="486"/>
      <c r="B9" s="492"/>
      <c r="C9" s="486"/>
      <c r="D9" s="493"/>
      <c r="E9" s="492"/>
    </row>
    <row r="10" spans="1:5" ht="15.6" x14ac:dyDescent="0.3">
      <c r="A10" s="460" t="str">
        <f>+ÖSSZEFÜGGÉSEK!A10</f>
        <v>2016. évi módosított előirányzat BEVÉTELEK</v>
      </c>
      <c r="B10" s="494"/>
      <c r="C10" s="487"/>
      <c r="D10" s="493"/>
      <c r="E10" s="492"/>
    </row>
    <row r="11" spans="1:5" x14ac:dyDescent="0.25">
      <c r="A11" s="486"/>
      <c r="B11" s="492"/>
      <c r="C11" s="486"/>
      <c r="D11" s="493"/>
      <c r="E11" s="492"/>
    </row>
    <row r="12" spans="1:5" x14ac:dyDescent="0.25">
      <c r="A12" s="486" t="s">
        <v>7</v>
      </c>
      <c r="B12" s="492">
        <f>+'1_2_Mindösszesen'!E61</f>
        <v>1695209139</v>
      </c>
      <c r="C12" s="486" t="s">
        <v>8</v>
      </c>
      <c r="D12" s="493">
        <f>+'Működési bev.és kiad.mérlege'!D18+'Felhalm. bev.és kiad.mérlege'!D17</f>
        <v>1695209139</v>
      </c>
      <c r="E12" s="492">
        <f>+B12-D12</f>
        <v>0</v>
      </c>
    </row>
    <row r="13" spans="1:5" x14ac:dyDescent="0.25">
      <c r="A13" s="486" t="s">
        <v>9</v>
      </c>
      <c r="B13" s="492">
        <f>+'1_2_Mindösszesen'!E84</f>
        <v>1066646921</v>
      </c>
      <c r="C13" s="486" t="s">
        <v>10</v>
      </c>
      <c r="D13" s="493">
        <f>+'Működési bev.és kiad.mérlege'!D27+'Felhalm. bev.és kiad.mérlege'!D30</f>
        <v>123812622</v>
      </c>
      <c r="E13" s="492">
        <f>+B13-D13</f>
        <v>942834299</v>
      </c>
    </row>
    <row r="14" spans="1:5" x14ac:dyDescent="0.25">
      <c r="A14" s="486" t="s">
        <v>11</v>
      </c>
      <c r="B14" s="492">
        <f>+'1_2_Mindösszesen'!E85</f>
        <v>2761856060</v>
      </c>
      <c r="C14" s="486" t="s">
        <v>12</v>
      </c>
      <c r="D14" s="493">
        <f>+'Működési bev.és kiad.mérlege'!D28+'Felhalm. bev.és kiad.mérlege'!D31</f>
        <v>1819021761</v>
      </c>
      <c r="E14" s="492">
        <f>+B14-D14</f>
        <v>942834299</v>
      </c>
    </row>
    <row r="15" spans="1:5" x14ac:dyDescent="0.25">
      <c r="A15" s="486"/>
      <c r="B15" s="492"/>
      <c r="C15" s="486"/>
      <c r="D15" s="493"/>
      <c r="E15" s="492"/>
    </row>
    <row r="16" spans="1:5" ht="13.8" x14ac:dyDescent="0.25">
      <c r="A16" s="495" t="str">
        <f>+ÖSSZEFÜGGÉSEK!A16</f>
        <v>2016. évi teljesítés BEVÉTELEK</v>
      </c>
      <c r="B16" s="459"/>
      <c r="C16" s="487"/>
      <c r="D16" s="493"/>
      <c r="E16" s="492"/>
    </row>
    <row r="17" spans="1:5" x14ac:dyDescent="0.25">
      <c r="A17" s="486"/>
      <c r="B17" s="492"/>
      <c r="C17" s="486"/>
      <c r="D17" s="493"/>
      <c r="E17" s="492"/>
    </row>
    <row r="18" spans="1:5" x14ac:dyDescent="0.25">
      <c r="A18" s="486" t="s">
        <v>13</v>
      </c>
      <c r="B18" s="492" t="e">
        <f>+'1_2_Mindösszesen'!#REF!</f>
        <v>#REF!</v>
      </c>
      <c r="C18" s="486" t="s">
        <v>14</v>
      </c>
      <c r="D18" s="493" t="e">
        <f>+'Működési bev.és kiad.mérlege'!E18+'Felhalm. bev.és kiad.mérlege'!E17</f>
        <v>#REF!</v>
      </c>
      <c r="E18" s="492" t="e">
        <f>+B18-D18</f>
        <v>#REF!</v>
      </c>
    </row>
    <row r="19" spans="1:5" x14ac:dyDescent="0.25">
      <c r="A19" s="486" t="s">
        <v>15</v>
      </c>
      <c r="B19" s="492" t="e">
        <f>+'1_2_Mindösszesen'!#REF!</f>
        <v>#REF!</v>
      </c>
      <c r="C19" s="486" t="s">
        <v>16</v>
      </c>
      <c r="D19" s="493" t="e">
        <f>+'Működési bev.és kiad.mérlege'!E27+'Felhalm. bev.és kiad.mérlege'!E30</f>
        <v>#REF!</v>
      </c>
      <c r="E19" s="492" t="e">
        <f>+B19-D19</f>
        <v>#REF!</v>
      </c>
    </row>
    <row r="20" spans="1:5" x14ac:dyDescent="0.25">
      <c r="A20" s="486" t="s">
        <v>17</v>
      </c>
      <c r="B20" s="492" t="e">
        <f>+'1_2_Mindösszesen'!#REF!</f>
        <v>#REF!</v>
      </c>
      <c r="C20" s="486" t="s">
        <v>18</v>
      </c>
      <c r="D20" s="493" t="e">
        <f>+'Működési bev.és kiad.mérlege'!E28+'Felhalm. bev.és kiad.mérlege'!E31</f>
        <v>#REF!</v>
      </c>
      <c r="E20" s="492" t="e">
        <f>+B20-D20</f>
        <v>#REF!</v>
      </c>
    </row>
    <row r="21" spans="1:5" x14ac:dyDescent="0.25">
      <c r="A21" s="486"/>
      <c r="B21" s="492"/>
      <c r="C21" s="486"/>
      <c r="D21" s="493"/>
      <c r="E21" s="492"/>
    </row>
    <row r="22" spans="1:5" ht="15.6" x14ac:dyDescent="0.3">
      <c r="A22" s="460" t="str">
        <f>+ÖSSZEFÜGGÉSEK!A22</f>
        <v>2016. évi eredeti előirányzat KIADÁSOK</v>
      </c>
      <c r="B22" s="494"/>
      <c r="C22" s="487"/>
      <c r="D22" s="493"/>
      <c r="E22" s="492"/>
    </row>
    <row r="23" spans="1:5" x14ac:dyDescent="0.25">
      <c r="A23" s="486"/>
      <c r="B23" s="492"/>
      <c r="C23" s="486"/>
      <c r="D23" s="493"/>
      <c r="E23" s="492"/>
    </row>
    <row r="24" spans="1:5" x14ac:dyDescent="0.25">
      <c r="A24" s="486" t="s">
        <v>19</v>
      </c>
      <c r="B24" s="492">
        <f>+'1_2_Mindösszesen'!C125</f>
        <v>1515294503</v>
      </c>
      <c r="C24" s="486" t="s">
        <v>20</v>
      </c>
      <c r="D24" s="493">
        <f>+'Működési bev.és kiad.mérlege'!G18+'Felhalm. bev.és kiad.mérlege'!G17</f>
        <v>1507647503</v>
      </c>
      <c r="E24" s="492">
        <f>+B24-D24</f>
        <v>7647000</v>
      </c>
    </row>
    <row r="25" spans="1:5" x14ac:dyDescent="0.25">
      <c r="A25" s="486" t="s">
        <v>21</v>
      </c>
      <c r="B25" s="492">
        <f>+'1_2_Mindösszesen'!C145</f>
        <v>1013034735</v>
      </c>
      <c r="C25" s="486" t="s">
        <v>22</v>
      </c>
      <c r="D25" s="493">
        <f>+'Működési bev.és kiad.mérlege'!G27+'Felhalm. bev.és kiad.mérlege'!G30</f>
        <v>0</v>
      </c>
      <c r="E25" s="492">
        <f>+B25-D25</f>
        <v>1013034735</v>
      </c>
    </row>
    <row r="26" spans="1:5" x14ac:dyDescent="0.25">
      <c r="A26" s="486" t="s">
        <v>23</v>
      </c>
      <c r="B26" s="492">
        <f>+'1_2_Mindösszesen'!C146</f>
        <v>2528329238</v>
      </c>
      <c r="C26" s="486" t="s">
        <v>24</v>
      </c>
      <c r="D26" s="493">
        <f>+'Működési bev.és kiad.mérlege'!G28+'Felhalm. bev.és kiad.mérlege'!G31</f>
        <v>1507647503</v>
      </c>
      <c r="E26" s="492">
        <f>+B26-D26</f>
        <v>1020681735</v>
      </c>
    </row>
    <row r="27" spans="1:5" x14ac:dyDescent="0.25">
      <c r="A27" s="486"/>
      <c r="B27" s="492"/>
      <c r="C27" s="486"/>
      <c r="D27" s="493"/>
      <c r="E27" s="492"/>
    </row>
    <row r="28" spans="1:5" ht="15.6" x14ac:dyDescent="0.3">
      <c r="A28" s="460" t="str">
        <f>+ÖSSZEFÜGGÉSEK!A28</f>
        <v>2016. évi módosított előirányzat KIADÁSOK</v>
      </c>
      <c r="B28" s="494"/>
      <c r="C28" s="487"/>
      <c r="D28" s="493"/>
      <c r="E28" s="492"/>
    </row>
    <row r="29" spans="1:5" x14ac:dyDescent="0.25">
      <c r="A29" s="486"/>
      <c r="B29" s="492"/>
      <c r="C29" s="486"/>
      <c r="D29" s="493"/>
      <c r="E29" s="492"/>
    </row>
    <row r="30" spans="1:5" x14ac:dyDescent="0.25">
      <c r="A30" s="486" t="s">
        <v>25</v>
      </c>
      <c r="B30" s="492">
        <f>+'1_2_Mindösszesen'!E125</f>
        <v>1721589486</v>
      </c>
      <c r="C30" s="486" t="s">
        <v>26</v>
      </c>
      <c r="D30" s="493">
        <f>+'Működési bev.és kiad.mérlege'!H18+'Felhalm. bev.és kiad.mérlege'!H17</f>
        <v>1713705486</v>
      </c>
      <c r="E30" s="492">
        <f>+B30-D30</f>
        <v>7884000</v>
      </c>
    </row>
    <row r="31" spans="1:5" x14ac:dyDescent="0.25">
      <c r="A31" s="486" t="s">
        <v>27</v>
      </c>
      <c r="B31" s="492">
        <f>+'1_2_Mindösszesen'!E145</f>
        <v>1040266574</v>
      </c>
      <c r="C31" s="486" t="s">
        <v>28</v>
      </c>
      <c r="D31" s="493">
        <f>+'Működési bev.és kiad.mérlege'!H27+'Felhalm. bev.és kiad.mérlege'!H30</f>
        <v>4455423</v>
      </c>
      <c r="E31" s="492">
        <f>+B31-D31</f>
        <v>1035811151</v>
      </c>
    </row>
    <row r="32" spans="1:5" x14ac:dyDescent="0.25">
      <c r="A32" s="486" t="s">
        <v>29</v>
      </c>
      <c r="B32" s="492">
        <f>+'1_2_Mindösszesen'!E146</f>
        <v>2761856060</v>
      </c>
      <c r="C32" s="486" t="s">
        <v>30</v>
      </c>
      <c r="D32" s="493">
        <f>+'Működési bev.és kiad.mérlege'!H28+'Felhalm. bev.és kiad.mérlege'!H31</f>
        <v>1718160909</v>
      </c>
      <c r="E32" s="492">
        <f>+B32-D32</f>
        <v>1043695151</v>
      </c>
    </row>
    <row r="33" spans="1:5" x14ac:dyDescent="0.25">
      <c r="A33" s="486"/>
      <c r="B33" s="492"/>
      <c r="C33" s="486"/>
      <c r="D33" s="493"/>
      <c r="E33" s="492"/>
    </row>
    <row r="34" spans="1:5" ht="15.6" x14ac:dyDescent="0.3">
      <c r="A34" s="490" t="str">
        <f>+ÖSSZEFÜGGÉSEK!A34</f>
        <v>2016. évi teljesítés KIADÁSOK</v>
      </c>
      <c r="B34" s="494"/>
      <c r="C34" s="487"/>
      <c r="D34" s="493"/>
      <c r="E34" s="492"/>
    </row>
    <row r="35" spans="1:5" x14ac:dyDescent="0.25">
      <c r="A35" s="486"/>
      <c r="B35" s="492"/>
      <c r="C35" s="486"/>
      <c r="D35" s="493"/>
      <c r="E35" s="492"/>
    </row>
    <row r="36" spans="1:5" x14ac:dyDescent="0.25">
      <c r="A36" s="486" t="s">
        <v>31</v>
      </c>
      <c r="B36" s="492" t="e">
        <f>+'1_2_Mindösszesen'!#REF!</f>
        <v>#REF!</v>
      </c>
      <c r="C36" s="486" t="s">
        <v>32</v>
      </c>
      <c r="D36" s="493" t="e">
        <f>+'Működési bev.és kiad.mérlege'!I18+'Felhalm. bev.és kiad.mérlege'!I17</f>
        <v>#REF!</v>
      </c>
      <c r="E36" s="492" t="e">
        <f>+B36-D36</f>
        <v>#REF!</v>
      </c>
    </row>
    <row r="37" spans="1:5" x14ac:dyDescent="0.25">
      <c r="A37" s="486" t="s">
        <v>33</v>
      </c>
      <c r="B37" s="492" t="e">
        <f>+'1_2_Mindösszesen'!#REF!</f>
        <v>#REF!</v>
      </c>
      <c r="C37" s="486" t="s">
        <v>34</v>
      </c>
      <c r="D37" s="493">
        <f>+'Működési bev.és kiad.mérlege'!I27+'Felhalm. bev.és kiad.mérlege'!I30</f>
        <v>4455423</v>
      </c>
      <c r="E37" s="492" t="e">
        <f>+B37-D37</f>
        <v>#REF!</v>
      </c>
    </row>
    <row r="38" spans="1:5" x14ac:dyDescent="0.25">
      <c r="A38" s="486" t="s">
        <v>35</v>
      </c>
      <c r="B38" s="492" t="e">
        <f>+'1_2_Mindösszesen'!#REF!</f>
        <v>#REF!</v>
      </c>
      <c r="C38" s="486" t="s">
        <v>36</v>
      </c>
      <c r="D38" s="493" t="e">
        <f>+'Működési bev.és kiad.mérlege'!I28+'Felhalm. bev.és kiad.mérlege'!I31</f>
        <v>#REF!</v>
      </c>
      <c r="E38" s="492" t="e">
        <f>+B38-D38</f>
        <v>#REF!</v>
      </c>
    </row>
  </sheetData>
  <phoneticPr fontId="33" type="noConversion"/>
  <conditionalFormatting sqref="E3:E38">
    <cfRule type="cellIs" dxfId="1" priority="1" stopIfTrue="1" operator="notEqual">
      <formula>0</formula>
    </cfRule>
  </conditionalFormatting>
  <pageMargins left="0.79" right="0.56999999999999995" top="0.88" bottom="0.66" header="0.5" footer="0.5"/>
  <pageSetup paperSize="9" scale="96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F39"/>
  <sheetViews>
    <sheetView showGridLines="0" zoomScale="118" zoomScaleNormal="118" workbookViewId="0">
      <selection activeCell="B32" sqref="B32:C32"/>
    </sheetView>
  </sheetViews>
  <sheetFormatPr defaultRowHeight="13.2" x14ac:dyDescent="0.25"/>
  <cols>
    <col min="2" max="2" width="79.6640625" customWidth="1"/>
    <col min="3" max="3" width="72.109375" customWidth="1"/>
    <col min="4" max="4" width="25.33203125" customWidth="1"/>
    <col min="5" max="6" width="20.77734375" customWidth="1"/>
  </cols>
  <sheetData>
    <row r="1" spans="1:6" ht="24.6" x14ac:dyDescent="0.25">
      <c r="A1" s="1692" t="s">
        <v>1691</v>
      </c>
      <c r="B1" s="1692"/>
      <c r="C1" s="1692"/>
      <c r="D1" s="1692"/>
      <c r="E1" s="1692"/>
      <c r="F1" s="1692"/>
    </row>
    <row r="2" spans="1:6" ht="35.25" customHeight="1" x14ac:dyDescent="0.25">
      <c r="A2" s="1692" t="s">
        <v>1692</v>
      </c>
      <c r="B2" s="1692"/>
      <c r="C2" s="1692"/>
      <c r="D2" s="1692"/>
      <c r="E2" s="1692"/>
      <c r="F2" s="1692"/>
    </row>
    <row r="3" spans="1:6" ht="14.4" x14ac:dyDescent="0.25">
      <c r="B3" s="766" t="s">
        <v>1675</v>
      </c>
      <c r="C3" s="766" t="s">
        <v>1676</v>
      </c>
      <c r="D3" s="774" t="s">
        <v>43</v>
      </c>
      <c r="E3" s="774" t="s">
        <v>1677</v>
      </c>
      <c r="F3" s="774" t="s">
        <v>45</v>
      </c>
    </row>
    <row r="4" spans="1:6" ht="13.8" x14ac:dyDescent="0.25">
      <c r="B4" s="773">
        <v>1303407</v>
      </c>
      <c r="C4" s="767" t="s">
        <v>1666</v>
      </c>
    </row>
    <row r="5" spans="1:6" x14ac:dyDescent="0.25">
      <c r="B5" s="768" t="s">
        <v>1693</v>
      </c>
      <c r="C5" s="768" t="s">
        <v>1678</v>
      </c>
      <c r="D5" s="769">
        <v>55318037</v>
      </c>
      <c r="E5" s="769">
        <v>55318037</v>
      </c>
      <c r="F5" s="769">
        <v>55318037</v>
      </c>
    </row>
    <row r="6" spans="1:6" x14ac:dyDescent="0.25">
      <c r="B6" s="768" t="s">
        <v>1694</v>
      </c>
      <c r="C6" s="768" t="s">
        <v>1695</v>
      </c>
      <c r="D6" s="769">
        <v>101727</v>
      </c>
      <c r="E6" s="769">
        <v>101727</v>
      </c>
      <c r="F6" s="769">
        <v>101727</v>
      </c>
    </row>
    <row r="7" spans="1:6" x14ac:dyDescent="0.25">
      <c r="B7" s="770" t="s">
        <v>1718</v>
      </c>
      <c r="C7" s="771"/>
      <c r="D7" s="771">
        <f>SUM(D5:D6)</f>
        <v>55419764</v>
      </c>
      <c r="E7" s="771">
        <f>SUM(E5:E6)</f>
        <v>55419764</v>
      </c>
      <c r="F7" s="771">
        <f>SUM(F5:F6)</f>
        <v>55419764</v>
      </c>
    </row>
    <row r="8" spans="1:6" x14ac:dyDescent="0.25">
      <c r="B8" s="770"/>
      <c r="C8" s="771"/>
      <c r="D8" s="771"/>
      <c r="E8" s="771"/>
    </row>
    <row r="9" spans="1:6" x14ac:dyDescent="0.25">
      <c r="B9" s="768" t="s">
        <v>1696</v>
      </c>
      <c r="C9" s="768" t="s">
        <v>1679</v>
      </c>
      <c r="D9" s="769">
        <v>26996800</v>
      </c>
      <c r="E9" s="769">
        <v>25560800</v>
      </c>
      <c r="F9" s="769">
        <v>25560800</v>
      </c>
    </row>
    <row r="10" spans="1:6" x14ac:dyDescent="0.25">
      <c r="B10" s="768" t="s">
        <v>1697</v>
      </c>
      <c r="C10" s="768" t="s">
        <v>1680</v>
      </c>
      <c r="D10" s="769">
        <v>12924000</v>
      </c>
      <c r="E10" s="769">
        <v>13211200</v>
      </c>
      <c r="F10" s="769">
        <v>13211200</v>
      </c>
    </row>
    <row r="11" spans="1:6" x14ac:dyDescent="0.25">
      <c r="B11" s="768" t="s">
        <v>1698</v>
      </c>
      <c r="C11" s="768" t="s">
        <v>1681</v>
      </c>
      <c r="D11" s="769">
        <v>315000</v>
      </c>
      <c r="E11" s="769">
        <v>322000</v>
      </c>
      <c r="F11" s="769">
        <v>322000</v>
      </c>
    </row>
    <row r="12" spans="1:6" x14ac:dyDescent="0.25">
      <c r="B12" s="768" t="s">
        <v>1699</v>
      </c>
      <c r="C12" s="768" t="s">
        <v>1682</v>
      </c>
      <c r="D12" s="769">
        <v>6000000</v>
      </c>
      <c r="E12" s="769">
        <v>6000000</v>
      </c>
      <c r="F12" s="769">
        <v>6000000</v>
      </c>
    </row>
    <row r="13" spans="1:6" x14ac:dyDescent="0.25">
      <c r="B13" s="768" t="s">
        <v>1700</v>
      </c>
      <c r="C13" s="768" t="s">
        <v>1683</v>
      </c>
      <c r="D13" s="769">
        <v>3000000</v>
      </c>
      <c r="E13" s="769">
        <v>3000000</v>
      </c>
      <c r="F13" s="769">
        <v>3000000</v>
      </c>
    </row>
    <row r="14" spans="1:6" x14ac:dyDescent="0.25">
      <c r="B14" s="768" t="s">
        <v>1701</v>
      </c>
      <c r="C14" s="768" t="s">
        <v>1684</v>
      </c>
      <c r="D14" s="769">
        <v>5546667</v>
      </c>
      <c r="E14" s="769">
        <v>5280000</v>
      </c>
      <c r="F14" s="769">
        <v>5280000</v>
      </c>
    </row>
    <row r="15" spans="1:6" x14ac:dyDescent="0.25">
      <c r="B15" s="768" t="s">
        <v>1702</v>
      </c>
      <c r="C15" s="768" t="s">
        <v>1685</v>
      </c>
      <c r="D15" s="769">
        <v>2666667</v>
      </c>
      <c r="E15" s="769">
        <v>2773333</v>
      </c>
      <c r="F15" s="769">
        <v>2773333</v>
      </c>
    </row>
    <row r="16" spans="1:6" x14ac:dyDescent="0.25">
      <c r="B16" s="770" t="s">
        <v>1719</v>
      </c>
      <c r="C16" s="771"/>
      <c r="D16" s="771">
        <f>SUM(D9:D15)</f>
        <v>57449134</v>
      </c>
      <c r="E16" s="771">
        <f>SUM(E9:E15)</f>
        <v>56147333</v>
      </c>
      <c r="F16" s="771">
        <f>SUM(F9:F15)</f>
        <v>56147333</v>
      </c>
    </row>
    <row r="17" spans="2:6" x14ac:dyDescent="0.25">
      <c r="B17" s="770"/>
      <c r="C17" s="771"/>
      <c r="D17" s="771"/>
      <c r="E17" s="771"/>
    </row>
    <row r="18" spans="2:6" x14ac:dyDescent="0.25">
      <c r="B18" s="768" t="s">
        <v>1703</v>
      </c>
      <c r="C18" s="768" t="s">
        <v>1704</v>
      </c>
      <c r="D18" s="768">
        <v>0</v>
      </c>
      <c r="E18" s="768">
        <v>0</v>
      </c>
      <c r="F18" s="768">
        <v>0</v>
      </c>
    </row>
    <row r="19" spans="2:6" x14ac:dyDescent="0.25">
      <c r="B19" s="768" t="s">
        <v>1705</v>
      </c>
      <c r="C19" s="768" t="s">
        <v>1706</v>
      </c>
      <c r="D19" s="769">
        <v>12093120</v>
      </c>
      <c r="E19" s="769">
        <v>12419520</v>
      </c>
      <c r="F19" s="769">
        <v>12419520</v>
      </c>
    </row>
    <row r="20" spans="2:6" x14ac:dyDescent="0.25">
      <c r="B20" s="768" t="s">
        <v>1707</v>
      </c>
      <c r="C20" s="768" t="s">
        <v>1708</v>
      </c>
      <c r="D20" s="769">
        <v>3150938</v>
      </c>
      <c r="E20" s="769">
        <v>3543229</v>
      </c>
      <c r="F20" s="769">
        <v>3543229</v>
      </c>
    </row>
    <row r="21" spans="2:6" x14ac:dyDescent="0.25">
      <c r="B21" s="768" t="s">
        <v>1709</v>
      </c>
      <c r="C21" s="768" t="s">
        <v>1710</v>
      </c>
      <c r="D21" s="769">
        <v>39045</v>
      </c>
      <c r="E21" s="769">
        <v>30495</v>
      </c>
      <c r="F21" s="769">
        <v>30495</v>
      </c>
    </row>
    <row r="22" spans="2:6" x14ac:dyDescent="0.25">
      <c r="B22" s="770" t="s">
        <v>1720</v>
      </c>
      <c r="C22" s="771"/>
      <c r="D22" s="771">
        <f>SUM(D18:D21)</f>
        <v>15283103</v>
      </c>
      <c r="E22" s="771">
        <f>SUM(E18:E21)</f>
        <v>15993244</v>
      </c>
      <c r="F22" s="771">
        <f>SUM(F18:F21)</f>
        <v>15993244</v>
      </c>
    </row>
    <row r="23" spans="2:6" x14ac:dyDescent="0.25">
      <c r="B23" s="770"/>
    </row>
    <row r="24" spans="2:6" x14ac:dyDescent="0.25">
      <c r="B24" s="768" t="s">
        <v>1711</v>
      </c>
      <c r="C24" s="768" t="s">
        <v>1712</v>
      </c>
      <c r="D24" s="769">
        <v>2280000</v>
      </c>
      <c r="E24" s="769">
        <v>2280000</v>
      </c>
      <c r="F24" s="769">
        <v>2280000</v>
      </c>
    </row>
    <row r="25" spans="2:6" x14ac:dyDescent="0.25">
      <c r="B25" s="770" t="s">
        <v>1713</v>
      </c>
      <c r="C25" s="771"/>
      <c r="D25" s="771">
        <f>SUM(D24)</f>
        <v>2280000</v>
      </c>
      <c r="E25" s="771">
        <f>SUM(E24)</f>
        <v>2280000</v>
      </c>
      <c r="F25" s="771">
        <f>SUM(F24)</f>
        <v>2280000</v>
      </c>
    </row>
    <row r="26" spans="2:6" x14ac:dyDescent="0.25">
      <c r="B26" s="770"/>
      <c r="C26" s="771"/>
      <c r="D26" s="771"/>
      <c r="E26" s="771"/>
    </row>
    <row r="27" spans="2:6" x14ac:dyDescent="0.25">
      <c r="B27" s="768" t="s">
        <v>1714</v>
      </c>
      <c r="C27" s="768" t="s">
        <v>1715</v>
      </c>
      <c r="D27" s="768">
        <v>0</v>
      </c>
      <c r="E27" s="769">
        <v>965073</v>
      </c>
      <c r="F27" s="769">
        <v>965073</v>
      </c>
    </row>
    <row r="28" spans="2:6" x14ac:dyDescent="0.25">
      <c r="B28" s="768" t="s">
        <v>1716</v>
      </c>
      <c r="C28" s="768" t="s">
        <v>1717</v>
      </c>
      <c r="D28" s="768">
        <v>0</v>
      </c>
      <c r="E28" s="769">
        <v>391160</v>
      </c>
      <c r="F28" s="769">
        <v>391160</v>
      </c>
    </row>
    <row r="29" spans="2:6" x14ac:dyDescent="0.25">
      <c r="B29" s="770" t="s">
        <v>1686</v>
      </c>
      <c r="C29" s="770"/>
      <c r="D29" s="771">
        <f>SUM(D27:D28)</f>
        <v>0</v>
      </c>
      <c r="E29" s="771">
        <f>SUM(E27:E28)</f>
        <v>1356233</v>
      </c>
      <c r="F29" s="771">
        <f>SUM(F27:F28)</f>
        <v>1356233</v>
      </c>
    </row>
    <row r="30" spans="2:6" x14ac:dyDescent="0.25">
      <c r="B30" s="772"/>
      <c r="C30" s="772"/>
    </row>
    <row r="31" spans="2:6" x14ac:dyDescent="0.25">
      <c r="C31" s="760"/>
      <c r="D31" s="760"/>
      <c r="E31" s="760"/>
      <c r="F31" s="760"/>
    </row>
    <row r="32" spans="2:6" x14ac:dyDescent="0.25">
      <c r="B32" s="1693" t="s">
        <v>1721</v>
      </c>
      <c r="C32" s="1693"/>
      <c r="D32" s="762">
        <f>D7+D16+D22+D25+D29</f>
        <v>130432001</v>
      </c>
      <c r="E32" s="762">
        <f t="shared" ref="E32:F32" si="0">E7+E16+E22+E25+E29</f>
        <v>131196574</v>
      </c>
      <c r="F32" s="762">
        <f t="shared" si="0"/>
        <v>131196574</v>
      </c>
    </row>
    <row r="33" spans="2:6" x14ac:dyDescent="0.25">
      <c r="B33" s="761"/>
      <c r="C33" s="760"/>
      <c r="D33" s="762"/>
      <c r="E33" s="762"/>
      <c r="F33" s="762"/>
    </row>
    <row r="34" spans="2:6" x14ac:dyDescent="0.25">
      <c r="B34" s="761"/>
      <c r="C34" s="761"/>
      <c r="D34" s="762"/>
      <c r="E34" s="762"/>
      <c r="F34" s="762"/>
    </row>
    <row r="35" spans="2:6" x14ac:dyDescent="0.25">
      <c r="B35" s="761"/>
      <c r="C35" s="760"/>
      <c r="D35" s="761"/>
      <c r="E35" s="762"/>
      <c r="F35" s="762"/>
    </row>
    <row r="36" spans="2:6" ht="14.4" x14ac:dyDescent="0.3">
      <c r="B36" s="761"/>
      <c r="C36" s="761"/>
      <c r="D36" s="761"/>
      <c r="E36" s="762"/>
      <c r="F36" s="759"/>
    </row>
    <row r="37" spans="2:6" x14ac:dyDescent="0.25">
      <c r="B37" s="761"/>
      <c r="C37" s="760"/>
      <c r="D37" s="761"/>
      <c r="E37" s="762"/>
      <c r="F37" s="762"/>
    </row>
    <row r="38" spans="2:6" x14ac:dyDescent="0.25">
      <c r="B38" s="761"/>
      <c r="C38" s="761"/>
      <c r="D38" s="762"/>
      <c r="E38" s="762"/>
      <c r="F38" s="762"/>
    </row>
    <row r="39" spans="2:6" ht="14.4" x14ac:dyDescent="0.3">
      <c r="B39" s="763"/>
      <c r="C39" s="763"/>
      <c r="D39" s="759"/>
      <c r="E39" s="759"/>
      <c r="F39" s="759"/>
    </row>
  </sheetData>
  <mergeCells count="3">
    <mergeCell ref="A1:F1"/>
    <mergeCell ref="A2:F2"/>
    <mergeCell ref="B32:C32"/>
  </mergeCells>
  <pageMargins left="0.7" right="0.7" top="0.75" bottom="0.75" header="0.3" footer="0.3"/>
  <pageSetup paperSize="9" scale="64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B1:E69"/>
  <sheetViews>
    <sheetView showGridLines="0" workbookViewId="0">
      <selection activeCell="E8" sqref="E8"/>
    </sheetView>
  </sheetViews>
  <sheetFormatPr defaultColWidth="9.33203125" defaultRowHeight="10.199999999999999" x14ac:dyDescent="0.2"/>
  <cols>
    <col min="1" max="1" width="7.77734375" style="681" customWidth="1"/>
    <col min="2" max="2" width="63.77734375" style="681" customWidth="1"/>
    <col min="3" max="3" width="17.44140625" style="681" customWidth="1"/>
    <col min="4" max="4" width="15.33203125" style="681" customWidth="1"/>
    <col min="5" max="5" width="13.77734375" style="681" customWidth="1"/>
    <col min="6" max="16384" width="9.33203125" style="681"/>
  </cols>
  <sheetData>
    <row r="1" spans="2:5" ht="14.4" x14ac:dyDescent="0.3">
      <c r="B1" s="1694" t="s">
        <v>1725</v>
      </c>
      <c r="C1" s="1695"/>
      <c r="D1" s="1695"/>
      <c r="E1" s="1695"/>
    </row>
    <row r="2" spans="2:5" ht="12.75" customHeight="1" x14ac:dyDescent="0.25">
      <c r="B2" s="682"/>
      <c r="C2" s="682"/>
      <c r="D2" s="682"/>
      <c r="E2" s="683"/>
    </row>
    <row r="3" spans="2:5" ht="24" customHeight="1" x14ac:dyDescent="0.2">
      <c r="B3" s="1697" t="s">
        <v>1604</v>
      </c>
      <c r="C3" s="1697"/>
      <c r="D3" s="1697"/>
      <c r="E3" s="1697"/>
    </row>
    <row r="4" spans="2:5" ht="13.2" x14ac:dyDescent="0.25">
      <c r="B4" s="1696"/>
      <c r="C4" s="1696"/>
      <c r="D4" s="1696"/>
    </row>
    <row r="5" spans="2:5" ht="13.2" x14ac:dyDescent="0.25">
      <c r="B5" s="684"/>
      <c r="C5" s="684"/>
      <c r="D5" s="684"/>
    </row>
    <row r="6" spans="2:5" ht="13.2" x14ac:dyDescent="0.25">
      <c r="B6" s="684"/>
      <c r="C6" s="684"/>
      <c r="D6" s="684"/>
    </row>
    <row r="7" spans="2:5" x14ac:dyDescent="0.2">
      <c r="E7" s="789" t="s">
        <v>1690</v>
      </c>
    </row>
    <row r="8" spans="2:5" ht="13.2" x14ac:dyDescent="0.25">
      <c r="B8" s="685" t="s">
        <v>1605</v>
      </c>
      <c r="C8" s="685"/>
      <c r="D8" s="686"/>
      <c r="E8" s="686"/>
    </row>
    <row r="9" spans="2:5" ht="38.25" customHeight="1" x14ac:dyDescent="0.2">
      <c r="B9" s="687" t="s">
        <v>1606</v>
      </c>
      <c r="C9" s="707" t="s">
        <v>1722</v>
      </c>
      <c r="D9" s="688" t="s">
        <v>1723</v>
      </c>
      <c r="E9" s="688" t="s">
        <v>1724</v>
      </c>
    </row>
    <row r="10" spans="2:5" ht="15" customHeight="1" x14ac:dyDescent="0.2">
      <c r="B10" s="686" t="s">
        <v>1607</v>
      </c>
      <c r="C10" s="692">
        <v>195300000</v>
      </c>
      <c r="D10" s="689">
        <v>23000000</v>
      </c>
      <c r="E10" s="689">
        <v>25131044</v>
      </c>
    </row>
    <row r="11" spans="2:5" ht="15" customHeight="1" x14ac:dyDescent="0.2">
      <c r="B11" s="686" t="s">
        <v>1608</v>
      </c>
      <c r="C11" s="692"/>
      <c r="D11" s="690">
        <v>55000000</v>
      </c>
      <c r="E11" s="690">
        <v>47645075</v>
      </c>
    </row>
    <row r="12" spans="2:5" ht="15" customHeight="1" x14ac:dyDescent="0.2">
      <c r="B12" s="686" t="s">
        <v>1609</v>
      </c>
      <c r="C12" s="692"/>
      <c r="D12" s="689">
        <v>800000</v>
      </c>
      <c r="E12" s="689">
        <v>434453</v>
      </c>
    </row>
    <row r="13" spans="2:5" ht="15" customHeight="1" x14ac:dyDescent="0.2">
      <c r="B13" s="686" t="s">
        <v>1610</v>
      </c>
      <c r="C13" s="692"/>
      <c r="D13" s="689">
        <v>116500000</v>
      </c>
      <c r="E13" s="689">
        <v>111928547</v>
      </c>
    </row>
    <row r="14" spans="2:5" ht="15" customHeight="1" x14ac:dyDescent="0.2">
      <c r="B14" s="699" t="s">
        <v>1611</v>
      </c>
      <c r="C14" s="700">
        <f>SUM(C10:C13)</f>
        <v>195300000</v>
      </c>
      <c r="D14" s="700">
        <f>SUM(D10:D13)</f>
        <v>195300000</v>
      </c>
      <c r="E14" s="700">
        <f>SUM(E10:E13)</f>
        <v>185139119</v>
      </c>
    </row>
    <row r="15" spans="2:5" ht="15" customHeight="1" x14ac:dyDescent="0.2">
      <c r="B15" s="696" t="s">
        <v>1612</v>
      </c>
      <c r="C15" s="689">
        <v>74933000</v>
      </c>
      <c r="D15" s="689">
        <v>74933000</v>
      </c>
      <c r="E15" s="689">
        <v>67101500</v>
      </c>
    </row>
    <row r="16" spans="2:5" ht="15" customHeight="1" x14ac:dyDescent="0.2">
      <c r="B16" s="699" t="s">
        <v>1613</v>
      </c>
      <c r="C16" s="700">
        <f>SUM(C15:C15)</f>
        <v>74933000</v>
      </c>
      <c r="D16" s="700">
        <f>SUM(D15:D15)</f>
        <v>74933000</v>
      </c>
      <c r="E16" s="700">
        <f>SUM(E15:E15)</f>
        <v>67101500</v>
      </c>
    </row>
    <row r="17" spans="2:5" ht="15" customHeight="1" x14ac:dyDescent="0.2">
      <c r="B17" s="696" t="s">
        <v>1614</v>
      </c>
      <c r="C17" s="689"/>
      <c r="D17" s="689"/>
      <c r="E17" s="689">
        <v>120103</v>
      </c>
    </row>
    <row r="18" spans="2:5" ht="15" customHeight="1" x14ac:dyDescent="0.2">
      <c r="B18" s="696" t="s">
        <v>1626</v>
      </c>
      <c r="C18" s="689"/>
      <c r="D18" s="689"/>
      <c r="E18" s="689">
        <v>10000</v>
      </c>
    </row>
    <row r="19" spans="2:5" ht="15" customHeight="1" x14ac:dyDescent="0.2">
      <c r="B19" s="696" t="s">
        <v>1615</v>
      </c>
      <c r="C19" s="689"/>
      <c r="D19" s="689"/>
      <c r="E19" s="689">
        <v>70216</v>
      </c>
    </row>
    <row r="20" spans="2:5" ht="15" customHeight="1" x14ac:dyDescent="0.2">
      <c r="B20" s="696" t="s">
        <v>1625</v>
      </c>
      <c r="C20" s="689"/>
      <c r="D20" s="689"/>
      <c r="E20" s="689">
        <f>484610+160250</f>
        <v>644860</v>
      </c>
    </row>
    <row r="21" spans="2:5" ht="15" customHeight="1" x14ac:dyDescent="0.2">
      <c r="B21" s="699" t="s">
        <v>1616</v>
      </c>
      <c r="C21" s="700">
        <v>0</v>
      </c>
      <c r="D21" s="700">
        <f>SUM(D17:D20)</f>
        <v>0</v>
      </c>
      <c r="E21" s="700">
        <f>SUM(E17:E20)</f>
        <v>845179</v>
      </c>
    </row>
    <row r="22" spans="2:5" ht="15" customHeight="1" x14ac:dyDescent="0.2">
      <c r="B22" s="699" t="s">
        <v>1617</v>
      </c>
      <c r="C22" s="700">
        <f>SUM(C21+C16+C14)</f>
        <v>270233000</v>
      </c>
      <c r="D22" s="700">
        <f>SUM(D21+D16+D14)</f>
        <v>270233000</v>
      </c>
      <c r="E22" s="700">
        <f>SUM(E21+E16+E14)</f>
        <v>253085798</v>
      </c>
    </row>
    <row r="23" spans="2:5" ht="12" x14ac:dyDescent="0.25">
      <c r="B23" s="691"/>
      <c r="C23" s="691"/>
      <c r="D23" s="701"/>
      <c r="E23" s="694"/>
    </row>
    <row r="24" spans="2:5" ht="12" x14ac:dyDescent="0.25">
      <c r="B24" s="691"/>
      <c r="C24" s="691"/>
      <c r="D24" s="701"/>
      <c r="E24" s="694"/>
    </row>
    <row r="25" spans="2:5" ht="12" x14ac:dyDescent="0.25">
      <c r="B25" s="691"/>
      <c r="C25" s="691"/>
      <c r="D25" s="694"/>
      <c r="E25" s="694"/>
    </row>
    <row r="26" spans="2:5" ht="13.2" x14ac:dyDescent="0.25">
      <c r="B26" s="685" t="s">
        <v>1618</v>
      </c>
      <c r="C26" s="685"/>
      <c r="D26" s="696"/>
      <c r="E26" s="696"/>
    </row>
    <row r="27" spans="2:5" ht="20.399999999999999" x14ac:dyDescent="0.2">
      <c r="B27" s="702" t="s">
        <v>293</v>
      </c>
      <c r="C27" s="707" t="s">
        <v>1722</v>
      </c>
      <c r="D27" s="688" t="s">
        <v>1723</v>
      </c>
      <c r="E27" s="688" t="s">
        <v>1724</v>
      </c>
    </row>
    <row r="28" spans="2:5" ht="15" customHeight="1" x14ac:dyDescent="0.2">
      <c r="B28" s="696" t="s">
        <v>1727</v>
      </c>
      <c r="C28" s="689">
        <v>4438000</v>
      </c>
      <c r="D28" s="689">
        <v>4438000</v>
      </c>
      <c r="E28" s="689">
        <v>4913100</v>
      </c>
    </row>
    <row r="29" spans="2:5" ht="15" customHeight="1" x14ac:dyDescent="0.2">
      <c r="B29" s="696" t="s">
        <v>1726</v>
      </c>
      <c r="C29" s="689"/>
      <c r="D29" s="689"/>
      <c r="E29" s="689">
        <v>117475</v>
      </c>
    </row>
    <row r="30" spans="2:5" ht="15" customHeight="1" x14ac:dyDescent="0.2">
      <c r="B30" s="696" t="s">
        <v>1728</v>
      </c>
      <c r="C30" s="689"/>
      <c r="D30" s="689"/>
      <c r="E30" s="689">
        <v>127600</v>
      </c>
    </row>
    <row r="31" spans="2:5" ht="15" customHeight="1" x14ac:dyDescent="0.2">
      <c r="B31" s="696" t="s">
        <v>1729</v>
      </c>
      <c r="C31" s="689"/>
      <c r="D31" s="689"/>
      <c r="E31" s="689">
        <v>500000</v>
      </c>
    </row>
    <row r="32" spans="2:5" ht="15" customHeight="1" x14ac:dyDescent="0.2">
      <c r="B32" s="696" t="s">
        <v>1731</v>
      </c>
      <c r="C32" s="689"/>
      <c r="D32" s="689"/>
      <c r="E32" s="689">
        <v>769527</v>
      </c>
    </row>
    <row r="33" spans="2:5" ht="15" customHeight="1" x14ac:dyDescent="0.2">
      <c r="B33" s="696" t="s">
        <v>1730</v>
      </c>
      <c r="C33" s="689"/>
      <c r="D33" s="689"/>
      <c r="E33" s="689">
        <v>4089000</v>
      </c>
    </row>
    <row r="34" spans="2:5" ht="15" customHeight="1" x14ac:dyDescent="0.2">
      <c r="B34" s="696" t="s">
        <v>1628</v>
      </c>
      <c r="C34" s="689"/>
      <c r="D34" s="689"/>
      <c r="E34" s="689">
        <v>50000</v>
      </c>
    </row>
    <row r="35" spans="2:5" ht="15" customHeight="1" x14ac:dyDescent="0.2">
      <c r="B35" s="697" t="s">
        <v>1617</v>
      </c>
      <c r="C35" s="708">
        <f>SUM(C28:C34)</f>
        <v>4438000</v>
      </c>
      <c r="D35" s="700">
        <f>SUM(D28:D34)</f>
        <v>4438000</v>
      </c>
      <c r="E35" s="700">
        <f>SUM(E28:E34)</f>
        <v>10566702</v>
      </c>
    </row>
    <row r="36" spans="2:5" s="693" customFormat="1" x14ac:dyDescent="0.2">
      <c r="B36" s="703"/>
      <c r="C36" s="703"/>
      <c r="D36" s="704"/>
      <c r="E36" s="694"/>
    </row>
    <row r="37" spans="2:5" x14ac:dyDescent="0.2">
      <c r="B37" s="694"/>
      <c r="C37" s="694"/>
      <c r="D37" s="694"/>
      <c r="E37" s="694"/>
    </row>
    <row r="38" spans="2:5" ht="13.2" x14ac:dyDescent="0.25">
      <c r="B38" s="695" t="s">
        <v>1740</v>
      </c>
      <c r="C38" s="695"/>
      <c r="D38" s="696"/>
      <c r="E38" s="696"/>
    </row>
    <row r="39" spans="2:5" ht="20.399999999999999" x14ac:dyDescent="0.2">
      <c r="B39" s="697" t="s">
        <v>293</v>
      </c>
      <c r="C39" s="707" t="s">
        <v>1722</v>
      </c>
      <c r="D39" s="688" t="s">
        <v>1723</v>
      </c>
      <c r="E39" s="688" t="s">
        <v>1724</v>
      </c>
    </row>
    <row r="40" spans="2:5" ht="15" customHeight="1" x14ac:dyDescent="0.2">
      <c r="B40" s="705" t="s">
        <v>1624</v>
      </c>
      <c r="C40" s="709">
        <v>12200000</v>
      </c>
      <c r="D40" s="689">
        <v>12200000</v>
      </c>
      <c r="E40" s="689">
        <v>12330584</v>
      </c>
    </row>
    <row r="41" spans="2:5" s="698" customFormat="1" ht="15" customHeight="1" x14ac:dyDescent="0.2">
      <c r="B41" s="699" t="s">
        <v>1742</v>
      </c>
      <c r="C41" s="700">
        <f>SUM(C40:C40)</f>
        <v>12200000</v>
      </c>
      <c r="D41" s="700">
        <f>SUM(D40:D40)</f>
        <v>12200000</v>
      </c>
      <c r="E41" s="700">
        <f>SUM(E40:E40)</f>
        <v>12330584</v>
      </c>
    </row>
    <row r="42" spans="2:5" s="698" customFormat="1" ht="15" customHeight="1" x14ac:dyDescent="0.2">
      <c r="B42" s="696" t="s">
        <v>1735</v>
      </c>
      <c r="C42" s="689"/>
      <c r="D42" s="689">
        <v>4000000</v>
      </c>
      <c r="E42" s="689">
        <v>4000000</v>
      </c>
    </row>
    <row r="43" spans="2:5" s="698" customFormat="1" ht="15" customHeight="1" x14ac:dyDescent="0.2">
      <c r="B43" s="696" t="s">
        <v>1732</v>
      </c>
      <c r="C43" s="689"/>
      <c r="D43" s="689"/>
      <c r="E43" s="689">
        <v>30000000</v>
      </c>
    </row>
    <row r="44" spans="2:5" s="698" customFormat="1" ht="15" customHeight="1" x14ac:dyDescent="0.2">
      <c r="B44" s="696" t="s">
        <v>1733</v>
      </c>
      <c r="C44" s="689"/>
      <c r="D44" s="689"/>
      <c r="E44" s="689">
        <v>50000000</v>
      </c>
    </row>
    <row r="45" spans="2:5" s="698" customFormat="1" ht="15" customHeight="1" x14ac:dyDescent="0.2">
      <c r="B45" s="696" t="s">
        <v>1734</v>
      </c>
      <c r="C45" s="700"/>
      <c r="D45" s="700"/>
      <c r="E45" s="689">
        <v>1996000</v>
      </c>
    </row>
    <row r="46" spans="2:5" s="698" customFormat="1" ht="15" customHeight="1" x14ac:dyDescent="0.2">
      <c r="B46" s="699" t="s">
        <v>1741</v>
      </c>
      <c r="C46" s="700">
        <f>SUM(C42:C45)</f>
        <v>0</v>
      </c>
      <c r="D46" s="700">
        <f t="shared" ref="D46:E46" si="0">SUM(D42:D45)</f>
        <v>4000000</v>
      </c>
      <c r="E46" s="700">
        <f t="shared" si="0"/>
        <v>85996000</v>
      </c>
    </row>
    <row r="47" spans="2:5" s="698" customFormat="1" ht="15" customHeight="1" x14ac:dyDescent="0.2">
      <c r="B47" s="686" t="s">
        <v>1736</v>
      </c>
      <c r="C47" s="700"/>
      <c r="D47" s="700"/>
      <c r="E47" s="689">
        <v>712734</v>
      </c>
    </row>
    <row r="48" spans="2:5" s="698" customFormat="1" ht="15" customHeight="1" x14ac:dyDescent="0.2">
      <c r="B48" s="696" t="s">
        <v>1737</v>
      </c>
      <c r="C48" s="700"/>
      <c r="D48" s="700"/>
      <c r="E48" s="689">
        <v>14861828</v>
      </c>
    </row>
    <row r="49" spans="2:5" s="698" customFormat="1" ht="15" customHeight="1" x14ac:dyDescent="0.2">
      <c r="B49" s="696" t="s">
        <v>1738</v>
      </c>
      <c r="C49" s="700"/>
      <c r="D49" s="700"/>
      <c r="E49" s="689">
        <v>8731951</v>
      </c>
    </row>
    <row r="50" spans="2:5" s="698" customFormat="1" ht="15" customHeight="1" x14ac:dyDescent="0.2">
      <c r="B50" s="699" t="s">
        <v>1743</v>
      </c>
      <c r="C50" s="700">
        <f>SUM(C47:C49)</f>
        <v>0</v>
      </c>
      <c r="D50" s="700">
        <f t="shared" ref="D50:E50" si="1">SUM(D47:D49)</f>
        <v>0</v>
      </c>
      <c r="E50" s="700">
        <f t="shared" si="1"/>
        <v>24306513</v>
      </c>
    </row>
    <row r="51" spans="2:5" ht="15" customHeight="1" x14ac:dyDescent="0.2">
      <c r="B51" s="699" t="s">
        <v>1617</v>
      </c>
      <c r="C51" s="700">
        <f>SUM(C50,C46,C41)</f>
        <v>12200000</v>
      </c>
      <c r="D51" s="700">
        <f t="shared" ref="D51:E51" si="2">SUM(D50,D46,D41)</f>
        <v>16200000</v>
      </c>
      <c r="E51" s="700">
        <f t="shared" si="2"/>
        <v>122633097</v>
      </c>
    </row>
    <row r="52" spans="2:5" x14ac:dyDescent="0.2">
      <c r="B52" s="694"/>
      <c r="C52" s="694"/>
      <c r="D52" s="694"/>
      <c r="E52" s="694"/>
    </row>
    <row r="53" spans="2:5" x14ac:dyDescent="0.2">
      <c r="B53" s="694"/>
      <c r="C53" s="694"/>
      <c r="D53" s="694"/>
      <c r="E53" s="694"/>
    </row>
    <row r="54" spans="2:5" ht="13.2" x14ac:dyDescent="0.25">
      <c r="B54" s="695" t="s">
        <v>1739</v>
      </c>
      <c r="C54" s="695"/>
      <c r="D54" s="696"/>
      <c r="E54" s="696"/>
    </row>
    <row r="55" spans="2:5" ht="33.75" customHeight="1" x14ac:dyDescent="0.2">
      <c r="B55" s="697" t="s">
        <v>293</v>
      </c>
      <c r="C55" s="707" t="s">
        <v>1722</v>
      </c>
      <c r="D55" s="688" t="s">
        <v>1723</v>
      </c>
      <c r="E55" s="688" t="s">
        <v>1724</v>
      </c>
    </row>
    <row r="56" spans="2:5" ht="15" customHeight="1" x14ac:dyDescent="0.2">
      <c r="B56" s="775" t="s">
        <v>1745</v>
      </c>
      <c r="C56" s="776"/>
      <c r="D56" s="777"/>
      <c r="E56" s="778">
        <v>100000</v>
      </c>
    </row>
    <row r="57" spans="2:5" ht="15" customHeight="1" x14ac:dyDescent="0.2">
      <c r="B57" s="775" t="s">
        <v>1746</v>
      </c>
      <c r="C57" s="776"/>
      <c r="D57" s="777"/>
      <c r="E57" s="778">
        <v>1267555</v>
      </c>
    </row>
    <row r="58" spans="2:5" ht="15" customHeight="1" x14ac:dyDescent="0.2">
      <c r="B58" s="697" t="s">
        <v>1744</v>
      </c>
      <c r="C58" s="779">
        <f>SUM(C56:C57)</f>
        <v>0</v>
      </c>
      <c r="D58" s="780">
        <f t="shared" ref="D58:E58" si="3">SUM(D56:D57)</f>
        <v>0</v>
      </c>
      <c r="E58" s="781">
        <f t="shared" si="3"/>
        <v>1367555</v>
      </c>
    </row>
    <row r="59" spans="2:5" ht="15" customHeight="1" x14ac:dyDescent="0.2">
      <c r="B59" s="696" t="s">
        <v>1619</v>
      </c>
      <c r="C59" s="689"/>
      <c r="D59" s="689"/>
      <c r="E59" s="689">
        <v>1537401</v>
      </c>
    </row>
    <row r="60" spans="2:5" ht="15" customHeight="1" x14ac:dyDescent="0.2">
      <c r="B60" s="706" t="s">
        <v>1620</v>
      </c>
      <c r="C60" s="710"/>
      <c r="D60" s="689"/>
      <c r="E60" s="689">
        <v>3189759</v>
      </c>
    </row>
    <row r="61" spans="2:5" ht="15" customHeight="1" x14ac:dyDescent="0.2">
      <c r="B61" s="706" t="s">
        <v>1748</v>
      </c>
      <c r="C61" s="710"/>
      <c r="D61" s="689"/>
      <c r="E61" s="689">
        <v>64000</v>
      </c>
    </row>
    <row r="62" spans="2:5" ht="25.5" customHeight="1" x14ac:dyDescent="0.2">
      <c r="B62" s="705" t="s">
        <v>1751</v>
      </c>
      <c r="C62" s="709"/>
      <c r="D62" s="689"/>
      <c r="E62" s="689">
        <v>8564335</v>
      </c>
    </row>
    <row r="63" spans="2:5" ht="15" customHeight="1" x14ac:dyDescent="0.2">
      <c r="B63" s="696" t="s">
        <v>1621</v>
      </c>
      <c r="C63" s="689"/>
      <c r="D63" s="689"/>
      <c r="E63" s="689">
        <v>973730</v>
      </c>
    </row>
    <row r="64" spans="2:5" ht="15" customHeight="1" x14ac:dyDescent="0.2">
      <c r="B64" s="696" t="s">
        <v>1622</v>
      </c>
      <c r="C64" s="689"/>
      <c r="D64" s="689"/>
      <c r="E64" s="689">
        <v>5000</v>
      </c>
    </row>
    <row r="65" spans="2:5" ht="15" customHeight="1" x14ac:dyDescent="0.2">
      <c r="B65" s="696" t="s">
        <v>1747</v>
      </c>
      <c r="C65" s="689"/>
      <c r="D65" s="689"/>
      <c r="E65" s="689">
        <v>3329258</v>
      </c>
    </row>
    <row r="66" spans="2:5" ht="15" customHeight="1" x14ac:dyDescent="0.2">
      <c r="B66" s="696" t="s">
        <v>1627</v>
      </c>
      <c r="C66" s="689">
        <v>10070000</v>
      </c>
      <c r="D66" s="689">
        <v>10070000</v>
      </c>
      <c r="E66" s="689">
        <v>3037538</v>
      </c>
    </row>
    <row r="67" spans="2:5" ht="15" customHeight="1" x14ac:dyDescent="0.2">
      <c r="B67" s="696" t="s">
        <v>1749</v>
      </c>
      <c r="C67" s="689"/>
      <c r="D67" s="689"/>
      <c r="E67" s="689">
        <v>268800</v>
      </c>
    </row>
    <row r="68" spans="2:5" ht="15" customHeight="1" x14ac:dyDescent="0.2">
      <c r="B68" s="696" t="s">
        <v>1750</v>
      </c>
      <c r="C68" s="689"/>
      <c r="D68" s="689"/>
      <c r="E68" s="689">
        <v>713528</v>
      </c>
    </row>
    <row r="69" spans="2:5" ht="15" customHeight="1" x14ac:dyDescent="0.2">
      <c r="B69" s="699" t="s">
        <v>1623</v>
      </c>
      <c r="C69" s="700">
        <f t="shared" ref="C69:D69" si="4">SUM(C59:C68)</f>
        <v>10070000</v>
      </c>
      <c r="D69" s="700">
        <f t="shared" si="4"/>
        <v>10070000</v>
      </c>
      <c r="E69" s="700">
        <f>SUM(E59:E68)</f>
        <v>21683349</v>
      </c>
    </row>
  </sheetData>
  <mergeCells count="3">
    <mergeCell ref="B1:E1"/>
    <mergeCell ref="B4:D4"/>
    <mergeCell ref="B3:E3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J40"/>
  <sheetViews>
    <sheetView showGridLines="0" zoomScaleNormal="100" workbookViewId="0">
      <selection activeCell="A2" sqref="A2"/>
    </sheetView>
  </sheetViews>
  <sheetFormatPr defaultColWidth="9.33203125" defaultRowHeight="13.2" x14ac:dyDescent="0.25"/>
  <cols>
    <col min="1" max="1" width="39.6640625" style="5" customWidth="1"/>
    <col min="2" max="7" width="15.6640625" style="4" customWidth="1"/>
    <col min="8" max="8" width="5.109375" style="4" customWidth="1"/>
    <col min="9" max="16384" width="9.33203125" style="4"/>
  </cols>
  <sheetData>
    <row r="1" spans="1:10" s="711" customFormat="1" ht="12.75" customHeight="1" x14ac:dyDescent="0.25">
      <c r="A1" s="1695" t="s">
        <v>1790</v>
      </c>
      <c r="B1" s="1698"/>
      <c r="C1" s="1698"/>
      <c r="D1" s="1698"/>
      <c r="E1" s="1698"/>
      <c r="F1" s="1698"/>
      <c r="G1" s="1698"/>
    </row>
    <row r="2" spans="1:10" s="711" customFormat="1" x14ac:dyDescent="0.25">
      <c r="B2" s="739"/>
      <c r="C2" s="739"/>
      <c r="D2" s="683"/>
      <c r="E2" s="683"/>
      <c r="F2" s="683"/>
    </row>
    <row r="3" spans="1:10" s="711" customFormat="1" ht="26.25" customHeight="1" x14ac:dyDescent="0.3">
      <c r="A3" s="1702" t="s">
        <v>1604</v>
      </c>
      <c r="B3" s="1702"/>
      <c r="C3" s="1702"/>
      <c r="D3" s="1702"/>
      <c r="E3" s="1702"/>
      <c r="F3" s="1702"/>
      <c r="G3" s="1702"/>
    </row>
    <row r="4" spans="1:10" s="711" customFormat="1" x14ac:dyDescent="0.25">
      <c r="B4" s="739"/>
      <c r="C4" s="739"/>
      <c r="D4" s="683"/>
      <c r="E4" s="683"/>
      <c r="F4" s="683"/>
    </row>
    <row r="5" spans="1:10" ht="18" customHeight="1" x14ac:dyDescent="0.25">
      <c r="A5" s="1700" t="s">
        <v>381</v>
      </c>
      <c r="B5" s="1700"/>
      <c r="C5" s="1700"/>
      <c r="D5" s="1700"/>
      <c r="E5" s="1700"/>
      <c r="F5" s="1700"/>
      <c r="G5" s="1700"/>
      <c r="H5" s="1701"/>
    </row>
    <row r="6" spans="1:10" ht="22.5" customHeight="1" thickBot="1" x14ac:dyDescent="0.35">
      <c r="A6" s="26"/>
      <c r="B6" s="10"/>
      <c r="C6" s="10"/>
      <c r="D6" s="10"/>
      <c r="E6" s="10"/>
      <c r="F6" s="1699" t="s">
        <v>1690</v>
      </c>
      <c r="G6" s="1699"/>
      <c r="H6" s="1701"/>
    </row>
    <row r="7" spans="1:10" s="6" customFormat="1" ht="50.25" customHeight="1" thickBot="1" x14ac:dyDescent="0.3">
      <c r="A7" s="27" t="s">
        <v>382</v>
      </c>
      <c r="B7" s="28" t="s">
        <v>383</v>
      </c>
      <c r="C7" s="28" t="s">
        <v>384</v>
      </c>
      <c r="D7" s="28" t="str">
        <f>+CONCATENATE("Felhasználás ",LEFT(ÖSSZEFÜGGÉSEK!A4,4)-1,". XII.31-ig")</f>
        <v>Felhasználás 2015. XII.31-ig</v>
      </c>
      <c r="E7" s="28" t="str">
        <f>+CONCATENATE(LEFT(ÖSSZEFÜGGÉSEK!A4,4),". évi módosított előirányzat")</f>
        <v>2016. évi módosított előirányzat</v>
      </c>
      <c r="F7" s="99" t="str">
        <f>+CONCATENATE(LEFT(ÖSSZEFÜGGÉSEK!A4,4),". évi teljesítés")</f>
        <v>2016. évi teljesítés</v>
      </c>
      <c r="G7" s="98" t="str">
        <f>+CONCATENATE("Összes teljesítés ",LEFT(ÖSSZEFÜGGÉSEK!A4,4),". dec. 31-ig")</f>
        <v>Összes teljesítés 2016. dec. 31-ig</v>
      </c>
      <c r="H7" s="1701"/>
      <c r="J7" s="765"/>
    </row>
    <row r="8" spans="1:10" s="10" customFormat="1" ht="12" customHeight="1" thickBot="1" x14ac:dyDescent="0.3">
      <c r="A8" s="453" t="s">
        <v>46</v>
      </c>
      <c r="B8" s="454" t="s">
        <v>47</v>
      </c>
      <c r="C8" s="454" t="s">
        <v>48</v>
      </c>
      <c r="D8" s="454" t="s">
        <v>49</v>
      </c>
      <c r="E8" s="454" t="s">
        <v>50</v>
      </c>
      <c r="F8" s="45" t="s">
        <v>294</v>
      </c>
      <c r="G8" s="455" t="s">
        <v>385</v>
      </c>
      <c r="H8" s="1701"/>
    </row>
    <row r="9" spans="1:10" ht="15.9" customHeight="1" x14ac:dyDescent="0.25">
      <c r="A9" s="802" t="s">
        <v>386</v>
      </c>
      <c r="B9" s="2"/>
      <c r="C9" s="11"/>
      <c r="D9" s="2"/>
      <c r="E9" s="797">
        <v>689500</v>
      </c>
      <c r="F9" s="799">
        <v>689500</v>
      </c>
      <c r="G9" s="807">
        <f>+D9+F9</f>
        <v>689500</v>
      </c>
      <c r="H9" s="1701"/>
    </row>
    <row r="10" spans="1:10" ht="15.9" customHeight="1" x14ac:dyDescent="0.25">
      <c r="A10" s="802" t="s">
        <v>387</v>
      </c>
      <c r="B10" s="2"/>
      <c r="C10" s="11"/>
      <c r="D10" s="2"/>
      <c r="E10" s="797">
        <v>562980</v>
      </c>
      <c r="F10" s="799">
        <v>553100</v>
      </c>
      <c r="G10" s="807">
        <f t="shared" ref="G10:G29" si="0">+D10+F10</f>
        <v>553100</v>
      </c>
      <c r="H10" s="1701"/>
    </row>
    <row r="11" spans="1:10" ht="15.9" customHeight="1" x14ac:dyDescent="0.25">
      <c r="A11" s="802" t="s">
        <v>1776</v>
      </c>
      <c r="B11" s="2"/>
      <c r="C11" s="11"/>
      <c r="D11" s="2"/>
      <c r="E11" s="799">
        <v>38441279</v>
      </c>
      <c r="F11" s="799">
        <v>38441279</v>
      </c>
      <c r="G11" s="807">
        <f t="shared" si="0"/>
        <v>38441279</v>
      </c>
      <c r="H11" s="1701"/>
    </row>
    <row r="12" spans="1:10" ht="15.9" customHeight="1" x14ac:dyDescent="0.25">
      <c r="A12" s="798" t="s">
        <v>1777</v>
      </c>
      <c r="B12" s="2"/>
      <c r="C12" s="11"/>
      <c r="D12" s="2"/>
      <c r="E12" s="799">
        <v>12305737</v>
      </c>
      <c r="F12" s="799">
        <v>12305737</v>
      </c>
      <c r="G12" s="807">
        <f t="shared" si="0"/>
        <v>12305737</v>
      </c>
      <c r="H12" s="1701"/>
    </row>
    <row r="13" spans="1:10" ht="28.5" customHeight="1" x14ac:dyDescent="0.25">
      <c r="A13" s="797" t="s">
        <v>1769</v>
      </c>
      <c r="B13" s="2"/>
      <c r="C13" s="11"/>
      <c r="D13" s="2"/>
      <c r="E13" s="799">
        <v>700000</v>
      </c>
      <c r="F13" s="799">
        <v>589979</v>
      </c>
      <c r="G13" s="807">
        <f t="shared" si="0"/>
        <v>589979</v>
      </c>
      <c r="H13" s="1701"/>
    </row>
    <row r="14" spans="1:10" ht="15.9" customHeight="1" x14ac:dyDescent="0.25">
      <c r="A14" s="797" t="s">
        <v>1778</v>
      </c>
      <c r="B14" s="2"/>
      <c r="C14" s="11"/>
      <c r="D14" s="2"/>
      <c r="E14" s="799">
        <v>2814598</v>
      </c>
      <c r="F14" s="799">
        <f>2784109+30489</f>
        <v>2814598</v>
      </c>
      <c r="G14" s="807">
        <f t="shared" si="0"/>
        <v>2814598</v>
      </c>
      <c r="H14" s="1701"/>
    </row>
    <row r="15" spans="1:10" ht="24" customHeight="1" x14ac:dyDescent="0.3">
      <c r="A15" s="804" t="s">
        <v>1779</v>
      </c>
      <c r="B15" s="803"/>
      <c r="C15" s="803"/>
      <c r="D15" s="2"/>
      <c r="E15" s="799">
        <v>9745241</v>
      </c>
      <c r="F15" s="799">
        <v>9745241</v>
      </c>
      <c r="G15" s="807">
        <f t="shared" si="0"/>
        <v>9745241</v>
      </c>
      <c r="H15" s="1701"/>
    </row>
    <row r="16" spans="1:10" ht="15.9" customHeight="1" x14ac:dyDescent="0.3">
      <c r="A16" s="806" t="s">
        <v>1780</v>
      </c>
      <c r="B16" s="2"/>
      <c r="C16" s="11"/>
      <c r="D16" s="2"/>
      <c r="E16" s="799">
        <v>60800</v>
      </c>
      <c r="F16" s="808">
        <v>60800</v>
      </c>
      <c r="G16" s="807">
        <f t="shared" si="0"/>
        <v>60800</v>
      </c>
      <c r="H16" s="1701"/>
    </row>
    <row r="17" spans="1:8" ht="15.9" customHeight="1" x14ac:dyDescent="0.3">
      <c r="A17" s="806" t="s">
        <v>1783</v>
      </c>
      <c r="B17" s="2"/>
      <c r="C17" s="11"/>
      <c r="D17" s="2"/>
      <c r="E17" s="809">
        <v>546100</v>
      </c>
      <c r="F17" s="808">
        <v>546100</v>
      </c>
      <c r="G17" s="807">
        <f t="shared" si="0"/>
        <v>546100</v>
      </c>
      <c r="H17" s="1701"/>
    </row>
    <row r="18" spans="1:8" ht="15.9" customHeight="1" x14ac:dyDescent="0.3">
      <c r="A18" s="806" t="s">
        <v>1781</v>
      </c>
      <c r="B18" s="2"/>
      <c r="C18" s="11"/>
      <c r="D18" s="2"/>
      <c r="E18" s="809">
        <v>151906</v>
      </c>
      <c r="F18" s="808">
        <v>151906</v>
      </c>
      <c r="G18" s="807">
        <f t="shared" si="0"/>
        <v>151906</v>
      </c>
      <c r="H18" s="1701"/>
    </row>
    <row r="19" spans="1:8" ht="15.9" customHeight="1" x14ac:dyDescent="0.3">
      <c r="A19" s="806" t="s">
        <v>1782</v>
      </c>
      <c r="B19" s="2"/>
      <c r="C19" s="11"/>
      <c r="D19" s="2"/>
      <c r="E19" s="809">
        <v>22190</v>
      </c>
      <c r="F19" s="810">
        <v>22190</v>
      </c>
      <c r="G19" s="807">
        <f t="shared" si="0"/>
        <v>22190</v>
      </c>
      <c r="H19" s="1701"/>
    </row>
    <row r="20" spans="1:8" ht="15.9" customHeight="1" x14ac:dyDescent="0.3">
      <c r="A20" s="806" t="s">
        <v>1784</v>
      </c>
      <c r="B20" s="2"/>
      <c r="C20" s="11"/>
      <c r="D20" s="2"/>
      <c r="E20" s="809">
        <v>181610</v>
      </c>
      <c r="F20" s="810">
        <v>181610</v>
      </c>
      <c r="G20" s="807">
        <f t="shared" si="0"/>
        <v>181610</v>
      </c>
      <c r="H20" s="1701"/>
    </row>
    <row r="21" spans="1:8" ht="15.9" customHeight="1" x14ac:dyDescent="0.3">
      <c r="A21" s="806" t="s">
        <v>1786</v>
      </c>
      <c r="B21" s="2"/>
      <c r="C21" s="11"/>
      <c r="D21" s="2"/>
      <c r="E21" s="809">
        <v>8775794</v>
      </c>
      <c r="F21" s="810"/>
      <c r="G21" s="807">
        <f t="shared" si="0"/>
        <v>0</v>
      </c>
      <c r="H21" s="1701"/>
    </row>
    <row r="22" spans="1:8" ht="15.9" customHeight="1" x14ac:dyDescent="0.2">
      <c r="A22" s="805" t="s">
        <v>1785</v>
      </c>
      <c r="B22" s="2"/>
      <c r="C22" s="11"/>
      <c r="D22" s="2"/>
      <c r="E22" s="809">
        <v>2095500</v>
      </c>
      <c r="F22" s="810"/>
      <c r="G22" s="807">
        <f t="shared" si="0"/>
        <v>0</v>
      </c>
      <c r="H22" s="1701"/>
    </row>
    <row r="23" spans="1:8" ht="15.9" customHeight="1" x14ac:dyDescent="0.25">
      <c r="A23" s="7"/>
      <c r="B23" s="2"/>
      <c r="C23" s="11"/>
      <c r="D23" s="2"/>
      <c r="E23" s="2"/>
      <c r="F23" s="46"/>
      <c r="G23" s="47">
        <f t="shared" si="0"/>
        <v>0</v>
      </c>
      <c r="H23" s="1701"/>
    </row>
    <row r="24" spans="1:8" ht="15.9" customHeight="1" x14ac:dyDescent="0.25">
      <c r="A24" s="7"/>
      <c r="B24" s="2"/>
      <c r="C24" s="11"/>
      <c r="D24" s="2"/>
      <c r="E24" s="2"/>
      <c r="F24" s="46"/>
      <c r="G24" s="47">
        <f t="shared" si="0"/>
        <v>0</v>
      </c>
      <c r="H24" s="1701"/>
    </row>
    <row r="25" spans="1:8" ht="15.9" customHeight="1" x14ac:dyDescent="0.25">
      <c r="A25" s="7"/>
      <c r="B25" s="2"/>
      <c r="C25" s="11"/>
      <c r="D25" s="2"/>
      <c r="E25" s="2"/>
      <c r="F25" s="46"/>
      <c r="G25" s="47">
        <f t="shared" si="0"/>
        <v>0</v>
      </c>
      <c r="H25" s="1701"/>
    </row>
    <row r="26" spans="1:8" ht="15.9" customHeight="1" x14ac:dyDescent="0.25">
      <c r="A26" s="7"/>
      <c r="B26" s="2"/>
      <c r="C26" s="11"/>
      <c r="D26" s="2"/>
      <c r="E26" s="2"/>
      <c r="F26" s="46"/>
      <c r="G26" s="47">
        <f t="shared" si="0"/>
        <v>0</v>
      </c>
      <c r="H26" s="1701"/>
    </row>
    <row r="27" spans="1:8" ht="15.9" customHeight="1" x14ac:dyDescent="0.25">
      <c r="A27" s="7"/>
      <c r="B27" s="2"/>
      <c r="C27" s="11"/>
      <c r="D27" s="2"/>
      <c r="E27" s="2"/>
      <c r="F27" s="46"/>
      <c r="G27" s="47">
        <f t="shared" si="0"/>
        <v>0</v>
      </c>
      <c r="H27" s="1701"/>
    </row>
    <row r="28" spans="1:8" ht="15.9" customHeight="1" x14ac:dyDescent="0.25">
      <c r="A28" s="7"/>
      <c r="B28" s="2"/>
      <c r="C28" s="11"/>
      <c r="D28" s="2"/>
      <c r="E28" s="2"/>
      <c r="F28" s="46"/>
      <c r="G28" s="47">
        <f t="shared" si="0"/>
        <v>0</v>
      </c>
      <c r="H28" s="1701"/>
    </row>
    <row r="29" spans="1:8" ht="15.9" customHeight="1" x14ac:dyDescent="0.25">
      <c r="A29" s="7"/>
      <c r="B29" s="2"/>
      <c r="C29" s="11"/>
      <c r="D29" s="2"/>
      <c r="E29" s="2"/>
      <c r="F29" s="46"/>
      <c r="G29" s="47">
        <f t="shared" si="0"/>
        <v>0</v>
      </c>
      <c r="H29" s="1701"/>
    </row>
    <row r="30" spans="1:8" ht="15.9" customHeight="1" thickBot="1" x14ac:dyDescent="0.3">
      <c r="A30" s="12"/>
      <c r="B30" s="3"/>
      <c r="C30" s="13"/>
      <c r="D30" s="3"/>
      <c r="E30" s="3"/>
      <c r="F30" s="48"/>
      <c r="G30" s="47"/>
      <c r="H30" s="1701"/>
    </row>
    <row r="31" spans="1:8" s="16" customFormat="1" ht="18" customHeight="1" thickBot="1" x14ac:dyDescent="0.3">
      <c r="A31" s="29" t="s">
        <v>388</v>
      </c>
      <c r="B31" s="14">
        <f>SUM(B9:B30)</f>
        <v>0</v>
      </c>
      <c r="C31" s="21"/>
      <c r="D31" s="14">
        <f>SUM(D9:D30)</f>
        <v>0</v>
      </c>
      <c r="E31" s="14">
        <f>SUM(E9:E30)</f>
        <v>77093235</v>
      </c>
      <c r="F31" s="14">
        <f>SUM(F9:F30)</f>
        <v>66102040</v>
      </c>
      <c r="G31" s="15">
        <f>SUM(G9:G30)</f>
        <v>66102040</v>
      </c>
      <c r="H31" s="1701"/>
    </row>
    <row r="32" spans="1:8" x14ac:dyDescent="0.25">
      <c r="F32" s="16"/>
      <c r="G32" s="16"/>
      <c r="H32" s="644"/>
    </row>
    <row r="33" spans="8:8" x14ac:dyDescent="0.25">
      <c r="H33" s="644"/>
    </row>
    <row r="34" spans="8:8" x14ac:dyDescent="0.25">
      <c r="H34" s="644"/>
    </row>
    <row r="35" spans="8:8" x14ac:dyDescent="0.25">
      <c r="H35" s="644"/>
    </row>
    <row r="36" spans="8:8" x14ac:dyDescent="0.25">
      <c r="H36" s="644"/>
    </row>
    <row r="37" spans="8:8" x14ac:dyDescent="0.25">
      <c r="H37" s="644"/>
    </row>
    <row r="38" spans="8:8" x14ac:dyDescent="0.25">
      <c r="H38" s="644"/>
    </row>
    <row r="39" spans="8:8" x14ac:dyDescent="0.25">
      <c r="H39" s="644"/>
    </row>
    <row r="40" spans="8:8" x14ac:dyDescent="0.25">
      <c r="H40" s="644"/>
    </row>
  </sheetData>
  <mergeCells count="5">
    <mergeCell ref="A1:G1"/>
    <mergeCell ref="F6:G6"/>
    <mergeCell ref="A5:G5"/>
    <mergeCell ref="H5:H31"/>
    <mergeCell ref="A3:G3"/>
  </mergeCells>
  <phoneticPr fontId="0" type="noConversion"/>
  <printOptions horizontalCentered="1"/>
  <pageMargins left="0.78740157480314965" right="0.78740157480314965" top="1" bottom="0.98425196850393704" header="0.78740157480314965" footer="0.78740157480314965"/>
  <pageSetup paperSize="9" scale="103" orientation="landscape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  <pageSetUpPr fitToPage="1"/>
  </sheetPr>
  <dimension ref="A1:H29"/>
  <sheetViews>
    <sheetView showGridLines="0" zoomScaleNormal="100" zoomScaleSheetLayoutView="130" workbookViewId="0">
      <selection activeCell="A2" sqref="A2"/>
    </sheetView>
  </sheetViews>
  <sheetFormatPr defaultColWidth="9.33203125" defaultRowHeight="13.2" x14ac:dyDescent="0.25"/>
  <cols>
    <col min="1" max="1" width="48.109375" style="5" customWidth="1"/>
    <col min="2" max="7" width="15.77734375" style="4" customWidth="1"/>
    <col min="8" max="8" width="4.109375" style="4" customWidth="1"/>
    <col min="9" max="9" width="13.77734375" style="4" customWidth="1"/>
    <col min="10" max="16384" width="9.33203125" style="4"/>
  </cols>
  <sheetData>
    <row r="1" spans="1:8" s="711" customFormat="1" ht="12.75" customHeight="1" x14ac:dyDescent="0.25">
      <c r="A1" s="1695" t="s">
        <v>1789</v>
      </c>
      <c r="B1" s="1698"/>
      <c r="C1" s="1698"/>
      <c r="D1" s="1698"/>
      <c r="E1" s="1698"/>
      <c r="F1" s="1698"/>
      <c r="G1" s="1698"/>
    </row>
    <row r="2" spans="1:8" s="711" customFormat="1" x14ac:dyDescent="0.25">
      <c r="B2" s="739"/>
      <c r="C2" s="739"/>
      <c r="D2" s="683"/>
      <c r="E2" s="683"/>
      <c r="F2" s="683"/>
    </row>
    <row r="3" spans="1:8" s="711" customFormat="1" ht="30.75" customHeight="1" x14ac:dyDescent="0.3">
      <c r="A3" s="1702" t="s">
        <v>1604</v>
      </c>
      <c r="B3" s="1702"/>
      <c r="C3" s="1702"/>
      <c r="D3" s="1702"/>
      <c r="E3" s="1702"/>
      <c r="F3" s="1702"/>
      <c r="G3" s="1702"/>
    </row>
    <row r="4" spans="1:8" s="711" customFormat="1" ht="30.75" customHeight="1" x14ac:dyDescent="0.3">
      <c r="A4" s="714"/>
      <c r="B4" s="714"/>
      <c r="C4" s="714"/>
      <c r="D4" s="714"/>
      <c r="E4" s="714"/>
      <c r="F4" s="714"/>
      <c r="G4" s="714"/>
    </row>
    <row r="5" spans="1:8" s="711" customFormat="1" x14ac:dyDescent="0.25">
      <c r="B5" s="739"/>
      <c r="C5" s="739"/>
      <c r="D5" s="683"/>
      <c r="E5" s="683"/>
      <c r="F5" s="683"/>
    </row>
    <row r="6" spans="1:8" ht="24.75" customHeight="1" x14ac:dyDescent="0.25">
      <c r="A6" s="1700" t="s">
        <v>389</v>
      </c>
      <c r="B6" s="1700"/>
      <c r="C6" s="1700"/>
      <c r="D6" s="1700"/>
      <c r="E6" s="1700"/>
      <c r="F6" s="1700"/>
      <c r="G6" s="1700"/>
      <c r="H6" s="1703" t="str">
        <f>+CONCATENATE("4. melléklet a ……/",LEFT(ÖSSZEFÜGGÉSEK!A4,4)+1,". (……) önkormányzati rendelethez")</f>
        <v>4. melléklet a ……/2017. (……) önkormányzati rendelethez</v>
      </c>
    </row>
    <row r="7" spans="1:8" ht="23.25" customHeight="1" thickBot="1" x14ac:dyDescent="0.35">
      <c r="A7" s="26"/>
      <c r="B7" s="10"/>
      <c r="C7" s="10"/>
      <c r="D7" s="10"/>
      <c r="E7" s="10"/>
      <c r="F7" s="1699" t="s">
        <v>1690</v>
      </c>
      <c r="G7" s="1699"/>
      <c r="H7" s="1703"/>
    </row>
    <row r="8" spans="1:8" s="6" customFormat="1" ht="48.75" customHeight="1" thickBot="1" x14ac:dyDescent="0.3">
      <c r="A8" s="27" t="s">
        <v>390</v>
      </c>
      <c r="B8" s="28" t="s">
        <v>383</v>
      </c>
      <c r="C8" s="28" t="s">
        <v>384</v>
      </c>
      <c r="D8" s="28" t="str">
        <f>+'7a.sz.mell'!D7</f>
        <v>Felhasználás 2015. XII.31-ig</v>
      </c>
      <c r="E8" s="28" t="str">
        <f>+'7a.sz.mell'!E7</f>
        <v>2016. évi módosított előirányzat</v>
      </c>
      <c r="F8" s="99" t="str">
        <f>+'7a.sz.mell'!F7</f>
        <v>2016. évi teljesítés</v>
      </c>
      <c r="G8" s="98" t="str">
        <f>+'7a.sz.mell'!G7</f>
        <v>Összes teljesítés 2016. dec. 31-ig</v>
      </c>
      <c r="H8" s="1703"/>
    </row>
    <row r="9" spans="1:8" s="10" customFormat="1" ht="15" customHeight="1" thickBot="1" x14ac:dyDescent="0.3">
      <c r="A9" s="453" t="s">
        <v>46</v>
      </c>
      <c r="B9" s="454" t="s">
        <v>47</v>
      </c>
      <c r="C9" s="454" t="s">
        <v>48</v>
      </c>
      <c r="D9" s="454" t="s">
        <v>49</v>
      </c>
      <c r="E9" s="454" t="s">
        <v>50</v>
      </c>
      <c r="F9" s="45" t="s">
        <v>294</v>
      </c>
      <c r="G9" s="455" t="s">
        <v>385</v>
      </c>
      <c r="H9" s="1703"/>
    </row>
    <row r="10" spans="1:8" ht="15.9" customHeight="1" x14ac:dyDescent="0.25">
      <c r="A10" s="797" t="s">
        <v>1766</v>
      </c>
      <c r="B10" s="2"/>
      <c r="C10" s="11"/>
      <c r="D10" s="2"/>
      <c r="E10" s="799">
        <v>26000000</v>
      </c>
      <c r="F10" s="799">
        <v>21359114</v>
      </c>
      <c r="G10" s="47">
        <f>+D10+F10</f>
        <v>21359114</v>
      </c>
      <c r="H10" s="1703"/>
    </row>
    <row r="11" spans="1:8" ht="15.9" customHeight="1" x14ac:dyDescent="0.25">
      <c r="A11" s="797" t="s">
        <v>1771</v>
      </c>
      <c r="B11" s="2"/>
      <c r="C11" s="11"/>
      <c r="D11" s="2"/>
      <c r="E11" s="799">
        <v>30000000</v>
      </c>
      <c r="F11" s="799">
        <v>39157162</v>
      </c>
      <c r="G11" s="47">
        <f t="shared" ref="G11:G28" si="0">+D11+F11</f>
        <v>39157162</v>
      </c>
      <c r="H11" s="1703"/>
    </row>
    <row r="12" spans="1:8" ht="15.9" customHeight="1" x14ac:dyDescent="0.25">
      <c r="A12" s="797" t="s">
        <v>1767</v>
      </c>
      <c r="B12" s="2"/>
      <c r="C12" s="11"/>
      <c r="D12" s="2"/>
      <c r="E12" s="799">
        <v>7000000</v>
      </c>
      <c r="F12" s="799">
        <v>5476358</v>
      </c>
      <c r="G12" s="47">
        <f t="shared" si="0"/>
        <v>5476358</v>
      </c>
      <c r="H12" s="1703"/>
    </row>
    <row r="13" spans="1:8" ht="15.9" customHeight="1" x14ac:dyDescent="0.25">
      <c r="A13" s="797" t="s">
        <v>1772</v>
      </c>
      <c r="B13" s="2"/>
      <c r="C13" s="11"/>
      <c r="D13" s="2"/>
      <c r="E13" s="799">
        <f>4260808+1150419</f>
        <v>5411227</v>
      </c>
      <c r="F13" s="799">
        <v>4163086</v>
      </c>
      <c r="G13" s="47">
        <f t="shared" si="0"/>
        <v>4163086</v>
      </c>
      <c r="H13" s="1703"/>
    </row>
    <row r="14" spans="1:8" ht="15.9" customHeight="1" x14ac:dyDescent="0.25">
      <c r="A14" s="797" t="s">
        <v>1773</v>
      </c>
      <c r="B14" s="2"/>
      <c r="C14" s="11"/>
      <c r="D14" s="2"/>
      <c r="E14" s="799"/>
      <c r="F14" s="799">
        <v>127000</v>
      </c>
      <c r="G14" s="47">
        <f t="shared" si="0"/>
        <v>127000</v>
      </c>
      <c r="H14" s="1703"/>
    </row>
    <row r="15" spans="1:8" ht="15.9" customHeight="1" x14ac:dyDescent="0.25">
      <c r="A15" s="797" t="s">
        <v>1768</v>
      </c>
      <c r="B15" s="2"/>
      <c r="C15" s="11"/>
      <c r="D15" s="2"/>
      <c r="E15" s="799">
        <f>8000000-2827492</f>
        <v>5172508</v>
      </c>
      <c r="F15" s="799">
        <v>3008035</v>
      </c>
      <c r="G15" s="47">
        <f t="shared" si="0"/>
        <v>3008035</v>
      </c>
      <c r="H15" s="1703"/>
    </row>
    <row r="16" spans="1:8" ht="23.25" customHeight="1" x14ac:dyDescent="0.25">
      <c r="A16" s="797" t="s">
        <v>1769</v>
      </c>
      <c r="B16" s="2"/>
      <c r="C16" s="11"/>
      <c r="D16" s="2"/>
      <c r="E16" s="799">
        <v>0</v>
      </c>
      <c r="F16" s="799"/>
      <c r="G16" s="47">
        <f t="shared" si="0"/>
        <v>0</v>
      </c>
      <c r="H16" s="1703"/>
    </row>
    <row r="17" spans="1:8" ht="15.9" customHeight="1" x14ac:dyDescent="0.25">
      <c r="A17" s="798" t="s">
        <v>1770</v>
      </c>
      <c r="B17" s="2"/>
      <c r="C17" s="11"/>
      <c r="D17" s="2"/>
      <c r="E17" s="799">
        <v>25000000</v>
      </c>
      <c r="F17" s="799">
        <v>21518703</v>
      </c>
      <c r="G17" s="47">
        <f t="shared" si="0"/>
        <v>21518703</v>
      </c>
      <c r="H17" s="1703"/>
    </row>
    <row r="18" spans="1:8" ht="15.9" customHeight="1" x14ac:dyDescent="0.25">
      <c r="A18" s="800" t="s">
        <v>1774</v>
      </c>
      <c r="B18" s="2"/>
      <c r="C18" s="329"/>
      <c r="D18" s="2"/>
      <c r="E18" s="2">
        <v>712734</v>
      </c>
      <c r="F18" s="46">
        <v>737879</v>
      </c>
      <c r="G18" s="47">
        <f t="shared" si="0"/>
        <v>737879</v>
      </c>
      <c r="H18" s="1703"/>
    </row>
    <row r="19" spans="1:8" ht="15.9" customHeight="1" x14ac:dyDescent="0.25">
      <c r="A19" s="801" t="s">
        <v>1775</v>
      </c>
      <c r="B19" s="2"/>
      <c r="C19" s="329"/>
      <c r="D19" s="2"/>
      <c r="E19" s="2"/>
      <c r="F19" s="46">
        <v>670560</v>
      </c>
      <c r="G19" s="47">
        <f t="shared" si="0"/>
        <v>670560</v>
      </c>
      <c r="H19" s="1703"/>
    </row>
    <row r="20" spans="1:8" ht="15.9" customHeight="1" x14ac:dyDescent="0.25">
      <c r="A20" s="17"/>
      <c r="B20" s="2"/>
      <c r="C20" s="329"/>
      <c r="D20" s="2"/>
      <c r="E20" s="2"/>
      <c r="F20" s="46"/>
      <c r="G20" s="47">
        <f t="shared" si="0"/>
        <v>0</v>
      </c>
      <c r="H20" s="1703"/>
    </row>
    <row r="21" spans="1:8" ht="15.9" customHeight="1" x14ac:dyDescent="0.25">
      <c r="A21" s="17"/>
      <c r="B21" s="2"/>
      <c r="C21" s="329"/>
      <c r="D21" s="2"/>
      <c r="E21" s="2"/>
      <c r="F21" s="46"/>
      <c r="G21" s="47">
        <f t="shared" si="0"/>
        <v>0</v>
      </c>
      <c r="H21" s="1703"/>
    </row>
    <row r="22" spans="1:8" ht="15.9" customHeight="1" x14ac:dyDescent="0.25">
      <c r="A22" s="17"/>
      <c r="B22" s="2"/>
      <c r="C22" s="329"/>
      <c r="D22" s="2"/>
      <c r="E22" s="2"/>
      <c r="F22" s="46"/>
      <c r="G22" s="47">
        <f t="shared" si="0"/>
        <v>0</v>
      </c>
      <c r="H22" s="1703"/>
    </row>
    <row r="23" spans="1:8" ht="15.9" customHeight="1" x14ac:dyDescent="0.25">
      <c r="A23" s="17"/>
      <c r="B23" s="2"/>
      <c r="C23" s="329"/>
      <c r="D23" s="2"/>
      <c r="E23" s="2"/>
      <c r="F23" s="46"/>
      <c r="G23" s="47">
        <f t="shared" si="0"/>
        <v>0</v>
      </c>
      <c r="H23" s="1703"/>
    </row>
    <row r="24" spans="1:8" ht="15.9" customHeight="1" x14ac:dyDescent="0.25">
      <c r="A24" s="17"/>
      <c r="B24" s="2"/>
      <c r="C24" s="329"/>
      <c r="D24" s="2"/>
      <c r="E24" s="2"/>
      <c r="F24" s="46"/>
      <c r="G24" s="47">
        <f t="shared" si="0"/>
        <v>0</v>
      </c>
      <c r="H24" s="1703"/>
    </row>
    <row r="25" spans="1:8" ht="15.9" customHeight="1" x14ac:dyDescent="0.25">
      <c r="A25" s="17"/>
      <c r="B25" s="2"/>
      <c r="C25" s="329"/>
      <c r="D25" s="2"/>
      <c r="E25" s="2"/>
      <c r="F25" s="46"/>
      <c r="G25" s="47">
        <f t="shared" si="0"/>
        <v>0</v>
      </c>
      <c r="H25" s="1703"/>
    </row>
    <row r="26" spans="1:8" ht="15.9" customHeight="1" x14ac:dyDescent="0.25">
      <c r="A26" s="17"/>
      <c r="B26" s="2"/>
      <c r="C26" s="329"/>
      <c r="D26" s="2"/>
      <c r="E26" s="2"/>
      <c r="F26" s="46"/>
      <c r="G26" s="47">
        <f t="shared" si="0"/>
        <v>0</v>
      </c>
      <c r="H26" s="1703"/>
    </row>
    <row r="27" spans="1:8" ht="15.9" customHeight="1" x14ac:dyDescent="0.25">
      <c r="A27" s="17"/>
      <c r="B27" s="2"/>
      <c r="C27" s="329"/>
      <c r="D27" s="2"/>
      <c r="E27" s="2"/>
      <c r="F27" s="46"/>
      <c r="G27" s="47">
        <f t="shared" si="0"/>
        <v>0</v>
      </c>
      <c r="H27" s="1703"/>
    </row>
    <row r="28" spans="1:8" ht="15.9" customHeight="1" thickBot="1" x14ac:dyDescent="0.3">
      <c r="A28" s="18"/>
      <c r="B28" s="3"/>
      <c r="C28" s="330"/>
      <c r="D28" s="3"/>
      <c r="E28" s="3"/>
      <c r="F28" s="48"/>
      <c r="G28" s="47">
        <f t="shared" si="0"/>
        <v>0</v>
      </c>
      <c r="H28" s="1703"/>
    </row>
    <row r="29" spans="1:8" s="16" customFormat="1" ht="18" customHeight="1" thickBot="1" x14ac:dyDescent="0.3">
      <c r="A29" s="29" t="s">
        <v>388</v>
      </c>
      <c r="B29" s="14">
        <f>SUM(B10:B28)</f>
        <v>0</v>
      </c>
      <c r="C29" s="21"/>
      <c r="D29" s="14">
        <f>SUM(D10:D28)</f>
        <v>0</v>
      </c>
      <c r="E29" s="14">
        <f>SUM(E10:E28)</f>
        <v>99296469</v>
      </c>
      <c r="F29" s="14">
        <f>SUM(F10:F28)</f>
        <v>96217897</v>
      </c>
      <c r="G29" s="15">
        <f>SUM(G10:G28)</f>
        <v>96217897</v>
      </c>
      <c r="H29" s="1703"/>
    </row>
  </sheetData>
  <mergeCells count="5">
    <mergeCell ref="A1:G1"/>
    <mergeCell ref="F7:G7"/>
    <mergeCell ref="A6:G6"/>
    <mergeCell ref="H6:H29"/>
    <mergeCell ref="A3:G3"/>
  </mergeCells>
  <phoneticPr fontId="0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85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</sheetPr>
  <dimension ref="B1:F46"/>
  <sheetViews>
    <sheetView showGridLines="0" workbookViewId="0">
      <selection activeCell="B2" sqref="B2"/>
    </sheetView>
  </sheetViews>
  <sheetFormatPr defaultColWidth="9.33203125" defaultRowHeight="10.199999999999999" x14ac:dyDescent="0.2"/>
  <cols>
    <col min="1" max="1" width="9.33203125" style="711"/>
    <col min="2" max="2" width="60.6640625" style="711" customWidth="1"/>
    <col min="3" max="3" width="17.6640625" style="711" customWidth="1"/>
    <col min="4" max="4" width="16" style="711" customWidth="1"/>
    <col min="5" max="5" width="15" style="711" customWidth="1"/>
    <col min="6" max="16384" width="9.33203125" style="711"/>
  </cols>
  <sheetData>
    <row r="1" spans="2:6" ht="13.2" x14ac:dyDescent="0.25">
      <c r="B1" s="1695" t="s">
        <v>1759</v>
      </c>
      <c r="C1" s="1698"/>
      <c r="D1" s="1698"/>
      <c r="E1" s="1698"/>
      <c r="F1" s="683"/>
    </row>
    <row r="2" spans="2:6" x14ac:dyDescent="0.2">
      <c r="B2" s="712"/>
      <c r="C2" s="713"/>
    </row>
    <row r="4" spans="2:6" ht="17.399999999999999" x14ac:dyDescent="0.3">
      <c r="B4" s="1702" t="s">
        <v>1604</v>
      </c>
      <c r="C4" s="1702"/>
      <c r="D4" s="1702"/>
      <c r="E4" s="1702"/>
    </row>
    <row r="5" spans="2:6" ht="17.399999999999999" x14ac:dyDescent="0.3">
      <c r="B5" s="1702"/>
      <c r="C5" s="1702"/>
    </row>
    <row r="6" spans="2:6" ht="17.399999999999999" x14ac:dyDescent="0.3">
      <c r="B6" s="714"/>
    </row>
    <row r="7" spans="2:6" ht="20.399999999999999" x14ac:dyDescent="0.35">
      <c r="B7" s="715"/>
      <c r="C7" s="716"/>
    </row>
    <row r="8" spans="2:6" ht="17.399999999999999" x14ac:dyDescent="0.3">
      <c r="B8" s="717" t="s">
        <v>1629</v>
      </c>
      <c r="C8" s="718"/>
      <c r="E8" s="790" t="s">
        <v>1689</v>
      </c>
    </row>
    <row r="9" spans="2:6" ht="20.399999999999999" x14ac:dyDescent="0.2">
      <c r="B9" s="719" t="s">
        <v>293</v>
      </c>
      <c r="C9" s="707" t="s">
        <v>1722</v>
      </c>
      <c r="D9" s="688" t="s">
        <v>1723</v>
      </c>
      <c r="E9" s="688" t="s">
        <v>1724</v>
      </c>
    </row>
    <row r="10" spans="2:6" ht="15" customHeight="1" x14ac:dyDescent="0.25">
      <c r="B10" s="782" t="s">
        <v>1752</v>
      </c>
      <c r="C10" s="783">
        <v>2000000</v>
      </c>
      <c r="D10" s="783">
        <f>2000000</f>
        <v>2000000</v>
      </c>
      <c r="E10" s="783">
        <v>1500000</v>
      </c>
    </row>
    <row r="11" spans="2:6" ht="15" customHeight="1" x14ac:dyDescent="0.25">
      <c r="B11" s="782" t="s">
        <v>1754</v>
      </c>
      <c r="C11" s="783">
        <v>500000</v>
      </c>
      <c r="D11" s="783">
        <v>500000</v>
      </c>
      <c r="E11" s="783">
        <v>500000</v>
      </c>
    </row>
    <row r="12" spans="2:6" ht="15" customHeight="1" x14ac:dyDescent="0.25">
      <c r="B12" s="782" t="s">
        <v>1630</v>
      </c>
      <c r="C12" s="783">
        <v>100000</v>
      </c>
      <c r="D12" s="783">
        <v>100000</v>
      </c>
      <c r="E12" s="783">
        <v>100000</v>
      </c>
    </row>
    <row r="13" spans="2:6" ht="15" customHeight="1" x14ac:dyDescent="0.25">
      <c r="B13" s="782" t="s">
        <v>1631</v>
      </c>
      <c r="C13" s="783">
        <v>100000</v>
      </c>
      <c r="D13" s="783">
        <v>100000</v>
      </c>
      <c r="E13" s="783">
        <v>100000</v>
      </c>
    </row>
    <row r="14" spans="2:6" ht="15" customHeight="1" x14ac:dyDescent="0.25">
      <c r="B14" s="782" t="s">
        <v>1632</v>
      </c>
      <c r="C14" s="783">
        <v>300000</v>
      </c>
      <c r="D14" s="783">
        <v>300000</v>
      </c>
      <c r="E14" s="783">
        <v>300000</v>
      </c>
    </row>
    <row r="15" spans="2:6" ht="15" customHeight="1" x14ac:dyDescent="0.25">
      <c r="B15" s="782" t="s">
        <v>1633</v>
      </c>
      <c r="C15" s="783">
        <v>1000000</v>
      </c>
      <c r="D15" s="783">
        <v>1000000</v>
      </c>
      <c r="E15" s="783">
        <v>1000000</v>
      </c>
    </row>
    <row r="16" spans="2:6" ht="15" customHeight="1" x14ac:dyDescent="0.25">
      <c r="B16" s="782" t="s">
        <v>1634</v>
      </c>
      <c r="C16" s="783">
        <v>2500000</v>
      </c>
      <c r="D16" s="783">
        <v>2500000</v>
      </c>
      <c r="E16" s="783">
        <v>2500000</v>
      </c>
    </row>
    <row r="17" spans="2:5" ht="15" customHeight="1" x14ac:dyDescent="0.25">
      <c r="B17" s="726" t="s">
        <v>1645</v>
      </c>
      <c r="C17" s="783">
        <v>350000</v>
      </c>
      <c r="D17" s="783">
        <v>420000</v>
      </c>
      <c r="E17" s="783">
        <v>420000</v>
      </c>
    </row>
    <row r="18" spans="2:5" ht="15" customHeight="1" x14ac:dyDescent="0.2">
      <c r="B18" s="784" t="s">
        <v>1635</v>
      </c>
      <c r="C18" s="785">
        <f>SUM(C10:C17)</f>
        <v>6850000</v>
      </c>
      <c r="D18" s="785">
        <f>SUM(D10:D17)</f>
        <v>6920000</v>
      </c>
      <c r="E18" s="785">
        <f>SUM(E10:E17)</f>
        <v>6420000</v>
      </c>
    </row>
    <row r="19" spans="2:5" ht="15" x14ac:dyDescent="0.25">
      <c r="B19" s="721"/>
      <c r="C19" s="721"/>
      <c r="D19" s="721"/>
      <c r="E19" s="722"/>
    </row>
    <row r="20" spans="2:5" ht="20.399999999999999" x14ac:dyDescent="0.2">
      <c r="B20" s="719" t="s">
        <v>293</v>
      </c>
      <c r="C20" s="707" t="s">
        <v>1722</v>
      </c>
      <c r="D20" s="688" t="s">
        <v>1723</v>
      </c>
      <c r="E20" s="688" t="s">
        <v>1724</v>
      </c>
    </row>
    <row r="21" spans="2:5" ht="15" customHeight="1" x14ac:dyDescent="0.25">
      <c r="B21" s="782" t="s">
        <v>1636</v>
      </c>
      <c r="C21" s="783">
        <v>68000000</v>
      </c>
      <c r="D21" s="783">
        <f>68000000</f>
        <v>68000000</v>
      </c>
      <c r="E21" s="783">
        <v>57302245</v>
      </c>
    </row>
    <row r="22" spans="2:5" ht="15" customHeight="1" x14ac:dyDescent="0.25">
      <c r="B22" s="726" t="s">
        <v>1753</v>
      </c>
      <c r="C22" s="783"/>
      <c r="D22" s="783">
        <v>250000</v>
      </c>
      <c r="E22" s="783">
        <v>250000</v>
      </c>
    </row>
    <row r="23" spans="2:5" ht="15" customHeight="1" x14ac:dyDescent="0.2">
      <c r="B23" s="784" t="s">
        <v>1637</v>
      </c>
      <c r="C23" s="785">
        <f>SUM(C21)</f>
        <v>68000000</v>
      </c>
      <c r="D23" s="785">
        <f>SUM(D21)</f>
        <v>68000000</v>
      </c>
      <c r="E23" s="785">
        <f>SUM(E21:E22)</f>
        <v>57552245</v>
      </c>
    </row>
    <row r="24" spans="2:5" ht="15" x14ac:dyDescent="0.25">
      <c r="B24" s="721"/>
      <c r="C24" s="721"/>
      <c r="D24" s="721"/>
      <c r="E24" s="721"/>
    </row>
    <row r="25" spans="2:5" ht="20.399999999999999" x14ac:dyDescent="0.2">
      <c r="B25" s="719" t="s">
        <v>293</v>
      </c>
      <c r="C25" s="707" t="s">
        <v>1722</v>
      </c>
      <c r="D25" s="688" t="s">
        <v>1723</v>
      </c>
      <c r="E25" s="688" t="s">
        <v>1724</v>
      </c>
    </row>
    <row r="26" spans="2:5" ht="15" customHeight="1" x14ac:dyDescent="0.25">
      <c r="B26" s="775" t="s">
        <v>1638</v>
      </c>
      <c r="C26" s="783">
        <v>32000</v>
      </c>
      <c r="D26" s="783">
        <v>59152</v>
      </c>
      <c r="E26" s="783">
        <v>59152</v>
      </c>
    </row>
    <row r="27" spans="2:5" ht="15" customHeight="1" x14ac:dyDescent="0.25">
      <c r="B27" s="775" t="s">
        <v>1639</v>
      </c>
      <c r="C27" s="783">
        <v>459000</v>
      </c>
      <c r="D27" s="783">
        <f>2562916+269124</f>
        <v>2832040</v>
      </c>
      <c r="E27" s="783">
        <v>2562916</v>
      </c>
    </row>
    <row r="28" spans="2:5" ht="15" customHeight="1" x14ac:dyDescent="0.25">
      <c r="B28" s="775" t="s">
        <v>1640</v>
      </c>
      <c r="C28" s="783">
        <v>3718000</v>
      </c>
      <c r="D28" s="783">
        <v>7727000</v>
      </c>
      <c r="E28" s="783">
        <v>7727000</v>
      </c>
    </row>
    <row r="29" spans="2:5" ht="15" customHeight="1" x14ac:dyDescent="0.25">
      <c r="B29" s="775" t="s">
        <v>1641</v>
      </c>
      <c r="C29" s="783">
        <v>30000</v>
      </c>
      <c r="D29" s="783">
        <v>123114</v>
      </c>
      <c r="E29" s="783">
        <v>123114</v>
      </c>
    </row>
    <row r="30" spans="2:5" ht="15" customHeight="1" x14ac:dyDescent="0.25">
      <c r="B30" s="786" t="s">
        <v>1642</v>
      </c>
      <c r="C30" s="783">
        <v>40000</v>
      </c>
      <c r="D30" s="783">
        <v>0</v>
      </c>
      <c r="E30" s="783"/>
    </row>
    <row r="31" spans="2:5" ht="15" customHeight="1" x14ac:dyDescent="0.25">
      <c r="B31" s="775" t="s">
        <v>1643</v>
      </c>
      <c r="C31" s="783">
        <v>60000</v>
      </c>
      <c r="D31" s="783">
        <v>22033</v>
      </c>
      <c r="E31" s="783">
        <v>22033</v>
      </c>
    </row>
    <row r="32" spans="2:5" ht="15" customHeight="1" x14ac:dyDescent="0.2">
      <c r="B32" s="787" t="s">
        <v>1644</v>
      </c>
      <c r="C32" s="785">
        <f>SUM(C26:C31)</f>
        <v>4339000</v>
      </c>
      <c r="D32" s="785">
        <f>SUM(D26:D31)</f>
        <v>10763339</v>
      </c>
      <c r="E32" s="785">
        <f>SUM(E26:E31)</f>
        <v>10494215</v>
      </c>
    </row>
    <row r="33" spans="2:5" ht="15.6" x14ac:dyDescent="0.2">
      <c r="B33" s="723"/>
      <c r="C33" s="724"/>
      <c r="D33" s="724"/>
      <c r="E33" s="725"/>
    </row>
    <row r="34" spans="2:5" ht="15.6" x14ac:dyDescent="0.2">
      <c r="B34" s="723"/>
      <c r="C34" s="724"/>
      <c r="D34" s="724"/>
      <c r="E34" s="725"/>
    </row>
    <row r="35" spans="2:5" ht="15.6" x14ac:dyDescent="0.2">
      <c r="B35" s="723"/>
      <c r="C35" s="724"/>
      <c r="D35" s="724"/>
      <c r="E35" s="725"/>
    </row>
    <row r="36" spans="2:5" ht="17.399999999999999" x14ac:dyDescent="0.3">
      <c r="B36" s="717" t="s">
        <v>1648</v>
      </c>
      <c r="C36" s="718"/>
      <c r="E36" s="718" t="s">
        <v>1755</v>
      </c>
    </row>
    <row r="37" spans="2:5" ht="20.399999999999999" x14ac:dyDescent="0.2">
      <c r="B37" s="719" t="s">
        <v>293</v>
      </c>
      <c r="C37" s="707" t="s">
        <v>1722</v>
      </c>
      <c r="D37" s="688" t="s">
        <v>1723</v>
      </c>
      <c r="E37" s="688" t="s">
        <v>1724</v>
      </c>
    </row>
    <row r="38" spans="2:5" ht="15" customHeight="1" x14ac:dyDescent="0.25">
      <c r="B38" s="726" t="s">
        <v>1646</v>
      </c>
      <c r="C38" s="783"/>
      <c r="D38" s="783">
        <v>45000</v>
      </c>
      <c r="E38" s="783">
        <v>45000</v>
      </c>
    </row>
    <row r="39" spans="2:5" ht="15" customHeight="1" x14ac:dyDescent="0.25">
      <c r="B39" s="726" t="s">
        <v>1647</v>
      </c>
      <c r="C39" s="783"/>
      <c r="D39" s="783">
        <v>45000</v>
      </c>
      <c r="E39" s="783">
        <v>45000</v>
      </c>
    </row>
    <row r="40" spans="2:5" ht="15" customHeight="1" x14ac:dyDescent="0.2">
      <c r="B40" s="720" t="s">
        <v>1649</v>
      </c>
      <c r="C40" s="785">
        <f>SUM(C37:C39)</f>
        <v>0</v>
      </c>
      <c r="D40" s="785">
        <f>SUM(D37:D39)</f>
        <v>90000</v>
      </c>
      <c r="E40" s="785">
        <f>SUM(E37:E39)</f>
        <v>90000</v>
      </c>
    </row>
    <row r="43" spans="2:5" x14ac:dyDescent="0.2">
      <c r="C43" s="788"/>
      <c r="D43" s="788"/>
      <c r="E43" s="788"/>
    </row>
    <row r="46" spans="2:5" x14ac:dyDescent="0.2">
      <c r="D46" s="788"/>
    </row>
  </sheetData>
  <mergeCells count="3">
    <mergeCell ref="B5:C5"/>
    <mergeCell ref="B4:E4"/>
    <mergeCell ref="B1:E1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B1:F21"/>
  <sheetViews>
    <sheetView showGridLines="0" workbookViewId="0">
      <selection activeCell="C9" sqref="C9:E9"/>
    </sheetView>
  </sheetViews>
  <sheetFormatPr defaultRowHeight="13.2" x14ac:dyDescent="0.25"/>
  <cols>
    <col min="2" max="2" width="58.6640625" customWidth="1"/>
    <col min="3" max="3" width="15.44140625" customWidth="1"/>
    <col min="4" max="4" width="16" customWidth="1"/>
    <col min="5" max="5" width="16.33203125" customWidth="1"/>
  </cols>
  <sheetData>
    <row r="1" spans="2:6" x14ac:dyDescent="0.25">
      <c r="B1" s="1695" t="s">
        <v>1758</v>
      </c>
      <c r="C1" s="1698"/>
      <c r="D1" s="1698"/>
      <c r="E1" s="1698"/>
    </row>
    <row r="2" spans="2:6" x14ac:dyDescent="0.25">
      <c r="B2" s="712"/>
      <c r="C2" s="713"/>
    </row>
    <row r="3" spans="2:6" x14ac:dyDescent="0.25">
      <c r="B3" s="711"/>
      <c r="C3" s="711"/>
    </row>
    <row r="4" spans="2:6" ht="17.399999999999999" x14ac:dyDescent="0.3">
      <c r="B4" s="1702" t="s">
        <v>1604</v>
      </c>
      <c r="C4" s="1702"/>
      <c r="D4" s="1702"/>
      <c r="E4" s="1702"/>
    </row>
    <row r="5" spans="2:6" ht="17.399999999999999" x14ac:dyDescent="0.3">
      <c r="B5" s="1704"/>
      <c r="C5" s="1704"/>
    </row>
    <row r="8" spans="2:6" x14ac:dyDescent="0.25">
      <c r="C8" s="727"/>
      <c r="E8" s="682" t="s">
        <v>1690</v>
      </c>
    </row>
    <row r="9" spans="2:6" ht="49.5" customHeight="1" x14ac:dyDescent="0.25">
      <c r="B9" s="728" t="s">
        <v>1650</v>
      </c>
      <c r="C9" s="707" t="s">
        <v>1722</v>
      </c>
      <c r="D9" s="688" t="s">
        <v>1723</v>
      </c>
      <c r="E9" s="688" t="s">
        <v>1724</v>
      </c>
    </row>
    <row r="10" spans="2:6" ht="15" customHeight="1" x14ac:dyDescent="0.25">
      <c r="B10" s="729" t="s">
        <v>1757</v>
      </c>
      <c r="C10" s="707"/>
      <c r="D10" s="791">
        <v>127600</v>
      </c>
      <c r="E10" s="791">
        <v>127600</v>
      </c>
    </row>
    <row r="11" spans="2:6" ht="15" customHeight="1" x14ac:dyDescent="0.25">
      <c r="B11" s="729" t="s">
        <v>1651</v>
      </c>
      <c r="C11" s="730">
        <v>120000</v>
      </c>
      <c r="D11" s="730">
        <v>120000</v>
      </c>
      <c r="E11" s="730">
        <v>112915</v>
      </c>
    </row>
    <row r="12" spans="2:6" ht="13.8" x14ac:dyDescent="0.25">
      <c r="B12" s="729" t="s">
        <v>1652</v>
      </c>
      <c r="C12" s="730">
        <v>545000</v>
      </c>
      <c r="D12" s="730">
        <v>545000</v>
      </c>
      <c r="E12" s="730">
        <v>401972</v>
      </c>
      <c r="F12" s="731"/>
    </row>
    <row r="13" spans="2:6" ht="13.8" x14ac:dyDescent="0.25">
      <c r="B13" s="732" t="s">
        <v>1653</v>
      </c>
      <c r="C13" s="730">
        <v>1335000</v>
      </c>
      <c r="D13" s="730">
        <v>1335000</v>
      </c>
      <c r="E13" s="730">
        <v>552080</v>
      </c>
    </row>
    <row r="14" spans="2:6" ht="14.4" x14ac:dyDescent="0.25">
      <c r="B14" s="733" t="s">
        <v>1654</v>
      </c>
      <c r="C14" s="738"/>
      <c r="D14" s="734"/>
      <c r="E14" s="734"/>
    </row>
    <row r="15" spans="2:6" ht="14.4" x14ac:dyDescent="0.25">
      <c r="B15" s="733" t="s">
        <v>1655</v>
      </c>
      <c r="C15" s="738"/>
      <c r="D15" s="734"/>
      <c r="E15" s="734"/>
    </row>
    <row r="16" spans="2:6" ht="14.4" x14ac:dyDescent="0.25">
      <c r="B16" s="735" t="s">
        <v>1656</v>
      </c>
      <c r="C16" s="738"/>
      <c r="D16" s="734"/>
      <c r="E16" s="734"/>
    </row>
    <row r="17" spans="2:5" ht="14.4" x14ac:dyDescent="0.25">
      <c r="B17" s="733" t="s">
        <v>1657</v>
      </c>
      <c r="C17" s="738"/>
      <c r="D17" s="734"/>
      <c r="E17" s="734"/>
    </row>
    <row r="18" spans="2:5" ht="14.4" x14ac:dyDescent="0.25">
      <c r="B18" s="733" t="s">
        <v>1658</v>
      </c>
      <c r="C18" s="738"/>
      <c r="D18" s="734"/>
      <c r="E18" s="734"/>
    </row>
    <row r="19" spans="2:5" ht="13.8" x14ac:dyDescent="0.25">
      <c r="B19" s="729" t="s">
        <v>1659</v>
      </c>
      <c r="C19" s="730">
        <v>500000</v>
      </c>
      <c r="D19" s="730">
        <v>500000</v>
      </c>
      <c r="E19" s="730">
        <v>480000</v>
      </c>
    </row>
    <row r="20" spans="2:5" ht="13.8" x14ac:dyDescent="0.25">
      <c r="B20" s="729" t="s">
        <v>1756</v>
      </c>
      <c r="C20" s="730"/>
      <c r="D20" s="730">
        <v>391160</v>
      </c>
      <c r="E20" s="730">
        <v>419100</v>
      </c>
    </row>
    <row r="21" spans="2:5" ht="13.8" x14ac:dyDescent="0.25">
      <c r="B21" s="736" t="s">
        <v>420</v>
      </c>
      <c r="C21" s="737">
        <f t="shared" ref="C21" si="0">SUM(C11:C20)</f>
        <v>2500000</v>
      </c>
      <c r="D21" s="737">
        <f>SUM(D10:D20)</f>
        <v>3018760</v>
      </c>
      <c r="E21" s="737">
        <f>SUM(E10:E20)</f>
        <v>2093667</v>
      </c>
    </row>
  </sheetData>
  <mergeCells count="3">
    <mergeCell ref="B5:C5"/>
    <mergeCell ref="B4:E4"/>
    <mergeCell ref="B1:E1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92D050"/>
  </sheetPr>
  <dimension ref="A1:N48"/>
  <sheetViews>
    <sheetView zoomScale="130" zoomScaleNormal="130" zoomScaleSheetLayoutView="100" workbookViewId="0">
      <selection activeCell="A21" sqref="A21"/>
    </sheetView>
  </sheetViews>
  <sheetFormatPr defaultColWidth="9.33203125" defaultRowHeight="13.2" x14ac:dyDescent="0.25"/>
  <cols>
    <col min="1" max="1" width="28.44140625" style="8" customWidth="1"/>
    <col min="2" max="13" width="10" style="8" customWidth="1"/>
    <col min="14" max="14" width="4" style="8" customWidth="1"/>
    <col min="15" max="16384" width="9.33203125" style="8"/>
  </cols>
  <sheetData>
    <row r="1" spans="1:14" ht="15.75" customHeight="1" x14ac:dyDescent="0.25">
      <c r="A1" s="1705" t="s">
        <v>391</v>
      </c>
      <c r="B1" s="1705"/>
      <c r="C1" s="1705"/>
      <c r="D1" s="1706"/>
      <c r="E1" s="1706"/>
      <c r="F1" s="1706"/>
      <c r="G1" s="1706"/>
      <c r="H1" s="1706"/>
      <c r="I1" s="1706"/>
      <c r="J1" s="1706"/>
      <c r="K1" s="1706"/>
      <c r="L1" s="1706"/>
      <c r="M1" s="1706"/>
      <c r="N1" s="1713" t="str">
        <f>+CONCATENATE("5. melléklet a ……/",LEFT(ÖSSZEFÜGGÉSEK!A4,4)+1,". (……) önkormányzati rendelethez    ")</f>
        <v xml:space="preserve">5. melléklet a ……/2017. (……) önkormányzati rendelethez    </v>
      </c>
    </row>
    <row r="2" spans="1:14" ht="14.4" thickBot="1" x14ac:dyDescent="0.3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727" t="s">
        <v>290</v>
      </c>
      <c r="M2" s="1727"/>
      <c r="N2" s="1713"/>
    </row>
    <row r="3" spans="1:14" ht="13.8" thickBot="1" x14ac:dyDescent="0.3">
      <c r="A3" s="1723" t="s">
        <v>392</v>
      </c>
      <c r="B3" s="1709" t="s">
        <v>393</v>
      </c>
      <c r="C3" s="1709"/>
      <c r="D3" s="1709"/>
      <c r="E3" s="1709"/>
      <c r="F3" s="1709"/>
      <c r="G3" s="1709"/>
      <c r="H3" s="1709"/>
      <c r="I3" s="1709"/>
      <c r="J3" s="1718" t="s">
        <v>45</v>
      </c>
      <c r="K3" s="1718"/>
      <c r="L3" s="1718"/>
      <c r="M3" s="1718"/>
      <c r="N3" s="1713"/>
    </row>
    <row r="4" spans="1:14" ht="15" customHeight="1" thickBot="1" x14ac:dyDescent="0.3">
      <c r="A4" s="1724"/>
      <c r="B4" s="1712" t="s">
        <v>394</v>
      </c>
      <c r="C4" s="1708" t="s">
        <v>395</v>
      </c>
      <c r="D4" s="1722" t="s">
        <v>396</v>
      </c>
      <c r="E4" s="1722"/>
      <c r="F4" s="1722"/>
      <c r="G4" s="1722"/>
      <c r="H4" s="1722"/>
      <c r="I4" s="1722"/>
      <c r="J4" s="1719"/>
      <c r="K4" s="1719"/>
      <c r="L4" s="1719"/>
      <c r="M4" s="1719"/>
      <c r="N4" s="1713"/>
    </row>
    <row r="5" spans="1:14" ht="13.8" thickBot="1" x14ac:dyDescent="0.3">
      <c r="A5" s="1724"/>
      <c r="B5" s="1712"/>
      <c r="C5" s="1708"/>
      <c r="D5" s="675" t="s">
        <v>394</v>
      </c>
      <c r="E5" s="675" t="s">
        <v>395</v>
      </c>
      <c r="F5" s="675" t="s">
        <v>394</v>
      </c>
      <c r="G5" s="675" t="s">
        <v>395</v>
      </c>
      <c r="H5" s="675" t="s">
        <v>394</v>
      </c>
      <c r="I5" s="675" t="s">
        <v>395</v>
      </c>
      <c r="J5" s="1719"/>
      <c r="K5" s="1719"/>
      <c r="L5" s="1719"/>
      <c r="M5" s="1719"/>
      <c r="N5" s="1713"/>
    </row>
    <row r="6" spans="1:14" ht="31.2" thickBot="1" x14ac:dyDescent="0.3">
      <c r="A6" s="1725"/>
      <c r="B6" s="1708" t="s">
        <v>397</v>
      </c>
      <c r="C6" s="1708"/>
      <c r="D6" s="1708" t="str">
        <f>+CONCATENATE(LEFT(ÖSSZEFÜGGÉSEK!A4,4),". előtt")</f>
        <v>2016. előtt</v>
      </c>
      <c r="E6" s="1708"/>
      <c r="F6" s="1708" t="str">
        <f>+CONCATENATE(LEFT(ÖSSZEFÜGGÉSEK!A4,4),". évi")</f>
        <v>2016. évi</v>
      </c>
      <c r="G6" s="1708"/>
      <c r="H6" s="1712" t="str">
        <f>+CONCATENATE(LEFT(ÖSSZEFÜGGÉSEK!A4,4),". után")</f>
        <v>2016. után</v>
      </c>
      <c r="I6" s="1712"/>
      <c r="J6" s="673" t="str">
        <f>+D6</f>
        <v>2016. előtt</v>
      </c>
      <c r="K6" s="675" t="str">
        <f>+F6</f>
        <v>2016. évi</v>
      </c>
      <c r="L6" s="673" t="s">
        <v>398</v>
      </c>
      <c r="M6" s="675" t="str">
        <f>+CONCATENATE("Teljesítés %-a ",LEFT(ÖSSZEFÜGGÉSEK!A4,4),". XII. 31-ig")</f>
        <v>Teljesítés %-a 2016. XII. 31-ig</v>
      </c>
      <c r="N6" s="1713"/>
    </row>
    <row r="7" spans="1:14" ht="13.8" thickBot="1" x14ac:dyDescent="0.3">
      <c r="A7" s="49" t="s">
        <v>46</v>
      </c>
      <c r="B7" s="673" t="s">
        <v>47</v>
      </c>
      <c r="C7" s="673" t="s">
        <v>48</v>
      </c>
      <c r="D7" s="50" t="s">
        <v>49</v>
      </c>
      <c r="E7" s="675" t="s">
        <v>50</v>
      </c>
      <c r="F7" s="675" t="s">
        <v>294</v>
      </c>
      <c r="G7" s="675" t="s">
        <v>295</v>
      </c>
      <c r="H7" s="673" t="s">
        <v>296</v>
      </c>
      <c r="I7" s="50" t="s">
        <v>297</v>
      </c>
      <c r="J7" s="50" t="s">
        <v>399</v>
      </c>
      <c r="K7" s="50" t="s">
        <v>400</v>
      </c>
      <c r="L7" s="50" t="s">
        <v>401</v>
      </c>
      <c r="M7" s="51" t="s">
        <v>402</v>
      </c>
      <c r="N7" s="1713"/>
    </row>
    <row r="8" spans="1:14" x14ac:dyDescent="0.25">
      <c r="A8" s="52" t="s">
        <v>403</v>
      </c>
      <c r="B8" s="53"/>
      <c r="C8" s="73"/>
      <c r="D8" s="73"/>
      <c r="E8" s="84"/>
      <c r="F8" s="73"/>
      <c r="G8" s="73"/>
      <c r="H8" s="73"/>
      <c r="I8" s="73"/>
      <c r="J8" s="73"/>
      <c r="K8" s="73"/>
      <c r="L8" s="54">
        <f t="shared" ref="L8:L14" si="0">+J8+K8</f>
        <v>0</v>
      </c>
      <c r="M8" s="88" t="str">
        <f>IF((C8&lt;&gt;0),ROUND((L8/C8)*100,1),"")</f>
        <v/>
      </c>
      <c r="N8" s="1713"/>
    </row>
    <row r="9" spans="1:14" x14ac:dyDescent="0.25">
      <c r="A9" s="55" t="s">
        <v>404</v>
      </c>
      <c r="B9" s="56"/>
      <c r="C9" s="57"/>
      <c r="D9" s="57"/>
      <c r="E9" s="57"/>
      <c r="F9" s="57"/>
      <c r="G9" s="57"/>
      <c r="H9" s="57"/>
      <c r="I9" s="57"/>
      <c r="J9" s="57"/>
      <c r="K9" s="57"/>
      <c r="L9" s="58">
        <f t="shared" si="0"/>
        <v>0</v>
      </c>
      <c r="M9" s="89" t="str">
        <f t="shared" ref="M9:M14" si="1">IF((C9&lt;&gt;0),ROUND((L9/C9)*100,1),"")</f>
        <v/>
      </c>
      <c r="N9" s="1713"/>
    </row>
    <row r="10" spans="1:14" x14ac:dyDescent="0.25">
      <c r="A10" s="59" t="s">
        <v>405</v>
      </c>
      <c r="B10" s="60"/>
      <c r="C10" s="76"/>
      <c r="D10" s="76"/>
      <c r="E10" s="76"/>
      <c r="F10" s="76"/>
      <c r="G10" s="76"/>
      <c r="H10" s="76"/>
      <c r="I10" s="76"/>
      <c r="J10" s="76"/>
      <c r="K10" s="76"/>
      <c r="L10" s="58">
        <f t="shared" si="0"/>
        <v>0</v>
      </c>
      <c r="M10" s="89" t="str">
        <f t="shared" si="1"/>
        <v/>
      </c>
      <c r="N10" s="1713"/>
    </row>
    <row r="11" spans="1:14" x14ac:dyDescent="0.25">
      <c r="A11" s="59" t="s">
        <v>406</v>
      </c>
      <c r="B11" s="60"/>
      <c r="C11" s="76"/>
      <c r="D11" s="76"/>
      <c r="E11" s="76"/>
      <c r="F11" s="76"/>
      <c r="G11" s="76"/>
      <c r="H11" s="76"/>
      <c r="I11" s="76"/>
      <c r="J11" s="76"/>
      <c r="K11" s="76"/>
      <c r="L11" s="58">
        <f t="shared" si="0"/>
        <v>0</v>
      </c>
      <c r="M11" s="89" t="str">
        <f t="shared" si="1"/>
        <v/>
      </c>
      <c r="N11" s="1713"/>
    </row>
    <row r="12" spans="1:14" x14ac:dyDescent="0.25">
      <c r="A12" s="59" t="s">
        <v>407</v>
      </c>
      <c r="B12" s="60"/>
      <c r="C12" s="76"/>
      <c r="D12" s="76"/>
      <c r="E12" s="76"/>
      <c r="F12" s="76"/>
      <c r="G12" s="76"/>
      <c r="H12" s="76"/>
      <c r="I12" s="76"/>
      <c r="J12" s="76"/>
      <c r="K12" s="76"/>
      <c r="L12" s="58">
        <f t="shared" si="0"/>
        <v>0</v>
      </c>
      <c r="M12" s="89" t="str">
        <f t="shared" si="1"/>
        <v/>
      </c>
      <c r="N12" s="1713"/>
    </row>
    <row r="13" spans="1:14" x14ac:dyDescent="0.25">
      <c r="A13" s="59" t="s">
        <v>408</v>
      </c>
      <c r="B13" s="60"/>
      <c r="C13" s="76"/>
      <c r="D13" s="76"/>
      <c r="E13" s="76"/>
      <c r="F13" s="76"/>
      <c r="G13" s="76"/>
      <c r="H13" s="76"/>
      <c r="I13" s="76"/>
      <c r="J13" s="76"/>
      <c r="K13" s="76"/>
      <c r="L13" s="58">
        <f t="shared" si="0"/>
        <v>0</v>
      </c>
      <c r="M13" s="89" t="str">
        <f t="shared" si="1"/>
        <v/>
      </c>
      <c r="N13" s="1713"/>
    </row>
    <row r="14" spans="1:14" ht="15" customHeight="1" thickBot="1" x14ac:dyDescent="0.3">
      <c r="A14" s="61"/>
      <c r="B14" s="62"/>
      <c r="C14" s="80"/>
      <c r="D14" s="80"/>
      <c r="E14" s="80"/>
      <c r="F14" s="80"/>
      <c r="G14" s="80"/>
      <c r="H14" s="80"/>
      <c r="I14" s="80"/>
      <c r="J14" s="80"/>
      <c r="K14" s="80"/>
      <c r="L14" s="58">
        <f t="shared" si="0"/>
        <v>0</v>
      </c>
      <c r="M14" s="90" t="str">
        <f t="shared" si="1"/>
        <v/>
      </c>
      <c r="N14" s="1713"/>
    </row>
    <row r="15" spans="1:14" ht="13.8" thickBot="1" x14ac:dyDescent="0.3">
      <c r="A15" s="63" t="s">
        <v>409</v>
      </c>
      <c r="B15" s="64">
        <f>B8+SUM(B10:B14)</f>
        <v>0</v>
      </c>
      <c r="C15" s="64">
        <f t="shared" ref="C15:L15" si="2">C8+SUM(C10:C14)</f>
        <v>0</v>
      </c>
      <c r="D15" s="64">
        <f t="shared" si="2"/>
        <v>0</v>
      </c>
      <c r="E15" s="64">
        <f t="shared" si="2"/>
        <v>0</v>
      </c>
      <c r="F15" s="64">
        <f t="shared" si="2"/>
        <v>0</v>
      </c>
      <c r="G15" s="64">
        <f t="shared" si="2"/>
        <v>0</v>
      </c>
      <c r="H15" s="64">
        <f t="shared" si="2"/>
        <v>0</v>
      </c>
      <c r="I15" s="64">
        <f t="shared" si="2"/>
        <v>0</v>
      </c>
      <c r="J15" s="64">
        <f t="shared" si="2"/>
        <v>0</v>
      </c>
      <c r="K15" s="64">
        <f t="shared" si="2"/>
        <v>0</v>
      </c>
      <c r="L15" s="64">
        <f t="shared" si="2"/>
        <v>0</v>
      </c>
      <c r="M15" s="65" t="str">
        <f>IF((C15&lt;&gt;0),ROUND((L15/C15)*100,1),"")</f>
        <v/>
      </c>
      <c r="N15" s="1713"/>
    </row>
    <row r="16" spans="1:14" x14ac:dyDescent="0.25">
      <c r="A16" s="66"/>
      <c r="B16" s="67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1713"/>
    </row>
    <row r="17" spans="1:14" ht="13.8" thickBot="1" x14ac:dyDescent="0.3">
      <c r="A17" s="69" t="s">
        <v>410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1713"/>
    </row>
    <row r="18" spans="1:14" x14ac:dyDescent="0.25">
      <c r="A18" s="72" t="s">
        <v>411</v>
      </c>
      <c r="B18" s="53"/>
      <c r="C18" s="73"/>
      <c r="D18" s="73"/>
      <c r="E18" s="84"/>
      <c r="F18" s="73"/>
      <c r="G18" s="73"/>
      <c r="H18" s="73"/>
      <c r="I18" s="73"/>
      <c r="J18" s="73"/>
      <c r="K18" s="73"/>
      <c r="L18" s="74">
        <f t="shared" ref="L18:L23" si="3">+J18+K18</f>
        <v>0</v>
      </c>
      <c r="M18" s="88" t="str">
        <f t="shared" ref="M18:M24" si="4">IF((C18&lt;&gt;0),ROUND((L18/C18)*100,1),"")</f>
        <v/>
      </c>
      <c r="N18" s="1713"/>
    </row>
    <row r="19" spans="1:14" x14ac:dyDescent="0.25">
      <c r="A19" s="75" t="s">
        <v>412</v>
      </c>
      <c r="B19" s="56"/>
      <c r="C19" s="76"/>
      <c r="D19" s="76"/>
      <c r="E19" s="76"/>
      <c r="F19" s="76"/>
      <c r="G19" s="76"/>
      <c r="H19" s="76"/>
      <c r="I19" s="76"/>
      <c r="J19" s="76"/>
      <c r="K19" s="76"/>
      <c r="L19" s="77">
        <f t="shared" si="3"/>
        <v>0</v>
      </c>
      <c r="M19" s="89" t="str">
        <f t="shared" si="4"/>
        <v/>
      </c>
      <c r="N19" s="1713"/>
    </row>
    <row r="20" spans="1:14" x14ac:dyDescent="0.25">
      <c r="A20" s="75" t="s">
        <v>413</v>
      </c>
      <c r="B20" s="60"/>
      <c r="C20" s="76"/>
      <c r="D20" s="76"/>
      <c r="E20" s="76"/>
      <c r="F20" s="76"/>
      <c r="G20" s="76"/>
      <c r="H20" s="76"/>
      <c r="I20" s="76"/>
      <c r="J20" s="76"/>
      <c r="K20" s="76"/>
      <c r="L20" s="77">
        <f t="shared" si="3"/>
        <v>0</v>
      </c>
      <c r="M20" s="89" t="str">
        <f t="shared" si="4"/>
        <v/>
      </c>
      <c r="N20" s="1713"/>
    </row>
    <row r="21" spans="1:14" x14ac:dyDescent="0.25">
      <c r="A21" s="75" t="s">
        <v>414</v>
      </c>
      <c r="B21" s="60"/>
      <c r="C21" s="76"/>
      <c r="D21" s="76"/>
      <c r="E21" s="76"/>
      <c r="F21" s="76"/>
      <c r="G21" s="76"/>
      <c r="H21" s="76"/>
      <c r="I21" s="76"/>
      <c r="J21" s="76"/>
      <c r="K21" s="76"/>
      <c r="L21" s="77">
        <f t="shared" si="3"/>
        <v>0</v>
      </c>
      <c r="M21" s="89" t="str">
        <f t="shared" si="4"/>
        <v/>
      </c>
      <c r="N21" s="1713"/>
    </row>
    <row r="22" spans="1:14" x14ac:dyDescent="0.25">
      <c r="A22" s="78"/>
      <c r="B22" s="60"/>
      <c r="C22" s="76"/>
      <c r="D22" s="76"/>
      <c r="E22" s="76"/>
      <c r="F22" s="76"/>
      <c r="G22" s="76"/>
      <c r="H22" s="76"/>
      <c r="I22" s="76"/>
      <c r="J22" s="76"/>
      <c r="K22" s="76"/>
      <c r="L22" s="77">
        <f t="shared" si="3"/>
        <v>0</v>
      </c>
      <c r="M22" s="89" t="str">
        <f t="shared" si="4"/>
        <v/>
      </c>
      <c r="N22" s="1713"/>
    </row>
    <row r="23" spans="1:14" ht="13.8" thickBot="1" x14ac:dyDescent="0.3">
      <c r="A23" s="79"/>
      <c r="B23" s="62"/>
      <c r="C23" s="80"/>
      <c r="D23" s="80"/>
      <c r="E23" s="80"/>
      <c r="F23" s="80"/>
      <c r="G23" s="80"/>
      <c r="H23" s="80"/>
      <c r="I23" s="80"/>
      <c r="J23" s="80"/>
      <c r="K23" s="80"/>
      <c r="L23" s="77">
        <f t="shared" si="3"/>
        <v>0</v>
      </c>
      <c r="M23" s="90" t="str">
        <f t="shared" si="4"/>
        <v/>
      </c>
      <c r="N23" s="1713"/>
    </row>
    <row r="24" spans="1:14" ht="13.8" thickBot="1" x14ac:dyDescent="0.3">
      <c r="A24" s="81" t="s">
        <v>415</v>
      </c>
      <c r="B24" s="64">
        <f t="shared" ref="B24:L24" si="5">SUM(B18:B23)</f>
        <v>0</v>
      </c>
      <c r="C24" s="64">
        <f t="shared" si="5"/>
        <v>0</v>
      </c>
      <c r="D24" s="64">
        <f t="shared" si="5"/>
        <v>0</v>
      </c>
      <c r="E24" s="64">
        <f t="shared" si="5"/>
        <v>0</v>
      </c>
      <c r="F24" s="64">
        <f t="shared" si="5"/>
        <v>0</v>
      </c>
      <c r="G24" s="64">
        <f t="shared" si="5"/>
        <v>0</v>
      </c>
      <c r="H24" s="64">
        <f t="shared" si="5"/>
        <v>0</v>
      </c>
      <c r="I24" s="64">
        <f t="shared" si="5"/>
        <v>0</v>
      </c>
      <c r="J24" s="64">
        <f t="shared" si="5"/>
        <v>0</v>
      </c>
      <c r="K24" s="64">
        <f t="shared" si="5"/>
        <v>0</v>
      </c>
      <c r="L24" s="64">
        <f t="shared" si="5"/>
        <v>0</v>
      </c>
      <c r="M24" s="65" t="str">
        <f t="shared" si="4"/>
        <v/>
      </c>
      <c r="N24" s="1713"/>
    </row>
    <row r="25" spans="1:14" x14ac:dyDescent="0.25">
      <c r="A25" s="1707" t="s">
        <v>416</v>
      </c>
      <c r="B25" s="1707"/>
      <c r="C25" s="1707"/>
      <c r="D25" s="1707"/>
      <c r="E25" s="1707"/>
      <c r="F25" s="1707"/>
      <c r="G25" s="1707"/>
      <c r="H25" s="1707"/>
      <c r="I25" s="1707"/>
      <c r="J25" s="1707"/>
      <c r="K25" s="1707"/>
      <c r="L25" s="1707"/>
      <c r="M25" s="1707"/>
      <c r="N25" s="1713"/>
    </row>
    <row r="26" spans="1:14" ht="5.25" customHeight="1" x14ac:dyDescent="0.25">
      <c r="A26" s="82"/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1713"/>
    </row>
    <row r="27" spans="1:14" ht="15.6" x14ac:dyDescent="0.25">
      <c r="A27" s="1726" t="str">
        <f>+CONCATENATE("Önkormányzaton kívüli EU-s projekthez történő hozzájárulás ",LEFT(ÖSSZEFÜGGÉSEK!A4,4),". évi előirányzata és teljesítése")</f>
        <v>Önkormányzaton kívüli EU-s projekthez történő hozzájárulás 2016. évi előirányzata és teljesítése</v>
      </c>
      <c r="B27" s="1726"/>
      <c r="C27" s="1726"/>
      <c r="D27" s="1726"/>
      <c r="E27" s="1726"/>
      <c r="F27" s="1726"/>
      <c r="G27" s="1726"/>
      <c r="H27" s="1726"/>
      <c r="I27" s="1726"/>
      <c r="J27" s="1726"/>
      <c r="K27" s="1726"/>
      <c r="L27" s="1726"/>
      <c r="M27" s="1726"/>
      <c r="N27" s="1713"/>
    </row>
    <row r="28" spans="1:14" ht="12" customHeight="1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1727" t="s">
        <v>290</v>
      </c>
      <c r="M28" s="1727"/>
      <c r="N28" s="1713"/>
    </row>
    <row r="29" spans="1:14" ht="13.8" thickBot="1" x14ac:dyDescent="0.3">
      <c r="A29" s="1720" t="s">
        <v>417</v>
      </c>
      <c r="B29" s="1721"/>
      <c r="C29" s="1721"/>
      <c r="D29" s="1721"/>
      <c r="E29" s="1721"/>
      <c r="F29" s="1721"/>
      <c r="G29" s="1721"/>
      <c r="H29" s="1721"/>
      <c r="I29" s="1721"/>
      <c r="J29" s="1721"/>
      <c r="K29" s="83" t="s">
        <v>418</v>
      </c>
      <c r="L29" s="83" t="s">
        <v>419</v>
      </c>
      <c r="M29" s="83" t="s">
        <v>45</v>
      </c>
      <c r="N29" s="1713"/>
    </row>
    <row r="30" spans="1:14" x14ac:dyDescent="0.25">
      <c r="A30" s="1714"/>
      <c r="B30" s="1715"/>
      <c r="C30" s="1715"/>
      <c r="D30" s="1715"/>
      <c r="E30" s="1715"/>
      <c r="F30" s="1715"/>
      <c r="G30" s="1715"/>
      <c r="H30" s="1715"/>
      <c r="I30" s="1715"/>
      <c r="J30" s="1715"/>
      <c r="K30" s="84"/>
      <c r="L30" s="85"/>
      <c r="M30" s="85"/>
      <c r="N30" s="1713"/>
    </row>
    <row r="31" spans="1:14" ht="13.8" thickBot="1" x14ac:dyDescent="0.3">
      <c r="A31" s="1716"/>
      <c r="B31" s="1717"/>
      <c r="C31" s="1717"/>
      <c r="D31" s="1717"/>
      <c r="E31" s="1717"/>
      <c r="F31" s="1717"/>
      <c r="G31" s="1717"/>
      <c r="H31" s="1717"/>
      <c r="I31" s="1717"/>
      <c r="J31" s="1717"/>
      <c r="K31" s="86"/>
      <c r="L31" s="80"/>
      <c r="M31" s="80"/>
      <c r="N31" s="1713"/>
    </row>
    <row r="32" spans="1:14" ht="13.8" thickBot="1" x14ac:dyDescent="0.3">
      <c r="A32" s="1710" t="s">
        <v>420</v>
      </c>
      <c r="B32" s="1711"/>
      <c r="C32" s="1711"/>
      <c r="D32" s="1711"/>
      <c r="E32" s="1711"/>
      <c r="F32" s="1711"/>
      <c r="G32" s="1711"/>
      <c r="H32" s="1711"/>
      <c r="I32" s="1711"/>
      <c r="J32" s="1711"/>
      <c r="K32" s="87">
        <f>SUM(K30:K31)</f>
        <v>0</v>
      </c>
      <c r="L32" s="87">
        <f>SUM(L30:L31)</f>
        <v>0</v>
      </c>
      <c r="M32" s="87">
        <f>SUM(M30:M31)</f>
        <v>0</v>
      </c>
      <c r="N32" s="1713"/>
    </row>
    <row r="33" spans="1:14" x14ac:dyDescent="0.25">
      <c r="N33" s="1713"/>
    </row>
    <row r="48" spans="1:14" x14ac:dyDescent="0.25">
      <c r="A48" s="9"/>
    </row>
  </sheetData>
  <sheetProtection sheet="1" objects="1" scenarios="1"/>
  <mergeCells count="21">
    <mergeCell ref="A32:J32"/>
    <mergeCell ref="B4:B5"/>
    <mergeCell ref="N1:N33"/>
    <mergeCell ref="A30:J30"/>
    <mergeCell ref="A31:J31"/>
    <mergeCell ref="J3:M5"/>
    <mergeCell ref="A29:J29"/>
    <mergeCell ref="D4:I4"/>
    <mergeCell ref="A3:A6"/>
    <mergeCell ref="H6:I6"/>
    <mergeCell ref="A27:M27"/>
    <mergeCell ref="F6:G6"/>
    <mergeCell ref="L28:M28"/>
    <mergeCell ref="L2:M2"/>
    <mergeCell ref="C4:C5"/>
    <mergeCell ref="D6:E6"/>
    <mergeCell ref="A1:C1"/>
    <mergeCell ref="D1:M1"/>
    <mergeCell ref="A25:M25"/>
    <mergeCell ref="B6:C6"/>
    <mergeCell ref="B3:I3"/>
  </mergeCells>
  <phoneticPr fontId="33" type="noConversion"/>
  <printOptions horizontalCentered="1"/>
  <pageMargins left="0.78740157480314965" right="0.78740157480314965" top="1.39" bottom="0.78" header="0.78740157480314965" footer="0.78740157480314965"/>
  <pageSetup paperSize="9" scale="94" orientation="landscape" r:id="rId1"/>
  <headerFooter alignWithMargins="0">
    <oddHeader>&amp;C&amp;"Times New Roman CE,Félkövér"&amp;12
Európai uniós támogatással megvalósuló projektek 
bevételei, kiadásai, hozzájárulások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2:IX72"/>
  <sheetViews>
    <sheetView view="pageLayout" topLeftCell="F1" zoomScale="89" zoomScaleNormal="100" zoomScalePageLayoutView="89" workbookViewId="0">
      <selection activeCell="N39" sqref="N39"/>
    </sheetView>
  </sheetViews>
  <sheetFormatPr defaultRowHeight="13.8" x14ac:dyDescent="0.25"/>
  <cols>
    <col min="1" max="1" width="5" style="993" customWidth="1"/>
    <col min="2" max="2" width="61.6640625" style="993" customWidth="1"/>
    <col min="3" max="3" width="16" style="997" customWidth="1"/>
    <col min="4" max="4" width="16" style="996" customWidth="1"/>
    <col min="5" max="5" width="15.77734375" style="996" bestFit="1" customWidth="1"/>
    <col min="6" max="7" width="15.77734375" style="996" customWidth="1"/>
    <col min="8" max="8" width="5.6640625" style="993" customWidth="1"/>
    <col min="9" max="9" width="53.77734375" style="993" customWidth="1"/>
    <col min="10" max="14" width="15.77734375" style="993" bestFit="1" customWidth="1"/>
    <col min="15" max="258" width="9.33203125" style="993"/>
    <col min="259" max="259" width="7.77734375" style="993" customWidth="1"/>
    <col min="260" max="260" width="83.6640625" style="993" customWidth="1"/>
    <col min="261" max="263" width="20.77734375" style="993" bestFit="1" customWidth="1"/>
    <col min="264" max="264" width="7.77734375" style="993" customWidth="1"/>
    <col min="265" max="265" width="83.6640625" style="993" customWidth="1"/>
    <col min="266" max="268" width="20.77734375" style="993" bestFit="1" customWidth="1"/>
    <col min="269" max="514" width="9.33203125" style="993"/>
    <col min="515" max="515" width="7.77734375" style="993" customWidth="1"/>
    <col min="516" max="516" width="83.6640625" style="993" customWidth="1"/>
    <col min="517" max="519" width="20.77734375" style="993" bestFit="1" customWidth="1"/>
    <col min="520" max="520" width="7.77734375" style="993" customWidth="1"/>
    <col min="521" max="521" width="83.6640625" style="993" customWidth="1"/>
    <col min="522" max="524" width="20.77734375" style="993" bestFit="1" customWidth="1"/>
    <col min="525" max="770" width="9.33203125" style="993"/>
    <col min="771" max="771" width="7.77734375" style="993" customWidth="1"/>
    <col min="772" max="772" width="83.6640625" style="993" customWidth="1"/>
    <col min="773" max="775" width="20.77734375" style="993" bestFit="1" customWidth="1"/>
    <col min="776" max="776" width="7.77734375" style="993" customWidth="1"/>
    <col min="777" max="777" width="83.6640625" style="993" customWidth="1"/>
    <col min="778" max="780" width="20.77734375" style="993" bestFit="1" customWidth="1"/>
    <col min="781" max="1026" width="9.33203125" style="993"/>
    <col min="1027" max="1027" width="7.77734375" style="993" customWidth="1"/>
    <col min="1028" max="1028" width="83.6640625" style="993" customWidth="1"/>
    <col min="1029" max="1031" width="20.77734375" style="993" bestFit="1" customWidth="1"/>
    <col min="1032" max="1032" width="7.77734375" style="993" customWidth="1"/>
    <col min="1033" max="1033" width="83.6640625" style="993" customWidth="1"/>
    <col min="1034" max="1036" width="20.77734375" style="993" bestFit="1" customWidth="1"/>
    <col min="1037" max="1282" width="9.33203125" style="993"/>
    <col min="1283" max="1283" width="7.77734375" style="993" customWidth="1"/>
    <col min="1284" max="1284" width="83.6640625" style="993" customWidth="1"/>
    <col min="1285" max="1287" width="20.77734375" style="993" bestFit="1" customWidth="1"/>
    <col min="1288" max="1288" width="7.77734375" style="993" customWidth="1"/>
    <col min="1289" max="1289" width="83.6640625" style="993" customWidth="1"/>
    <col min="1290" max="1292" width="20.77734375" style="993" bestFit="1" customWidth="1"/>
    <col min="1293" max="1538" width="9.33203125" style="993"/>
    <col min="1539" max="1539" width="7.77734375" style="993" customWidth="1"/>
    <col min="1540" max="1540" width="83.6640625" style="993" customWidth="1"/>
    <col min="1541" max="1543" width="20.77734375" style="993" bestFit="1" customWidth="1"/>
    <col min="1544" max="1544" width="7.77734375" style="993" customWidth="1"/>
    <col min="1545" max="1545" width="83.6640625" style="993" customWidth="1"/>
    <col min="1546" max="1548" width="20.77734375" style="993" bestFit="1" customWidth="1"/>
    <col min="1549" max="1794" width="9.33203125" style="993"/>
    <col min="1795" max="1795" width="7.77734375" style="993" customWidth="1"/>
    <col min="1796" max="1796" width="83.6640625" style="993" customWidth="1"/>
    <col min="1797" max="1799" width="20.77734375" style="993" bestFit="1" customWidth="1"/>
    <col min="1800" max="1800" width="7.77734375" style="993" customWidth="1"/>
    <col min="1801" max="1801" width="83.6640625" style="993" customWidth="1"/>
    <col min="1802" max="1804" width="20.77734375" style="993" bestFit="1" customWidth="1"/>
    <col min="1805" max="2050" width="9.33203125" style="993"/>
    <col min="2051" max="2051" width="7.77734375" style="993" customWidth="1"/>
    <col min="2052" max="2052" width="83.6640625" style="993" customWidth="1"/>
    <col min="2053" max="2055" width="20.77734375" style="993" bestFit="1" customWidth="1"/>
    <col min="2056" max="2056" width="7.77734375" style="993" customWidth="1"/>
    <col min="2057" max="2057" width="83.6640625" style="993" customWidth="1"/>
    <col min="2058" max="2060" width="20.77734375" style="993" bestFit="1" customWidth="1"/>
    <col min="2061" max="2306" width="9.33203125" style="993"/>
    <col min="2307" max="2307" width="7.77734375" style="993" customWidth="1"/>
    <col min="2308" max="2308" width="83.6640625" style="993" customWidth="1"/>
    <col min="2309" max="2311" width="20.77734375" style="993" bestFit="1" customWidth="1"/>
    <col min="2312" max="2312" width="7.77734375" style="993" customWidth="1"/>
    <col min="2313" max="2313" width="83.6640625" style="993" customWidth="1"/>
    <col min="2314" max="2316" width="20.77734375" style="993" bestFit="1" customWidth="1"/>
    <col min="2317" max="2562" width="9.33203125" style="993"/>
    <col min="2563" max="2563" width="7.77734375" style="993" customWidth="1"/>
    <col min="2564" max="2564" width="83.6640625" style="993" customWidth="1"/>
    <col min="2565" max="2567" width="20.77734375" style="993" bestFit="1" customWidth="1"/>
    <col min="2568" max="2568" width="7.77734375" style="993" customWidth="1"/>
    <col min="2569" max="2569" width="83.6640625" style="993" customWidth="1"/>
    <col min="2570" max="2572" width="20.77734375" style="993" bestFit="1" customWidth="1"/>
    <col min="2573" max="2818" width="9.33203125" style="993"/>
    <col min="2819" max="2819" width="7.77734375" style="993" customWidth="1"/>
    <col min="2820" max="2820" width="83.6640625" style="993" customWidth="1"/>
    <col min="2821" max="2823" width="20.77734375" style="993" bestFit="1" customWidth="1"/>
    <col min="2824" max="2824" width="7.77734375" style="993" customWidth="1"/>
    <col min="2825" max="2825" width="83.6640625" style="993" customWidth="1"/>
    <col min="2826" max="2828" width="20.77734375" style="993" bestFit="1" customWidth="1"/>
    <col min="2829" max="3074" width="9.33203125" style="993"/>
    <col min="3075" max="3075" width="7.77734375" style="993" customWidth="1"/>
    <col min="3076" max="3076" width="83.6640625" style="993" customWidth="1"/>
    <col min="3077" max="3079" width="20.77734375" style="993" bestFit="1" customWidth="1"/>
    <col min="3080" max="3080" width="7.77734375" style="993" customWidth="1"/>
    <col min="3081" max="3081" width="83.6640625" style="993" customWidth="1"/>
    <col min="3082" max="3084" width="20.77734375" style="993" bestFit="1" customWidth="1"/>
    <col min="3085" max="3330" width="9.33203125" style="993"/>
    <col min="3331" max="3331" width="7.77734375" style="993" customWidth="1"/>
    <col min="3332" max="3332" width="83.6640625" style="993" customWidth="1"/>
    <col min="3333" max="3335" width="20.77734375" style="993" bestFit="1" customWidth="1"/>
    <col min="3336" max="3336" width="7.77734375" style="993" customWidth="1"/>
    <col min="3337" max="3337" width="83.6640625" style="993" customWidth="1"/>
    <col min="3338" max="3340" width="20.77734375" style="993" bestFit="1" customWidth="1"/>
    <col min="3341" max="3586" width="9.33203125" style="993"/>
    <col min="3587" max="3587" width="7.77734375" style="993" customWidth="1"/>
    <col min="3588" max="3588" width="83.6640625" style="993" customWidth="1"/>
    <col min="3589" max="3591" width="20.77734375" style="993" bestFit="1" customWidth="1"/>
    <col min="3592" max="3592" width="7.77734375" style="993" customWidth="1"/>
    <col min="3593" max="3593" width="83.6640625" style="993" customWidth="1"/>
    <col min="3594" max="3596" width="20.77734375" style="993" bestFit="1" customWidth="1"/>
    <col min="3597" max="3842" width="9.33203125" style="993"/>
    <col min="3843" max="3843" width="7.77734375" style="993" customWidth="1"/>
    <col min="3844" max="3844" width="83.6640625" style="993" customWidth="1"/>
    <col min="3845" max="3847" width="20.77734375" style="993" bestFit="1" customWidth="1"/>
    <col min="3848" max="3848" width="7.77734375" style="993" customWidth="1"/>
    <col min="3849" max="3849" width="83.6640625" style="993" customWidth="1"/>
    <col min="3850" max="3852" width="20.77734375" style="993" bestFit="1" customWidth="1"/>
    <col min="3853" max="4098" width="9.33203125" style="993"/>
    <col min="4099" max="4099" width="7.77734375" style="993" customWidth="1"/>
    <col min="4100" max="4100" width="83.6640625" style="993" customWidth="1"/>
    <col min="4101" max="4103" width="20.77734375" style="993" bestFit="1" customWidth="1"/>
    <col min="4104" max="4104" width="7.77734375" style="993" customWidth="1"/>
    <col min="4105" max="4105" width="83.6640625" style="993" customWidth="1"/>
    <col min="4106" max="4108" width="20.77734375" style="993" bestFit="1" customWidth="1"/>
    <col min="4109" max="4354" width="9.33203125" style="993"/>
    <col min="4355" max="4355" width="7.77734375" style="993" customWidth="1"/>
    <col min="4356" max="4356" width="83.6640625" style="993" customWidth="1"/>
    <col min="4357" max="4359" width="20.77734375" style="993" bestFit="1" customWidth="1"/>
    <col min="4360" max="4360" width="7.77734375" style="993" customWidth="1"/>
    <col min="4361" max="4361" width="83.6640625" style="993" customWidth="1"/>
    <col min="4362" max="4364" width="20.77734375" style="993" bestFit="1" customWidth="1"/>
    <col min="4365" max="4610" width="9.33203125" style="993"/>
    <col min="4611" max="4611" width="7.77734375" style="993" customWidth="1"/>
    <col min="4612" max="4612" width="83.6640625" style="993" customWidth="1"/>
    <col min="4613" max="4615" width="20.77734375" style="993" bestFit="1" customWidth="1"/>
    <col min="4616" max="4616" width="7.77734375" style="993" customWidth="1"/>
    <col min="4617" max="4617" width="83.6640625" style="993" customWidth="1"/>
    <col min="4618" max="4620" width="20.77734375" style="993" bestFit="1" customWidth="1"/>
    <col min="4621" max="4866" width="9.33203125" style="993"/>
    <col min="4867" max="4867" width="7.77734375" style="993" customWidth="1"/>
    <col min="4868" max="4868" width="83.6640625" style="993" customWidth="1"/>
    <col min="4869" max="4871" width="20.77734375" style="993" bestFit="1" customWidth="1"/>
    <col min="4872" max="4872" width="7.77734375" style="993" customWidth="1"/>
    <col min="4873" max="4873" width="83.6640625" style="993" customWidth="1"/>
    <col min="4874" max="4876" width="20.77734375" style="993" bestFit="1" customWidth="1"/>
    <col min="4877" max="5122" width="9.33203125" style="993"/>
    <col min="5123" max="5123" width="7.77734375" style="993" customWidth="1"/>
    <col min="5124" max="5124" width="83.6640625" style="993" customWidth="1"/>
    <col min="5125" max="5127" width="20.77734375" style="993" bestFit="1" customWidth="1"/>
    <col min="5128" max="5128" width="7.77734375" style="993" customWidth="1"/>
    <col min="5129" max="5129" width="83.6640625" style="993" customWidth="1"/>
    <col min="5130" max="5132" width="20.77734375" style="993" bestFit="1" customWidth="1"/>
    <col min="5133" max="5378" width="9.33203125" style="993"/>
    <col min="5379" max="5379" width="7.77734375" style="993" customWidth="1"/>
    <col min="5380" max="5380" width="83.6640625" style="993" customWidth="1"/>
    <col min="5381" max="5383" width="20.77734375" style="993" bestFit="1" customWidth="1"/>
    <col min="5384" max="5384" width="7.77734375" style="993" customWidth="1"/>
    <col min="5385" max="5385" width="83.6640625" style="993" customWidth="1"/>
    <col min="5386" max="5388" width="20.77734375" style="993" bestFit="1" customWidth="1"/>
    <col min="5389" max="5634" width="9.33203125" style="993"/>
    <col min="5635" max="5635" width="7.77734375" style="993" customWidth="1"/>
    <col min="5636" max="5636" width="83.6640625" style="993" customWidth="1"/>
    <col min="5637" max="5639" width="20.77734375" style="993" bestFit="1" customWidth="1"/>
    <col min="5640" max="5640" width="7.77734375" style="993" customWidth="1"/>
    <col min="5641" max="5641" width="83.6640625" style="993" customWidth="1"/>
    <col min="5642" max="5644" width="20.77734375" style="993" bestFit="1" customWidth="1"/>
    <col min="5645" max="5890" width="9.33203125" style="993"/>
    <col min="5891" max="5891" width="7.77734375" style="993" customWidth="1"/>
    <col min="5892" max="5892" width="83.6640625" style="993" customWidth="1"/>
    <col min="5893" max="5895" width="20.77734375" style="993" bestFit="1" customWidth="1"/>
    <col min="5896" max="5896" width="7.77734375" style="993" customWidth="1"/>
    <col min="5897" max="5897" width="83.6640625" style="993" customWidth="1"/>
    <col min="5898" max="5900" width="20.77734375" style="993" bestFit="1" customWidth="1"/>
    <col min="5901" max="6146" width="9.33203125" style="993"/>
    <col min="6147" max="6147" width="7.77734375" style="993" customWidth="1"/>
    <col min="6148" max="6148" width="83.6640625" style="993" customWidth="1"/>
    <col min="6149" max="6151" width="20.77734375" style="993" bestFit="1" customWidth="1"/>
    <col min="6152" max="6152" width="7.77734375" style="993" customWidth="1"/>
    <col min="6153" max="6153" width="83.6640625" style="993" customWidth="1"/>
    <col min="6154" max="6156" width="20.77734375" style="993" bestFit="1" customWidth="1"/>
    <col min="6157" max="6402" width="9.33203125" style="993"/>
    <col min="6403" max="6403" width="7.77734375" style="993" customWidth="1"/>
    <col min="6404" max="6404" width="83.6640625" style="993" customWidth="1"/>
    <col min="6405" max="6407" width="20.77734375" style="993" bestFit="1" customWidth="1"/>
    <col min="6408" max="6408" width="7.77734375" style="993" customWidth="1"/>
    <col min="6409" max="6409" width="83.6640625" style="993" customWidth="1"/>
    <col min="6410" max="6412" width="20.77734375" style="993" bestFit="1" customWidth="1"/>
    <col min="6413" max="6658" width="9.33203125" style="993"/>
    <col min="6659" max="6659" width="7.77734375" style="993" customWidth="1"/>
    <col min="6660" max="6660" width="83.6640625" style="993" customWidth="1"/>
    <col min="6661" max="6663" width="20.77734375" style="993" bestFit="1" customWidth="1"/>
    <col min="6664" max="6664" width="7.77734375" style="993" customWidth="1"/>
    <col min="6665" max="6665" width="83.6640625" style="993" customWidth="1"/>
    <col min="6666" max="6668" width="20.77734375" style="993" bestFit="1" customWidth="1"/>
    <col min="6669" max="6914" width="9.33203125" style="993"/>
    <col min="6915" max="6915" width="7.77734375" style="993" customWidth="1"/>
    <col min="6916" max="6916" width="83.6640625" style="993" customWidth="1"/>
    <col min="6917" max="6919" width="20.77734375" style="993" bestFit="1" customWidth="1"/>
    <col min="6920" max="6920" width="7.77734375" style="993" customWidth="1"/>
    <col min="6921" max="6921" width="83.6640625" style="993" customWidth="1"/>
    <col min="6922" max="6924" width="20.77734375" style="993" bestFit="1" customWidth="1"/>
    <col min="6925" max="7170" width="9.33203125" style="993"/>
    <col min="7171" max="7171" width="7.77734375" style="993" customWidth="1"/>
    <col min="7172" max="7172" width="83.6640625" style="993" customWidth="1"/>
    <col min="7173" max="7175" width="20.77734375" style="993" bestFit="1" customWidth="1"/>
    <col min="7176" max="7176" width="7.77734375" style="993" customWidth="1"/>
    <col min="7177" max="7177" width="83.6640625" style="993" customWidth="1"/>
    <col min="7178" max="7180" width="20.77734375" style="993" bestFit="1" customWidth="1"/>
    <col min="7181" max="7426" width="9.33203125" style="993"/>
    <col min="7427" max="7427" width="7.77734375" style="993" customWidth="1"/>
    <col min="7428" max="7428" width="83.6640625" style="993" customWidth="1"/>
    <col min="7429" max="7431" width="20.77734375" style="993" bestFit="1" customWidth="1"/>
    <col min="7432" max="7432" width="7.77734375" style="993" customWidth="1"/>
    <col min="7433" max="7433" width="83.6640625" style="993" customWidth="1"/>
    <col min="7434" max="7436" width="20.77734375" style="993" bestFit="1" customWidth="1"/>
    <col min="7437" max="7682" width="9.33203125" style="993"/>
    <col min="7683" max="7683" width="7.77734375" style="993" customWidth="1"/>
    <col min="7684" max="7684" width="83.6640625" style="993" customWidth="1"/>
    <col min="7685" max="7687" width="20.77734375" style="993" bestFit="1" customWidth="1"/>
    <col min="7688" max="7688" width="7.77734375" style="993" customWidth="1"/>
    <col min="7689" max="7689" width="83.6640625" style="993" customWidth="1"/>
    <col min="7690" max="7692" width="20.77734375" style="993" bestFit="1" customWidth="1"/>
    <col min="7693" max="7938" width="9.33203125" style="993"/>
    <col min="7939" max="7939" width="7.77734375" style="993" customWidth="1"/>
    <col min="7940" max="7940" width="83.6640625" style="993" customWidth="1"/>
    <col min="7941" max="7943" width="20.77734375" style="993" bestFit="1" customWidth="1"/>
    <col min="7944" max="7944" width="7.77734375" style="993" customWidth="1"/>
    <col min="7945" max="7945" width="83.6640625" style="993" customWidth="1"/>
    <col min="7946" max="7948" width="20.77734375" style="993" bestFit="1" customWidth="1"/>
    <col min="7949" max="8194" width="9.33203125" style="993"/>
    <col min="8195" max="8195" width="7.77734375" style="993" customWidth="1"/>
    <col min="8196" max="8196" width="83.6640625" style="993" customWidth="1"/>
    <col min="8197" max="8199" width="20.77734375" style="993" bestFit="1" customWidth="1"/>
    <col min="8200" max="8200" width="7.77734375" style="993" customWidth="1"/>
    <col min="8201" max="8201" width="83.6640625" style="993" customWidth="1"/>
    <col min="8202" max="8204" width="20.77734375" style="993" bestFit="1" customWidth="1"/>
    <col min="8205" max="8450" width="9.33203125" style="993"/>
    <col min="8451" max="8451" width="7.77734375" style="993" customWidth="1"/>
    <col min="8452" max="8452" width="83.6640625" style="993" customWidth="1"/>
    <col min="8453" max="8455" width="20.77734375" style="993" bestFit="1" customWidth="1"/>
    <col min="8456" max="8456" width="7.77734375" style="993" customWidth="1"/>
    <col min="8457" max="8457" width="83.6640625" style="993" customWidth="1"/>
    <col min="8458" max="8460" width="20.77734375" style="993" bestFit="1" customWidth="1"/>
    <col min="8461" max="8706" width="9.33203125" style="993"/>
    <col min="8707" max="8707" width="7.77734375" style="993" customWidth="1"/>
    <col min="8708" max="8708" width="83.6640625" style="993" customWidth="1"/>
    <col min="8709" max="8711" width="20.77734375" style="993" bestFit="1" customWidth="1"/>
    <col min="8712" max="8712" width="7.77734375" style="993" customWidth="1"/>
    <col min="8713" max="8713" width="83.6640625" style="993" customWidth="1"/>
    <col min="8714" max="8716" width="20.77734375" style="993" bestFit="1" customWidth="1"/>
    <col min="8717" max="8962" width="9.33203125" style="993"/>
    <col min="8963" max="8963" width="7.77734375" style="993" customWidth="1"/>
    <col min="8964" max="8964" width="83.6640625" style="993" customWidth="1"/>
    <col min="8965" max="8967" width="20.77734375" style="993" bestFit="1" customWidth="1"/>
    <col min="8968" max="8968" width="7.77734375" style="993" customWidth="1"/>
    <col min="8969" max="8969" width="83.6640625" style="993" customWidth="1"/>
    <col min="8970" max="8972" width="20.77734375" style="993" bestFit="1" customWidth="1"/>
    <col min="8973" max="9218" width="9.33203125" style="993"/>
    <col min="9219" max="9219" width="7.77734375" style="993" customWidth="1"/>
    <col min="9220" max="9220" width="83.6640625" style="993" customWidth="1"/>
    <col min="9221" max="9223" width="20.77734375" style="993" bestFit="1" customWidth="1"/>
    <col min="9224" max="9224" width="7.77734375" style="993" customWidth="1"/>
    <col min="9225" max="9225" width="83.6640625" style="993" customWidth="1"/>
    <col min="9226" max="9228" width="20.77734375" style="993" bestFit="1" customWidth="1"/>
    <col min="9229" max="9474" width="9.33203125" style="993"/>
    <col min="9475" max="9475" width="7.77734375" style="993" customWidth="1"/>
    <col min="9476" max="9476" width="83.6640625" style="993" customWidth="1"/>
    <col min="9477" max="9479" width="20.77734375" style="993" bestFit="1" customWidth="1"/>
    <col min="9480" max="9480" width="7.77734375" style="993" customWidth="1"/>
    <col min="9481" max="9481" width="83.6640625" style="993" customWidth="1"/>
    <col min="9482" max="9484" width="20.77734375" style="993" bestFit="1" customWidth="1"/>
    <col min="9485" max="9730" width="9.33203125" style="993"/>
    <col min="9731" max="9731" width="7.77734375" style="993" customWidth="1"/>
    <col min="9732" max="9732" width="83.6640625" style="993" customWidth="1"/>
    <col min="9733" max="9735" width="20.77734375" style="993" bestFit="1" customWidth="1"/>
    <col min="9736" max="9736" width="7.77734375" style="993" customWidth="1"/>
    <col min="9737" max="9737" width="83.6640625" style="993" customWidth="1"/>
    <col min="9738" max="9740" width="20.77734375" style="993" bestFit="1" customWidth="1"/>
    <col min="9741" max="9986" width="9.33203125" style="993"/>
    <col min="9987" max="9987" width="7.77734375" style="993" customWidth="1"/>
    <col min="9988" max="9988" width="83.6640625" style="993" customWidth="1"/>
    <col min="9989" max="9991" width="20.77734375" style="993" bestFit="1" customWidth="1"/>
    <col min="9992" max="9992" width="7.77734375" style="993" customWidth="1"/>
    <col min="9993" max="9993" width="83.6640625" style="993" customWidth="1"/>
    <col min="9994" max="9996" width="20.77734375" style="993" bestFit="1" customWidth="1"/>
    <col min="9997" max="10242" width="9.33203125" style="993"/>
    <col min="10243" max="10243" width="7.77734375" style="993" customWidth="1"/>
    <col min="10244" max="10244" width="83.6640625" style="993" customWidth="1"/>
    <col min="10245" max="10247" width="20.77734375" style="993" bestFit="1" customWidth="1"/>
    <col min="10248" max="10248" width="7.77734375" style="993" customWidth="1"/>
    <col min="10249" max="10249" width="83.6640625" style="993" customWidth="1"/>
    <col min="10250" max="10252" width="20.77734375" style="993" bestFit="1" customWidth="1"/>
    <col min="10253" max="10498" width="9.33203125" style="993"/>
    <col min="10499" max="10499" width="7.77734375" style="993" customWidth="1"/>
    <col min="10500" max="10500" width="83.6640625" style="993" customWidth="1"/>
    <col min="10501" max="10503" width="20.77734375" style="993" bestFit="1" customWidth="1"/>
    <col min="10504" max="10504" width="7.77734375" style="993" customWidth="1"/>
    <col min="10505" max="10505" width="83.6640625" style="993" customWidth="1"/>
    <col min="10506" max="10508" width="20.77734375" style="993" bestFit="1" customWidth="1"/>
    <col min="10509" max="10754" width="9.33203125" style="993"/>
    <col min="10755" max="10755" width="7.77734375" style="993" customWidth="1"/>
    <col min="10756" max="10756" width="83.6640625" style="993" customWidth="1"/>
    <col min="10757" max="10759" width="20.77734375" style="993" bestFit="1" customWidth="1"/>
    <col min="10760" max="10760" width="7.77734375" style="993" customWidth="1"/>
    <col min="10761" max="10761" width="83.6640625" style="993" customWidth="1"/>
    <col min="10762" max="10764" width="20.77734375" style="993" bestFit="1" customWidth="1"/>
    <col min="10765" max="11010" width="9.33203125" style="993"/>
    <col min="11011" max="11011" width="7.77734375" style="993" customWidth="1"/>
    <col min="11012" max="11012" width="83.6640625" style="993" customWidth="1"/>
    <col min="11013" max="11015" width="20.77734375" style="993" bestFit="1" customWidth="1"/>
    <col min="11016" max="11016" width="7.77734375" style="993" customWidth="1"/>
    <col min="11017" max="11017" width="83.6640625" style="993" customWidth="1"/>
    <col min="11018" max="11020" width="20.77734375" style="993" bestFit="1" customWidth="1"/>
    <col min="11021" max="11266" width="9.33203125" style="993"/>
    <col min="11267" max="11267" width="7.77734375" style="993" customWidth="1"/>
    <col min="11268" max="11268" width="83.6640625" style="993" customWidth="1"/>
    <col min="11269" max="11271" width="20.77734375" style="993" bestFit="1" customWidth="1"/>
    <col min="11272" max="11272" width="7.77734375" style="993" customWidth="1"/>
    <col min="11273" max="11273" width="83.6640625" style="993" customWidth="1"/>
    <col min="11274" max="11276" width="20.77734375" style="993" bestFit="1" customWidth="1"/>
    <col min="11277" max="11522" width="9.33203125" style="993"/>
    <col min="11523" max="11523" width="7.77734375" style="993" customWidth="1"/>
    <col min="11524" max="11524" width="83.6640625" style="993" customWidth="1"/>
    <col min="11525" max="11527" width="20.77734375" style="993" bestFit="1" customWidth="1"/>
    <col min="11528" max="11528" width="7.77734375" style="993" customWidth="1"/>
    <col min="11529" max="11529" width="83.6640625" style="993" customWidth="1"/>
    <col min="11530" max="11532" width="20.77734375" style="993" bestFit="1" customWidth="1"/>
    <col min="11533" max="11778" width="9.33203125" style="993"/>
    <col min="11779" max="11779" width="7.77734375" style="993" customWidth="1"/>
    <col min="11780" max="11780" width="83.6640625" style="993" customWidth="1"/>
    <col min="11781" max="11783" width="20.77734375" style="993" bestFit="1" customWidth="1"/>
    <col min="11784" max="11784" width="7.77734375" style="993" customWidth="1"/>
    <col min="11785" max="11785" width="83.6640625" style="993" customWidth="1"/>
    <col min="11786" max="11788" width="20.77734375" style="993" bestFit="1" customWidth="1"/>
    <col min="11789" max="12034" width="9.33203125" style="993"/>
    <col min="12035" max="12035" width="7.77734375" style="993" customWidth="1"/>
    <col min="12036" max="12036" width="83.6640625" style="993" customWidth="1"/>
    <col min="12037" max="12039" width="20.77734375" style="993" bestFit="1" customWidth="1"/>
    <col min="12040" max="12040" width="7.77734375" style="993" customWidth="1"/>
    <col min="12041" max="12041" width="83.6640625" style="993" customWidth="1"/>
    <col min="12042" max="12044" width="20.77734375" style="993" bestFit="1" customWidth="1"/>
    <col min="12045" max="12290" width="9.33203125" style="993"/>
    <col min="12291" max="12291" width="7.77734375" style="993" customWidth="1"/>
    <col min="12292" max="12292" width="83.6640625" style="993" customWidth="1"/>
    <col min="12293" max="12295" width="20.77734375" style="993" bestFit="1" customWidth="1"/>
    <col min="12296" max="12296" width="7.77734375" style="993" customWidth="1"/>
    <col min="12297" max="12297" width="83.6640625" style="993" customWidth="1"/>
    <col min="12298" max="12300" width="20.77734375" style="993" bestFit="1" customWidth="1"/>
    <col min="12301" max="12546" width="9.33203125" style="993"/>
    <col min="12547" max="12547" width="7.77734375" style="993" customWidth="1"/>
    <col min="12548" max="12548" width="83.6640625" style="993" customWidth="1"/>
    <col min="12549" max="12551" width="20.77734375" style="993" bestFit="1" customWidth="1"/>
    <col min="12552" max="12552" width="7.77734375" style="993" customWidth="1"/>
    <col min="12553" max="12553" width="83.6640625" style="993" customWidth="1"/>
    <col min="12554" max="12556" width="20.77734375" style="993" bestFit="1" customWidth="1"/>
    <col min="12557" max="12802" width="9.33203125" style="993"/>
    <col min="12803" max="12803" width="7.77734375" style="993" customWidth="1"/>
    <col min="12804" max="12804" width="83.6640625" style="993" customWidth="1"/>
    <col min="12805" max="12807" width="20.77734375" style="993" bestFit="1" customWidth="1"/>
    <col min="12808" max="12808" width="7.77734375" style="993" customWidth="1"/>
    <col min="12809" max="12809" width="83.6640625" style="993" customWidth="1"/>
    <col min="12810" max="12812" width="20.77734375" style="993" bestFit="1" customWidth="1"/>
    <col min="12813" max="13058" width="9.33203125" style="993"/>
    <col min="13059" max="13059" width="7.77734375" style="993" customWidth="1"/>
    <col min="13060" max="13060" width="83.6640625" style="993" customWidth="1"/>
    <col min="13061" max="13063" width="20.77734375" style="993" bestFit="1" customWidth="1"/>
    <col min="13064" max="13064" width="7.77734375" style="993" customWidth="1"/>
    <col min="13065" max="13065" width="83.6640625" style="993" customWidth="1"/>
    <col min="13066" max="13068" width="20.77734375" style="993" bestFit="1" customWidth="1"/>
    <col min="13069" max="13314" width="9.33203125" style="993"/>
    <col min="13315" max="13315" width="7.77734375" style="993" customWidth="1"/>
    <col min="13316" max="13316" width="83.6640625" style="993" customWidth="1"/>
    <col min="13317" max="13319" width="20.77734375" style="993" bestFit="1" customWidth="1"/>
    <col min="13320" max="13320" width="7.77734375" style="993" customWidth="1"/>
    <col min="13321" max="13321" width="83.6640625" style="993" customWidth="1"/>
    <col min="13322" max="13324" width="20.77734375" style="993" bestFit="1" customWidth="1"/>
    <col min="13325" max="13570" width="9.33203125" style="993"/>
    <col min="13571" max="13571" width="7.77734375" style="993" customWidth="1"/>
    <col min="13572" max="13572" width="83.6640625" style="993" customWidth="1"/>
    <col min="13573" max="13575" width="20.77734375" style="993" bestFit="1" customWidth="1"/>
    <col min="13576" max="13576" width="7.77734375" style="993" customWidth="1"/>
    <col min="13577" max="13577" width="83.6640625" style="993" customWidth="1"/>
    <col min="13578" max="13580" width="20.77734375" style="993" bestFit="1" customWidth="1"/>
    <col min="13581" max="13826" width="9.33203125" style="993"/>
    <col min="13827" max="13827" width="7.77734375" style="993" customWidth="1"/>
    <col min="13828" max="13828" width="83.6640625" style="993" customWidth="1"/>
    <col min="13829" max="13831" width="20.77734375" style="993" bestFit="1" customWidth="1"/>
    <col min="13832" max="13832" width="7.77734375" style="993" customWidth="1"/>
    <col min="13833" max="13833" width="83.6640625" style="993" customWidth="1"/>
    <col min="13834" max="13836" width="20.77734375" style="993" bestFit="1" customWidth="1"/>
    <col min="13837" max="14082" width="9.33203125" style="993"/>
    <col min="14083" max="14083" width="7.77734375" style="993" customWidth="1"/>
    <col min="14084" max="14084" width="83.6640625" style="993" customWidth="1"/>
    <col min="14085" max="14087" width="20.77734375" style="993" bestFit="1" customWidth="1"/>
    <col min="14088" max="14088" width="7.77734375" style="993" customWidth="1"/>
    <col min="14089" max="14089" width="83.6640625" style="993" customWidth="1"/>
    <col min="14090" max="14092" width="20.77734375" style="993" bestFit="1" customWidth="1"/>
    <col min="14093" max="14338" width="9.33203125" style="993"/>
    <col min="14339" max="14339" width="7.77734375" style="993" customWidth="1"/>
    <col min="14340" max="14340" width="83.6640625" style="993" customWidth="1"/>
    <col min="14341" max="14343" width="20.77734375" style="993" bestFit="1" customWidth="1"/>
    <col min="14344" max="14344" width="7.77734375" style="993" customWidth="1"/>
    <col min="14345" max="14345" width="83.6640625" style="993" customWidth="1"/>
    <col min="14346" max="14348" width="20.77734375" style="993" bestFit="1" customWidth="1"/>
    <col min="14349" max="14594" width="9.33203125" style="993"/>
    <col min="14595" max="14595" width="7.77734375" style="993" customWidth="1"/>
    <col min="14596" max="14596" width="83.6640625" style="993" customWidth="1"/>
    <col min="14597" max="14599" width="20.77734375" style="993" bestFit="1" customWidth="1"/>
    <col min="14600" max="14600" width="7.77734375" style="993" customWidth="1"/>
    <col min="14601" max="14601" width="83.6640625" style="993" customWidth="1"/>
    <col min="14602" max="14604" width="20.77734375" style="993" bestFit="1" customWidth="1"/>
    <col min="14605" max="14850" width="9.33203125" style="993"/>
    <col min="14851" max="14851" width="7.77734375" style="993" customWidth="1"/>
    <col min="14852" max="14852" width="83.6640625" style="993" customWidth="1"/>
    <col min="14853" max="14855" width="20.77734375" style="993" bestFit="1" customWidth="1"/>
    <col min="14856" max="14856" width="7.77734375" style="993" customWidth="1"/>
    <col min="14857" max="14857" width="83.6640625" style="993" customWidth="1"/>
    <col min="14858" max="14860" width="20.77734375" style="993" bestFit="1" customWidth="1"/>
    <col min="14861" max="15106" width="9.33203125" style="993"/>
    <col min="15107" max="15107" width="7.77734375" style="993" customWidth="1"/>
    <col min="15108" max="15108" width="83.6640625" style="993" customWidth="1"/>
    <col min="15109" max="15111" width="20.77734375" style="993" bestFit="1" customWidth="1"/>
    <col min="15112" max="15112" width="7.77734375" style="993" customWidth="1"/>
    <col min="15113" max="15113" width="83.6640625" style="993" customWidth="1"/>
    <col min="15114" max="15116" width="20.77734375" style="993" bestFit="1" customWidth="1"/>
    <col min="15117" max="15362" width="9.33203125" style="993"/>
    <col min="15363" max="15363" width="7.77734375" style="993" customWidth="1"/>
    <col min="15364" max="15364" width="83.6640625" style="993" customWidth="1"/>
    <col min="15365" max="15367" width="20.77734375" style="993" bestFit="1" customWidth="1"/>
    <col min="15368" max="15368" width="7.77734375" style="993" customWidth="1"/>
    <col min="15369" max="15369" width="83.6640625" style="993" customWidth="1"/>
    <col min="15370" max="15372" width="20.77734375" style="993" bestFit="1" customWidth="1"/>
    <col min="15373" max="15618" width="9.33203125" style="993"/>
    <col min="15619" max="15619" width="7.77734375" style="993" customWidth="1"/>
    <col min="15620" max="15620" width="83.6640625" style="993" customWidth="1"/>
    <col min="15621" max="15623" width="20.77734375" style="993" bestFit="1" customWidth="1"/>
    <col min="15624" max="15624" width="7.77734375" style="993" customWidth="1"/>
    <col min="15625" max="15625" width="83.6640625" style="993" customWidth="1"/>
    <col min="15626" max="15628" width="20.77734375" style="993" bestFit="1" customWidth="1"/>
    <col min="15629" max="15874" width="9.33203125" style="993"/>
    <col min="15875" max="15875" width="7.77734375" style="993" customWidth="1"/>
    <col min="15876" max="15876" width="83.6640625" style="993" customWidth="1"/>
    <col min="15877" max="15879" width="20.77734375" style="993" bestFit="1" customWidth="1"/>
    <col min="15880" max="15880" width="7.77734375" style="993" customWidth="1"/>
    <col min="15881" max="15881" width="83.6640625" style="993" customWidth="1"/>
    <col min="15882" max="15884" width="20.77734375" style="993" bestFit="1" customWidth="1"/>
    <col min="15885" max="16130" width="9.33203125" style="993"/>
    <col min="16131" max="16131" width="7.77734375" style="993" customWidth="1"/>
    <col min="16132" max="16132" width="83.6640625" style="993" customWidth="1"/>
    <col min="16133" max="16135" width="20.77734375" style="993" bestFit="1" customWidth="1"/>
    <col min="16136" max="16136" width="7.77734375" style="993" customWidth="1"/>
    <col min="16137" max="16137" width="83.6640625" style="993" customWidth="1"/>
    <col min="16138" max="16140" width="20.77734375" style="993" bestFit="1" customWidth="1"/>
    <col min="16141" max="16384" width="9.33203125" style="993"/>
  </cols>
  <sheetData>
    <row r="2" spans="1:14" ht="13.2" x14ac:dyDescent="0.25">
      <c r="A2" s="1633" t="s">
        <v>1872</v>
      </c>
      <c r="B2" s="1633"/>
      <c r="C2" s="1633"/>
      <c r="D2" s="1633"/>
      <c r="E2" s="1633"/>
      <c r="F2" s="1633"/>
      <c r="G2" s="1633"/>
      <c r="H2" s="1633"/>
      <c r="I2" s="1633"/>
      <c r="J2" s="1633"/>
      <c r="K2" s="1633"/>
      <c r="L2" s="1633"/>
    </row>
    <row r="3" spans="1:14" ht="14.4" thickBot="1" x14ac:dyDescent="0.3"/>
    <row r="4" spans="1:14" s="994" customFormat="1" ht="21" thickBot="1" x14ac:dyDescent="0.3">
      <c r="A4" s="1246"/>
      <c r="B4" s="1247" t="s">
        <v>1873</v>
      </c>
      <c r="C4" s="1246" t="s">
        <v>1948</v>
      </c>
      <c r="D4" s="1246" t="s">
        <v>2134</v>
      </c>
      <c r="E4" s="1246" t="s">
        <v>2135</v>
      </c>
      <c r="F4" s="1246" t="s">
        <v>2170</v>
      </c>
      <c r="G4" s="1246" t="s">
        <v>2181</v>
      </c>
      <c r="H4" s="1246"/>
      <c r="I4" s="1248" t="s">
        <v>292</v>
      </c>
      <c r="J4" s="1246" t="s">
        <v>1874</v>
      </c>
      <c r="K4" s="1246" t="s">
        <v>2136</v>
      </c>
      <c r="L4" s="1246" t="s">
        <v>2137</v>
      </c>
      <c r="M4" s="1246" t="s">
        <v>2171</v>
      </c>
      <c r="N4" s="1246" t="s">
        <v>2180</v>
      </c>
    </row>
    <row r="5" spans="1:14" s="994" customFormat="1" thickBot="1" x14ac:dyDescent="0.3">
      <c r="A5" s="1246" t="s">
        <v>1875</v>
      </c>
      <c r="B5" s="1631" t="s">
        <v>1876</v>
      </c>
      <c r="C5" s="1634"/>
      <c r="D5" s="1414"/>
      <c r="E5" s="1249"/>
      <c r="F5" s="1526"/>
      <c r="G5" s="1536"/>
      <c r="H5" s="1246" t="s">
        <v>1875</v>
      </c>
      <c r="I5" s="1635" t="s">
        <v>1877</v>
      </c>
      <c r="J5" s="1636"/>
      <c r="K5" s="1636"/>
      <c r="L5" s="1636"/>
      <c r="M5" s="1250"/>
      <c r="N5" s="1250"/>
    </row>
    <row r="6" spans="1:14" ht="21" thickBot="1" x14ac:dyDescent="0.3">
      <c r="A6" s="1251" t="s">
        <v>51</v>
      </c>
      <c r="B6" s="1252" t="s">
        <v>1878</v>
      </c>
      <c r="C6" s="1253">
        <v>514472405</v>
      </c>
      <c r="D6" s="1254">
        <v>519103059</v>
      </c>
      <c r="E6" s="1254">
        <v>531398359</v>
      </c>
      <c r="F6" s="1254">
        <v>532641643</v>
      </c>
      <c r="G6" s="1254">
        <v>551209563</v>
      </c>
      <c r="H6" s="1251"/>
      <c r="I6" s="1527"/>
      <c r="J6" s="1528"/>
      <c r="K6" s="1528"/>
      <c r="L6" s="1528"/>
      <c r="M6" s="1528"/>
      <c r="N6" s="1528"/>
    </row>
    <row r="7" spans="1:14" thickBot="1" x14ac:dyDescent="0.3">
      <c r="A7" s="1256" t="s">
        <v>65</v>
      </c>
      <c r="B7" s="1257" t="s">
        <v>1879</v>
      </c>
      <c r="C7" s="1258"/>
      <c r="D7" s="1259"/>
      <c r="E7" s="1259"/>
      <c r="F7" s="1259"/>
      <c r="G7" s="1259"/>
      <c r="H7" s="1256"/>
      <c r="I7" s="1529"/>
      <c r="J7" s="1530"/>
      <c r="K7" s="1530"/>
      <c r="L7" s="1530"/>
      <c r="M7" s="1530"/>
      <c r="N7" s="1530"/>
    </row>
    <row r="8" spans="1:14" ht="13.2" x14ac:dyDescent="0.25">
      <c r="A8" s="1260" t="s">
        <v>79</v>
      </c>
      <c r="B8" s="1261" t="s">
        <v>1880</v>
      </c>
      <c r="C8" s="1253">
        <f>SUM(C9:C15)</f>
        <v>31215700</v>
      </c>
      <c r="D8" s="1262">
        <f>SUM(D9:D15)</f>
        <v>33140480</v>
      </c>
      <c r="E8" s="1262">
        <f>SUM(E9:E15)</f>
        <v>33140480</v>
      </c>
      <c r="F8" s="1262">
        <f>SUM(F9:F15)</f>
        <v>69325475</v>
      </c>
      <c r="G8" s="1262">
        <f>SUM(G9:G15)</f>
        <v>35260891</v>
      </c>
      <c r="H8" s="1260" t="s">
        <v>51</v>
      </c>
      <c r="I8" s="1263" t="s">
        <v>299</v>
      </c>
      <c r="J8" s="1264">
        <v>665042249</v>
      </c>
      <c r="K8" s="1264">
        <v>665042249</v>
      </c>
      <c r="L8" s="1264">
        <v>678854249</v>
      </c>
      <c r="M8" s="1264">
        <v>698533449</v>
      </c>
      <c r="N8" s="1264">
        <v>694637500</v>
      </c>
    </row>
    <row r="9" spans="1:14" ht="13.2" x14ac:dyDescent="0.25">
      <c r="A9" s="1265"/>
      <c r="B9" s="1266" t="s">
        <v>1881</v>
      </c>
      <c r="C9" s="1267"/>
      <c r="D9" s="1268"/>
      <c r="E9" s="1268"/>
      <c r="F9" s="1268"/>
      <c r="G9" s="1268"/>
      <c r="H9" s="1265" t="s">
        <v>65</v>
      </c>
      <c r="I9" s="1269" t="s">
        <v>216</v>
      </c>
      <c r="J9" s="1270">
        <v>139198302</v>
      </c>
      <c r="K9" s="1270">
        <v>139198302</v>
      </c>
      <c r="L9" s="1270">
        <v>140044848</v>
      </c>
      <c r="M9" s="1270">
        <v>140719569</v>
      </c>
      <c r="N9" s="1270">
        <v>140809952</v>
      </c>
    </row>
    <row r="10" spans="1:14" ht="13.2" x14ac:dyDescent="0.25">
      <c r="A10" s="1265"/>
      <c r="B10" s="1266" t="s">
        <v>1882</v>
      </c>
      <c r="C10" s="1267">
        <f>26060400</f>
        <v>26060400</v>
      </c>
      <c r="D10" s="1271">
        <f>26060400</f>
        <v>26060400</v>
      </c>
      <c r="E10" s="1271">
        <f>26060400</f>
        <v>26060400</v>
      </c>
      <c r="F10" s="1271">
        <f>26060400</f>
        <v>26060400</v>
      </c>
      <c r="G10" s="1271">
        <v>28050000</v>
      </c>
      <c r="H10" s="1265" t="s">
        <v>79</v>
      </c>
      <c r="I10" s="1269" t="s">
        <v>1883</v>
      </c>
      <c r="J10" s="1270">
        <f>523231401+1900000</f>
        <v>525131401</v>
      </c>
      <c r="K10" s="1270">
        <v>586079479</v>
      </c>
      <c r="L10" s="1270">
        <v>566628157</v>
      </c>
      <c r="M10" s="1270">
        <v>611649500</v>
      </c>
      <c r="N10" s="1270">
        <v>621772437</v>
      </c>
    </row>
    <row r="11" spans="1:14" ht="13.2" x14ac:dyDescent="0.25">
      <c r="A11" s="1265"/>
      <c r="B11" s="1266" t="s">
        <v>1884</v>
      </c>
      <c r="C11" s="1267"/>
      <c r="D11" s="1268"/>
      <c r="E11" s="1268"/>
      <c r="F11" s="1268"/>
      <c r="G11" s="1268"/>
      <c r="H11" s="1265" t="s">
        <v>262</v>
      </c>
      <c r="I11" s="1269" t="s">
        <v>218</v>
      </c>
      <c r="J11" s="1270">
        <v>10000000</v>
      </c>
      <c r="K11" s="1270">
        <v>10217705</v>
      </c>
      <c r="L11" s="1270">
        <v>10217705</v>
      </c>
      <c r="M11" s="1270">
        <v>10217705</v>
      </c>
      <c r="N11" s="1270">
        <v>9562495</v>
      </c>
    </row>
    <row r="12" spans="1:14" ht="13.2" x14ac:dyDescent="0.25">
      <c r="A12" s="1265"/>
      <c r="B12" s="1266" t="s">
        <v>528</v>
      </c>
      <c r="C12" s="1267"/>
      <c r="D12" s="1268"/>
      <c r="E12" s="1268"/>
      <c r="F12" s="1268">
        <v>36184995</v>
      </c>
      <c r="G12" s="1268">
        <v>130811</v>
      </c>
      <c r="H12" s="1265" t="s">
        <v>107</v>
      </c>
      <c r="I12" s="1269" t="s">
        <v>220</v>
      </c>
      <c r="J12" s="1272">
        <v>21396000</v>
      </c>
      <c r="K12" s="1272">
        <v>44932241</v>
      </c>
      <c r="L12" s="1272">
        <v>88232641</v>
      </c>
      <c r="M12" s="1272">
        <v>87860383</v>
      </c>
      <c r="N12" s="1272">
        <v>87877753</v>
      </c>
    </row>
    <row r="13" spans="1:14" ht="20.399999999999999" x14ac:dyDescent="0.25">
      <c r="A13" s="1265"/>
      <c r="B13" s="1273" t="s">
        <v>1885</v>
      </c>
      <c r="C13" s="1267">
        <v>5155300</v>
      </c>
      <c r="D13" s="1271">
        <v>5155300</v>
      </c>
      <c r="E13" s="1271">
        <v>5155300</v>
      </c>
      <c r="F13" s="1271">
        <v>5155300</v>
      </c>
      <c r="G13" s="1271">
        <v>5155300</v>
      </c>
      <c r="H13" s="1265" t="s">
        <v>129</v>
      </c>
      <c r="I13" s="1269" t="s">
        <v>260</v>
      </c>
      <c r="J13" s="1270">
        <v>1804406</v>
      </c>
      <c r="K13" s="1270">
        <v>14277308</v>
      </c>
      <c r="L13" s="1270">
        <v>6925647</v>
      </c>
      <c r="M13" s="1270">
        <v>5168931</v>
      </c>
      <c r="N13" s="1270"/>
    </row>
    <row r="14" spans="1:14" ht="13.2" x14ac:dyDescent="0.25">
      <c r="A14" s="1265"/>
      <c r="B14" s="1273" t="s">
        <v>1886</v>
      </c>
      <c r="C14" s="1267"/>
      <c r="D14" s="1268"/>
      <c r="E14" s="1268"/>
      <c r="F14" s="1268"/>
      <c r="G14" s="1268"/>
      <c r="H14" s="1265" t="s">
        <v>273</v>
      </c>
      <c r="I14" s="1269" t="s">
        <v>261</v>
      </c>
      <c r="J14" s="1270"/>
      <c r="K14" s="1270">
        <v>0</v>
      </c>
      <c r="L14" s="1270">
        <v>26265427</v>
      </c>
      <c r="M14" s="1270">
        <v>0</v>
      </c>
      <c r="N14" s="1270">
        <v>0</v>
      </c>
    </row>
    <row r="15" spans="1:14" ht="13.2" x14ac:dyDescent="0.25">
      <c r="A15" s="1265"/>
      <c r="B15" s="1273" t="s">
        <v>1887</v>
      </c>
      <c r="C15" s="1267"/>
      <c r="D15" s="1274">
        <v>1924780</v>
      </c>
      <c r="E15" s="1274">
        <v>1924780</v>
      </c>
      <c r="F15" s="1274">
        <v>1924780</v>
      </c>
      <c r="G15" s="1274">
        <v>1924780</v>
      </c>
      <c r="H15" s="1265"/>
      <c r="I15" s="1269"/>
      <c r="J15" s="1275"/>
      <c r="K15" s="1275"/>
      <c r="L15" s="1275"/>
      <c r="M15" s="1275"/>
      <c r="N15" s="1275"/>
    </row>
    <row r="16" spans="1:14" ht="13.2" x14ac:dyDescent="0.25">
      <c r="A16" s="1276" t="s">
        <v>262</v>
      </c>
      <c r="B16" s="1277" t="s">
        <v>303</v>
      </c>
      <c r="C16" s="1278">
        <f>SUM(C17:C23)</f>
        <v>684000000</v>
      </c>
      <c r="D16" s="1279">
        <f>SUM(D17:D23)</f>
        <v>709000000</v>
      </c>
      <c r="E16" s="1279">
        <f>SUM(E17:E23)</f>
        <v>725000000</v>
      </c>
      <c r="F16" s="1279">
        <f>SUM(F17:F23)</f>
        <v>725000000</v>
      </c>
      <c r="G16" s="1279">
        <f>SUM(G17:G23)</f>
        <v>725000000</v>
      </c>
      <c r="H16" s="1280"/>
      <c r="I16" s="1281"/>
      <c r="J16" s="1282"/>
      <c r="K16" s="1282"/>
      <c r="L16" s="1282"/>
      <c r="M16" s="1282"/>
      <c r="N16" s="1282"/>
    </row>
    <row r="17" spans="1:14" ht="13.2" x14ac:dyDescent="0.25">
      <c r="A17" s="1276"/>
      <c r="B17" s="1281" t="s">
        <v>1888</v>
      </c>
      <c r="C17" s="1283">
        <v>672000000</v>
      </c>
      <c r="D17" s="1284">
        <v>697000000</v>
      </c>
      <c r="E17" s="1284">
        <v>722000000</v>
      </c>
      <c r="F17" s="1284">
        <v>722000000</v>
      </c>
      <c r="G17" s="1284">
        <v>722000000</v>
      </c>
      <c r="H17" s="1280"/>
      <c r="I17" s="1281"/>
      <c r="J17" s="1282"/>
      <c r="K17" s="1282"/>
      <c r="L17" s="1282"/>
      <c r="M17" s="1282"/>
      <c r="N17" s="1282"/>
    </row>
    <row r="18" spans="1:14" ht="13.2" x14ac:dyDescent="0.25">
      <c r="A18" s="1276"/>
      <c r="B18" s="1281" t="s">
        <v>1889</v>
      </c>
      <c r="C18" s="1283"/>
      <c r="D18" s="1284"/>
      <c r="E18" s="1284"/>
      <c r="F18" s="1284"/>
      <c r="G18" s="1284"/>
      <c r="H18" s="1280"/>
      <c r="I18" s="1281"/>
      <c r="J18" s="1282"/>
      <c r="K18" s="1282"/>
      <c r="L18" s="1282"/>
      <c r="M18" s="1282"/>
      <c r="N18" s="1282"/>
    </row>
    <row r="19" spans="1:14" ht="13.2" x14ac:dyDescent="0.25">
      <c r="A19" s="1276"/>
      <c r="B19" s="1281" t="s">
        <v>1890</v>
      </c>
      <c r="C19" s="1283"/>
      <c r="D19" s="1284"/>
      <c r="E19" s="1284"/>
      <c r="F19" s="1284"/>
      <c r="G19" s="1284"/>
      <c r="H19" s="1280"/>
      <c r="I19" s="1281"/>
      <c r="J19" s="1282"/>
      <c r="K19" s="1282"/>
      <c r="L19" s="1282"/>
      <c r="M19" s="1282"/>
      <c r="N19" s="1282"/>
    </row>
    <row r="20" spans="1:14" ht="13.2" x14ac:dyDescent="0.25">
      <c r="A20" s="1276"/>
      <c r="B20" s="1281" t="s">
        <v>1891</v>
      </c>
      <c r="C20" s="1283"/>
      <c r="D20" s="1284"/>
      <c r="E20" s="1284"/>
      <c r="F20" s="1284"/>
      <c r="G20" s="1284"/>
      <c r="H20" s="1280"/>
      <c r="I20" s="1281"/>
      <c r="J20" s="1282"/>
      <c r="K20" s="1282"/>
      <c r="L20" s="1282"/>
      <c r="M20" s="1282"/>
      <c r="N20" s="1282"/>
    </row>
    <row r="21" spans="1:14" ht="13.2" x14ac:dyDescent="0.25">
      <c r="A21" s="1276"/>
      <c r="B21" s="1281" t="s">
        <v>1892</v>
      </c>
      <c r="C21" s="1283"/>
      <c r="D21" s="1284"/>
      <c r="E21" s="1284"/>
      <c r="F21" s="1284"/>
      <c r="G21" s="1284"/>
      <c r="H21" s="1280"/>
      <c r="I21" s="1281"/>
      <c r="J21" s="1282"/>
      <c r="K21" s="1282"/>
      <c r="L21" s="1282"/>
      <c r="M21" s="1282"/>
      <c r="N21" s="1282"/>
    </row>
    <row r="22" spans="1:14" ht="13.2" x14ac:dyDescent="0.25">
      <c r="A22" s="1276"/>
      <c r="B22" s="1281" t="s">
        <v>1893</v>
      </c>
      <c r="C22" s="1283">
        <v>12000000</v>
      </c>
      <c r="D22" s="1282">
        <v>12000000</v>
      </c>
      <c r="E22" s="1282">
        <v>3000000</v>
      </c>
      <c r="F22" s="1282">
        <v>3000000</v>
      </c>
      <c r="G22" s="1282">
        <v>3000000</v>
      </c>
      <c r="H22" s="1280"/>
      <c r="I22" s="1281"/>
      <c r="J22" s="1282"/>
      <c r="K22" s="1282"/>
      <c r="L22" s="1282"/>
      <c r="M22" s="1282"/>
      <c r="N22" s="1282"/>
    </row>
    <row r="23" spans="1:14" ht="13.2" x14ac:dyDescent="0.25">
      <c r="A23" s="1276"/>
      <c r="B23" s="1281" t="s">
        <v>1894</v>
      </c>
      <c r="C23" s="1283"/>
      <c r="D23" s="1284"/>
      <c r="E23" s="1284"/>
      <c r="F23" s="1284"/>
      <c r="G23" s="1284"/>
      <c r="H23" s="1280"/>
      <c r="I23" s="1281"/>
      <c r="J23" s="1282"/>
      <c r="K23" s="1282"/>
      <c r="L23" s="1282"/>
      <c r="M23" s="1282"/>
      <c r="N23" s="1282"/>
    </row>
    <row r="24" spans="1:14" ht="13.2" x14ac:dyDescent="0.25">
      <c r="A24" s="1276" t="s">
        <v>107</v>
      </c>
      <c r="B24" s="1277" t="s">
        <v>1895</v>
      </c>
      <c r="C24" s="1285">
        <f>SUM(C25:C32)</f>
        <v>220960300</v>
      </c>
      <c r="D24" s="1286">
        <f>SUM(D25:D32)</f>
        <v>220960300</v>
      </c>
      <c r="E24" s="1286">
        <f>SUM(E25:E32)</f>
        <v>224770300</v>
      </c>
      <c r="F24" s="1286">
        <f>SUM(F25:F32)</f>
        <v>224770300</v>
      </c>
      <c r="G24" s="1286">
        <f>SUM(G25:G32)</f>
        <v>231622763</v>
      </c>
      <c r="H24" s="1280"/>
      <c r="I24" s="1281"/>
      <c r="J24" s="1282"/>
      <c r="K24" s="1282"/>
      <c r="L24" s="1282"/>
      <c r="M24" s="1282"/>
      <c r="N24" s="1282"/>
    </row>
    <row r="25" spans="1:14" ht="13.2" x14ac:dyDescent="0.25">
      <c r="A25" s="1287"/>
      <c r="B25" s="1281" t="s">
        <v>1896</v>
      </c>
      <c r="C25" s="1283"/>
      <c r="D25" s="1282"/>
      <c r="E25" s="1282"/>
      <c r="F25" s="1282"/>
      <c r="G25" s="1282"/>
      <c r="H25" s="1280"/>
      <c r="I25" s="1281"/>
      <c r="J25" s="1282"/>
      <c r="K25" s="1282"/>
      <c r="L25" s="1282"/>
      <c r="M25" s="1282"/>
      <c r="N25" s="1282"/>
    </row>
    <row r="26" spans="1:14" ht="13.2" x14ac:dyDescent="0.25">
      <c r="A26" s="1287"/>
      <c r="B26" s="1281" t="s">
        <v>1897</v>
      </c>
      <c r="C26" s="1283">
        <f>26790000+40900000</f>
        <v>67690000</v>
      </c>
      <c r="D26" s="1282">
        <f>26790000+40900000</f>
        <v>67690000</v>
      </c>
      <c r="E26" s="1282">
        <f>26790000+40900000</f>
        <v>67690000</v>
      </c>
      <c r="F26" s="1282">
        <f>26790000+40900000</f>
        <v>67690000</v>
      </c>
      <c r="G26" s="1282">
        <v>68095846</v>
      </c>
      <c r="H26" s="1280"/>
      <c r="I26" s="1281"/>
      <c r="J26" s="1282"/>
      <c r="K26" s="1282"/>
      <c r="L26" s="1282"/>
      <c r="M26" s="1282"/>
      <c r="N26" s="1282"/>
    </row>
    <row r="27" spans="1:14" ht="13.2" x14ac:dyDescent="0.25">
      <c r="A27" s="1287"/>
      <c r="B27" s="1281" t="s">
        <v>1898</v>
      </c>
      <c r="C27" s="1283">
        <v>58000000</v>
      </c>
      <c r="D27" s="1282">
        <v>58000000</v>
      </c>
      <c r="E27" s="1282">
        <v>58000000</v>
      </c>
      <c r="F27" s="1282">
        <v>58000000</v>
      </c>
      <c r="G27" s="1282">
        <v>58000000</v>
      </c>
      <c r="H27" s="1280"/>
      <c r="I27" s="1281"/>
      <c r="J27" s="1282"/>
      <c r="K27" s="1282"/>
      <c r="L27" s="1282"/>
      <c r="M27" s="1282"/>
      <c r="N27" s="1282"/>
    </row>
    <row r="28" spans="1:14" ht="13.2" x14ac:dyDescent="0.25">
      <c r="A28" s="1287"/>
      <c r="B28" s="1281" t="s">
        <v>1899</v>
      </c>
      <c r="C28" s="1283">
        <v>57200000</v>
      </c>
      <c r="D28" s="1282">
        <v>57200000</v>
      </c>
      <c r="E28" s="1282">
        <v>60200000</v>
      </c>
      <c r="F28" s="1282">
        <v>60200000</v>
      </c>
      <c r="G28" s="1282">
        <v>67004942</v>
      </c>
      <c r="H28" s="1280"/>
      <c r="I28" s="1281"/>
      <c r="J28" s="1282"/>
      <c r="K28" s="1282"/>
      <c r="L28" s="1282"/>
      <c r="M28" s="1282"/>
      <c r="N28" s="1282"/>
    </row>
    <row r="29" spans="1:14" ht="13.2" x14ac:dyDescent="0.25">
      <c r="A29" s="1287"/>
      <c r="B29" s="1281" t="s">
        <v>1900</v>
      </c>
      <c r="C29" s="1283">
        <v>0</v>
      </c>
      <c r="D29" s="1282">
        <v>0</v>
      </c>
      <c r="E29" s="1282">
        <v>0</v>
      </c>
      <c r="F29" s="1282">
        <v>0</v>
      </c>
      <c r="G29" s="1282">
        <v>0</v>
      </c>
      <c r="H29" s="1280"/>
      <c r="I29" s="1281"/>
      <c r="J29" s="1282"/>
      <c r="K29" s="1282"/>
      <c r="L29" s="1282"/>
      <c r="M29" s="1282"/>
      <c r="N29" s="1282"/>
    </row>
    <row r="30" spans="1:14" ht="13.2" x14ac:dyDescent="0.25">
      <c r="A30" s="1287"/>
      <c r="B30" s="1281" t="s">
        <v>1901</v>
      </c>
      <c r="C30" s="1283"/>
      <c r="D30" s="1282"/>
      <c r="E30" s="1282"/>
      <c r="F30" s="1282"/>
      <c r="G30" s="1282">
        <v>31000</v>
      </c>
      <c r="H30" s="1280"/>
      <c r="I30" s="1281"/>
      <c r="J30" s="1282"/>
      <c r="K30" s="1282"/>
      <c r="L30" s="1282"/>
      <c r="M30" s="1282"/>
      <c r="N30" s="1282"/>
    </row>
    <row r="31" spans="1:14" ht="13.2" x14ac:dyDescent="0.25">
      <c r="A31" s="1287"/>
      <c r="B31" s="1281" t="s">
        <v>1902</v>
      </c>
      <c r="C31" s="1283">
        <v>38070300</v>
      </c>
      <c r="D31" s="1282">
        <v>38070300</v>
      </c>
      <c r="E31" s="1282">
        <v>38880300</v>
      </c>
      <c r="F31" s="1282">
        <v>38880300</v>
      </c>
      <c r="G31" s="1282">
        <v>38488975</v>
      </c>
      <c r="H31" s="1280"/>
      <c r="I31" s="1281"/>
      <c r="J31" s="1282"/>
      <c r="K31" s="1282"/>
      <c r="L31" s="1282"/>
      <c r="M31" s="1282"/>
      <c r="N31" s="1282"/>
    </row>
    <row r="32" spans="1:14" ht="13.2" x14ac:dyDescent="0.25">
      <c r="A32" s="1287"/>
      <c r="B32" s="1281" t="s">
        <v>1903</v>
      </c>
      <c r="C32" s="1283"/>
      <c r="D32" s="1282"/>
      <c r="E32" s="1282"/>
      <c r="F32" s="1282"/>
      <c r="G32" s="1282">
        <v>2000</v>
      </c>
      <c r="H32" s="1280"/>
      <c r="I32" s="1281"/>
      <c r="J32" s="1282"/>
      <c r="K32" s="1282"/>
      <c r="L32" s="1282"/>
      <c r="M32" s="1282"/>
      <c r="N32" s="1282"/>
    </row>
    <row r="33" spans="1:14" thickBot="1" x14ac:dyDescent="0.3">
      <c r="A33" s="1276" t="s">
        <v>129</v>
      </c>
      <c r="B33" s="1277" t="s">
        <v>1904</v>
      </c>
      <c r="C33" s="1285">
        <v>30350000</v>
      </c>
      <c r="D33" s="1286">
        <v>30350000</v>
      </c>
      <c r="E33" s="1286">
        <v>63100000</v>
      </c>
      <c r="F33" s="1286">
        <v>63100000</v>
      </c>
      <c r="G33" s="1286">
        <v>63100000</v>
      </c>
      <c r="H33" s="1280"/>
      <c r="I33" s="1612"/>
      <c r="J33" s="1315"/>
      <c r="K33" s="1315"/>
      <c r="L33" s="1315"/>
      <c r="M33" s="1315"/>
      <c r="N33" s="1315"/>
    </row>
    <row r="34" spans="1:14" thickBot="1" x14ac:dyDescent="0.3">
      <c r="A34" s="1288"/>
      <c r="B34" s="1289" t="s">
        <v>1905</v>
      </c>
      <c r="C34" s="1290">
        <f>C33+C24+C16+C8+C7+C6</f>
        <v>1480998405</v>
      </c>
      <c r="D34" s="1291">
        <f>D33+D24+D16+D8+D7+D6</f>
        <v>1512553839</v>
      </c>
      <c r="E34" s="1291">
        <f>E6+E8+E16+E24+E33</f>
        <v>1577409139</v>
      </c>
      <c r="F34" s="1291">
        <f>F6+F8+F16+F24+F33</f>
        <v>1614837418</v>
      </c>
      <c r="G34" s="1291">
        <f>G6+G8+G16+G24+G33</f>
        <v>1606193217</v>
      </c>
      <c r="H34" s="1292"/>
      <c r="I34" s="1293" t="s">
        <v>1906</v>
      </c>
      <c r="J34" s="1613">
        <f>SUM(J8:J33)</f>
        <v>1362572358</v>
      </c>
      <c r="K34" s="1613">
        <f>SUM(K8:K33)</f>
        <v>1459747284</v>
      </c>
      <c r="L34" s="1613">
        <f>SUM(L8:L33)</f>
        <v>1517168674</v>
      </c>
      <c r="M34" s="1613">
        <f>SUM(M8:M33)</f>
        <v>1554149537</v>
      </c>
      <c r="N34" s="1613">
        <f>SUM(N8:N33)</f>
        <v>1554660137</v>
      </c>
    </row>
    <row r="35" spans="1:14" s="994" customFormat="1" thickBot="1" x14ac:dyDescent="0.3">
      <c r="A35" s="1294" t="s">
        <v>1907</v>
      </c>
      <c r="B35" s="1295" t="s">
        <v>1908</v>
      </c>
      <c r="C35" s="1247"/>
      <c r="D35" s="1413"/>
      <c r="E35" s="1247"/>
      <c r="F35" s="1525"/>
      <c r="G35" s="1535"/>
      <c r="H35" s="1294" t="s">
        <v>1907</v>
      </c>
      <c r="I35" s="1631" t="s">
        <v>1909</v>
      </c>
      <c r="J35" s="1632"/>
      <c r="K35" s="1632"/>
      <c r="L35" s="1632"/>
      <c r="M35" s="1539"/>
      <c r="N35" s="1540"/>
    </row>
    <row r="36" spans="1:14" ht="13.2" x14ac:dyDescent="0.25">
      <c r="A36" s="1296" t="s">
        <v>51</v>
      </c>
      <c r="B36" s="1297" t="s">
        <v>1910</v>
      </c>
      <c r="C36" s="1298">
        <f>SUM(C37:C43)</f>
        <v>0</v>
      </c>
      <c r="D36" s="1298">
        <f t="shared" ref="D36:G36" si="0">SUM(D37:D43)</f>
        <v>0</v>
      </c>
      <c r="E36" s="1298">
        <f t="shared" si="0"/>
        <v>0</v>
      </c>
      <c r="F36" s="1298">
        <f t="shared" si="0"/>
        <v>0</v>
      </c>
      <c r="G36" s="1298">
        <f t="shared" si="0"/>
        <v>278000</v>
      </c>
      <c r="H36" s="1296" t="s">
        <v>51</v>
      </c>
      <c r="I36" s="1299" t="s">
        <v>241</v>
      </c>
      <c r="J36" s="1300">
        <v>103722145</v>
      </c>
      <c r="K36" s="1300">
        <v>86684545</v>
      </c>
      <c r="L36" s="1300">
        <v>94118455</v>
      </c>
      <c r="M36" s="1300">
        <v>91993972</v>
      </c>
      <c r="N36" s="1300">
        <v>67441294</v>
      </c>
    </row>
    <row r="37" spans="1:14" ht="13.2" x14ac:dyDescent="0.25">
      <c r="A37" s="1276"/>
      <c r="B37" s="1266" t="s">
        <v>1881</v>
      </c>
      <c r="C37" s="1283"/>
      <c r="D37" s="1284"/>
      <c r="E37" s="1284"/>
      <c r="F37" s="1284"/>
      <c r="G37" s="1284"/>
      <c r="H37" s="1276" t="s">
        <v>65</v>
      </c>
      <c r="I37" s="1281" t="s">
        <v>243</v>
      </c>
      <c r="J37" s="1272">
        <v>46500000</v>
      </c>
      <c r="K37" s="1272">
        <v>77518890</v>
      </c>
      <c r="L37" s="1272">
        <v>77518890</v>
      </c>
      <c r="M37" s="1272">
        <v>77518890</v>
      </c>
      <c r="N37" s="1272">
        <v>122364144</v>
      </c>
    </row>
    <row r="38" spans="1:14" ht="13.2" x14ac:dyDescent="0.25">
      <c r="A38" s="1276"/>
      <c r="B38" s="1266" t="s">
        <v>1882</v>
      </c>
      <c r="C38" s="1283"/>
      <c r="D38" s="1284"/>
      <c r="E38" s="1284"/>
      <c r="F38" s="1284"/>
      <c r="G38" s="1284"/>
      <c r="H38" s="1276" t="s">
        <v>79</v>
      </c>
      <c r="I38" s="1281" t="s">
        <v>245</v>
      </c>
      <c r="J38" s="1270">
        <v>2500000</v>
      </c>
      <c r="K38" s="1270">
        <v>32783467</v>
      </c>
      <c r="L38" s="1270">
        <v>32783467</v>
      </c>
      <c r="M38" s="1270">
        <v>33382967</v>
      </c>
      <c r="N38" s="1270">
        <v>11803449</v>
      </c>
    </row>
    <row r="39" spans="1:14" ht="13.2" x14ac:dyDescent="0.25">
      <c r="A39" s="1276"/>
      <c r="B39" s="1266" t="s">
        <v>1884</v>
      </c>
      <c r="C39" s="1283"/>
      <c r="D39" s="1284"/>
      <c r="E39" s="1284"/>
      <c r="F39" s="1284"/>
      <c r="G39" s="1284"/>
      <c r="H39" s="1276" t="s">
        <v>262</v>
      </c>
      <c r="I39" s="1273" t="s">
        <v>260</v>
      </c>
      <c r="J39" s="1270"/>
      <c r="K39" s="1270"/>
      <c r="L39" s="1270"/>
      <c r="M39" s="1270"/>
      <c r="N39" s="1270"/>
    </row>
    <row r="40" spans="1:14" ht="13.2" x14ac:dyDescent="0.25">
      <c r="A40" s="1276"/>
      <c r="B40" s="1266" t="s">
        <v>1911</v>
      </c>
      <c r="C40" s="1283"/>
      <c r="D40" s="1284"/>
      <c r="E40" s="1284"/>
      <c r="F40" s="1284"/>
      <c r="G40" s="1284"/>
      <c r="H40" s="1276" t="s">
        <v>107</v>
      </c>
      <c r="I40" s="1273" t="s">
        <v>261</v>
      </c>
      <c r="J40" s="1270"/>
      <c r="K40" s="1270"/>
      <c r="L40" s="1270"/>
      <c r="M40" s="1270"/>
      <c r="N40" s="1270"/>
    </row>
    <row r="41" spans="1:14" ht="20.399999999999999" x14ac:dyDescent="0.25">
      <c r="A41" s="1276"/>
      <c r="B41" s="1273" t="s">
        <v>1885</v>
      </c>
      <c r="C41" s="1283"/>
      <c r="D41" s="1284"/>
      <c r="E41" s="1284"/>
      <c r="F41" s="1284"/>
      <c r="G41" s="1284"/>
      <c r="H41" s="1301"/>
      <c r="I41" s="1302"/>
      <c r="J41" s="1282"/>
      <c r="K41" s="1282"/>
      <c r="L41" s="1282"/>
      <c r="M41" s="1282"/>
      <c r="N41" s="1282"/>
    </row>
    <row r="42" spans="1:14" ht="13.2" x14ac:dyDescent="0.25">
      <c r="A42" s="1276"/>
      <c r="B42" s="1273" t="s">
        <v>1912</v>
      </c>
      <c r="C42" s="1283"/>
      <c r="D42" s="1284"/>
      <c r="E42" s="1284"/>
      <c r="F42" s="1284"/>
      <c r="G42" s="1284"/>
      <c r="H42" s="1301"/>
      <c r="I42" s="1302"/>
      <c r="J42" s="1282"/>
      <c r="K42" s="1282"/>
      <c r="L42" s="1282"/>
      <c r="M42" s="1282"/>
      <c r="N42" s="1282"/>
    </row>
    <row r="43" spans="1:14" ht="13.2" x14ac:dyDescent="0.25">
      <c r="A43" s="1276"/>
      <c r="B43" s="1273" t="s">
        <v>1887</v>
      </c>
      <c r="C43" s="1283"/>
      <c r="D43" s="1284"/>
      <c r="E43" s="1284"/>
      <c r="F43" s="1284"/>
      <c r="G43" s="1284">
        <v>278000</v>
      </c>
      <c r="H43" s="1301"/>
      <c r="I43" s="1302"/>
      <c r="J43" s="1282"/>
      <c r="K43" s="1282"/>
      <c r="L43" s="1282"/>
      <c r="M43" s="1282"/>
      <c r="N43" s="1282"/>
    </row>
    <row r="44" spans="1:14" ht="13.2" x14ac:dyDescent="0.25">
      <c r="A44" s="1276" t="s">
        <v>65</v>
      </c>
      <c r="B44" s="1303" t="s">
        <v>1913</v>
      </c>
      <c r="C44" s="1304">
        <f>SUM(C45:C46)</f>
        <v>106800000</v>
      </c>
      <c r="D44" s="1305">
        <f>SUM(D45:D46)</f>
        <v>106800000</v>
      </c>
      <c r="E44" s="1305">
        <f>SUM(E45:E46)</f>
        <v>106800000</v>
      </c>
      <c r="F44" s="1305">
        <f>SUM(F45:F46)</f>
        <v>106800000</v>
      </c>
      <c r="G44" s="1305">
        <f>SUM(G45:G46)</f>
        <v>106800000</v>
      </c>
      <c r="H44" s="1301"/>
      <c r="I44" s="1302"/>
      <c r="J44" s="1282"/>
      <c r="K44" s="1282"/>
      <c r="L44" s="1282"/>
      <c r="M44" s="1282"/>
      <c r="N44" s="1282"/>
    </row>
    <row r="45" spans="1:14" ht="13.2" x14ac:dyDescent="0.25">
      <c r="A45" s="1276"/>
      <c r="B45" s="1273" t="s">
        <v>1914</v>
      </c>
      <c r="C45" s="1283">
        <v>106800000</v>
      </c>
      <c r="D45" s="1282">
        <v>106800000</v>
      </c>
      <c r="E45" s="1282">
        <v>106800000</v>
      </c>
      <c r="F45" s="1282">
        <v>106800000</v>
      </c>
      <c r="G45" s="1282">
        <v>106800000</v>
      </c>
      <c r="H45" s="1301"/>
      <c r="I45" s="1302"/>
      <c r="J45" s="1282"/>
      <c r="K45" s="1282"/>
      <c r="L45" s="1282"/>
      <c r="M45" s="1282"/>
      <c r="N45" s="1282"/>
    </row>
    <row r="46" spans="1:14" ht="13.2" x14ac:dyDescent="0.25">
      <c r="A46" s="1276"/>
      <c r="B46" s="1273" t="s">
        <v>1915</v>
      </c>
      <c r="C46" s="1283"/>
      <c r="D46" s="1284"/>
      <c r="E46" s="1284"/>
      <c r="F46" s="1284"/>
      <c r="G46" s="1284"/>
      <c r="H46" s="1301"/>
      <c r="I46" s="1302"/>
      <c r="J46" s="1282"/>
      <c r="K46" s="1282"/>
      <c r="L46" s="1282"/>
      <c r="M46" s="1282"/>
      <c r="N46" s="1282"/>
    </row>
    <row r="47" spans="1:14" thickBot="1" x14ac:dyDescent="0.3">
      <c r="A47" s="1276" t="s">
        <v>79</v>
      </c>
      <c r="B47" s="1277" t="s">
        <v>1916</v>
      </c>
      <c r="C47" s="1283">
        <v>11000000</v>
      </c>
      <c r="D47" s="1282">
        <v>11000000</v>
      </c>
      <c r="E47" s="1282">
        <v>11000000</v>
      </c>
      <c r="F47" s="1282">
        <v>11000000</v>
      </c>
      <c r="G47" s="1282">
        <v>11000000</v>
      </c>
      <c r="H47" s="1301"/>
      <c r="I47" s="1302"/>
      <c r="J47" s="1282"/>
      <c r="K47" s="1282"/>
      <c r="L47" s="1282"/>
      <c r="M47" s="1282"/>
      <c r="N47" s="1282"/>
    </row>
    <row r="48" spans="1:14" thickBot="1" x14ac:dyDescent="0.3">
      <c r="A48" s="1288"/>
      <c r="B48" s="1289" t="s">
        <v>1917</v>
      </c>
      <c r="C48" s="1290">
        <f>SUM(C36+C44+C47)</f>
        <v>117800000</v>
      </c>
      <c r="D48" s="1291">
        <f>SUM(D36+D44+D47)</f>
        <v>117800000</v>
      </c>
      <c r="E48" s="1291">
        <f>SUM(E36+E44+E47)</f>
        <v>117800000</v>
      </c>
      <c r="F48" s="1291">
        <f>SUM(F36+F44+F47)</f>
        <v>117800000</v>
      </c>
      <c r="G48" s="1291">
        <f>SUM(G36+G44+G47)</f>
        <v>118078000</v>
      </c>
      <c r="H48" s="1307"/>
      <c r="I48" s="1308" t="s">
        <v>1918</v>
      </c>
      <c r="J48" s="1454">
        <f>SUM(J36:J47)</f>
        <v>152722145</v>
      </c>
      <c r="K48" s="1291">
        <f>SUM(K36:K47)</f>
        <v>196986902</v>
      </c>
      <c r="L48" s="1291">
        <f>SUM(L36:L47)</f>
        <v>204420812</v>
      </c>
      <c r="M48" s="1291">
        <f>SUM(M36:M47)</f>
        <v>202895829</v>
      </c>
      <c r="N48" s="1291">
        <f>SUM(N36:N47)</f>
        <v>201608887</v>
      </c>
    </row>
    <row r="49" spans="1:14" s="994" customFormat="1" thickBot="1" x14ac:dyDescent="0.3">
      <c r="A49" s="1294" t="s">
        <v>1919</v>
      </c>
      <c r="B49" s="1295" t="s">
        <v>1920</v>
      </c>
      <c r="C49" s="1247"/>
      <c r="D49" s="1413"/>
      <c r="E49" s="1247"/>
      <c r="F49" s="1525"/>
      <c r="G49" s="1535"/>
      <c r="H49" s="1294" t="s">
        <v>1919</v>
      </c>
      <c r="I49" s="1631" t="s">
        <v>1921</v>
      </c>
      <c r="J49" s="1632"/>
      <c r="K49" s="1632"/>
      <c r="L49" s="1632"/>
      <c r="M49" s="1539"/>
      <c r="N49" s="1540"/>
    </row>
    <row r="50" spans="1:14" ht="20.399999999999999" x14ac:dyDescent="0.25">
      <c r="A50" s="1251" t="s">
        <v>51</v>
      </c>
      <c r="B50" s="1255" t="s">
        <v>1922</v>
      </c>
      <c r="C50" s="1310"/>
      <c r="D50" s="1311"/>
      <c r="E50" s="1311"/>
      <c r="F50" s="1311"/>
      <c r="G50" s="1311"/>
      <c r="H50" s="1251" t="s">
        <v>51</v>
      </c>
      <c r="I50" s="1255" t="s">
        <v>1923</v>
      </c>
      <c r="J50" s="1312"/>
      <c r="K50" s="1312"/>
      <c r="L50" s="1312"/>
      <c r="M50" s="1312"/>
      <c r="N50" s="1312"/>
    </row>
    <row r="51" spans="1:14" ht="13.2" x14ac:dyDescent="0.25">
      <c r="A51" s="1265" t="s">
        <v>65</v>
      </c>
      <c r="B51" s="1273" t="s">
        <v>1924</v>
      </c>
      <c r="C51" s="1283"/>
      <c r="D51" s="1313"/>
      <c r="E51" s="1313"/>
      <c r="F51" s="1313"/>
      <c r="G51" s="1313"/>
      <c r="H51" s="1265" t="s">
        <v>65</v>
      </c>
      <c r="I51" s="1273" t="s">
        <v>1925</v>
      </c>
      <c r="J51" s="1282"/>
      <c r="K51" s="1282"/>
      <c r="L51" s="1282"/>
      <c r="M51" s="1282"/>
      <c r="N51" s="1282"/>
    </row>
    <row r="52" spans="1:14" ht="13.2" x14ac:dyDescent="0.25">
      <c r="A52" s="1265" t="s">
        <v>79</v>
      </c>
      <c r="B52" s="1273" t="s">
        <v>1926</v>
      </c>
      <c r="C52" s="1283"/>
      <c r="D52" s="1313"/>
      <c r="E52" s="1313"/>
      <c r="F52" s="1313"/>
      <c r="G52" s="1313"/>
      <c r="H52" s="1265" t="s">
        <v>79</v>
      </c>
      <c r="I52" s="1273" t="s">
        <v>1927</v>
      </c>
      <c r="J52" s="1282"/>
      <c r="K52" s="1282"/>
      <c r="L52" s="1282"/>
      <c r="M52" s="1282"/>
      <c r="N52" s="1282"/>
    </row>
    <row r="53" spans="1:14" ht="13.2" x14ac:dyDescent="0.25">
      <c r="A53" s="1265" t="s">
        <v>262</v>
      </c>
      <c r="B53" s="1273" t="s">
        <v>1928</v>
      </c>
      <c r="C53" s="1283"/>
      <c r="D53" s="1313"/>
      <c r="E53" s="1313"/>
      <c r="F53" s="1313"/>
      <c r="G53" s="1313"/>
      <c r="H53" s="1265" t="s">
        <v>262</v>
      </c>
      <c r="I53" s="1273" t="s">
        <v>1929</v>
      </c>
      <c r="J53" s="1282"/>
      <c r="K53" s="1282"/>
      <c r="L53" s="1282"/>
      <c r="M53" s="1282"/>
      <c r="N53" s="1282"/>
    </row>
    <row r="54" spans="1:14" ht="13.2" x14ac:dyDescent="0.25">
      <c r="A54" s="1265" t="s">
        <v>107</v>
      </c>
      <c r="B54" s="1314" t="s">
        <v>1930</v>
      </c>
      <c r="C54" s="1283"/>
      <c r="D54" s="1313"/>
      <c r="E54" s="1313"/>
      <c r="F54" s="1313"/>
      <c r="G54" s="1313"/>
      <c r="H54" s="1265" t="s">
        <v>107</v>
      </c>
      <c r="I54" s="1314" t="s">
        <v>1931</v>
      </c>
      <c r="J54" s="1282"/>
      <c r="K54" s="1282"/>
      <c r="L54" s="1282"/>
      <c r="M54" s="1282"/>
      <c r="N54" s="1282"/>
    </row>
    <row r="55" spans="1:14" ht="21" thickBot="1" x14ac:dyDescent="0.3">
      <c r="A55" s="1265" t="s">
        <v>129</v>
      </c>
      <c r="B55" s="1314" t="s">
        <v>1932</v>
      </c>
      <c r="C55" s="1283">
        <v>14837945</v>
      </c>
      <c r="D55" s="1313">
        <v>124722194</v>
      </c>
      <c r="E55" s="1313">
        <v>124722194</v>
      </c>
      <c r="F55" s="1313">
        <v>124722194</v>
      </c>
      <c r="G55" s="1313">
        <v>124722194</v>
      </c>
      <c r="H55" s="1265" t="s">
        <v>129</v>
      </c>
      <c r="I55" s="1314" t="s">
        <v>1933</v>
      </c>
      <c r="J55" s="1282"/>
      <c r="K55" s="1315"/>
      <c r="L55" s="1315"/>
      <c r="M55" s="1315"/>
      <c r="N55" s="1315"/>
    </row>
    <row r="56" spans="1:14" thickBot="1" x14ac:dyDescent="0.3">
      <c r="A56" s="1316" t="s">
        <v>273</v>
      </c>
      <c r="B56" s="1317" t="s">
        <v>1934</v>
      </c>
      <c r="C56" s="1318">
        <v>898692888</v>
      </c>
      <c r="D56" s="1319">
        <v>940223742</v>
      </c>
      <c r="E56" s="1319">
        <v>930688315</v>
      </c>
      <c r="F56" s="1319">
        <v>972206827</v>
      </c>
      <c r="G56" s="1319">
        <v>972206827</v>
      </c>
      <c r="H56" s="1265" t="s">
        <v>273</v>
      </c>
      <c r="I56" s="1320" t="s">
        <v>1935</v>
      </c>
      <c r="J56" s="1321">
        <v>898692888</v>
      </c>
      <c r="K56" s="1322">
        <v>940223742</v>
      </c>
      <c r="L56" s="1322">
        <v>930688315</v>
      </c>
      <c r="M56" s="1322">
        <v>972206827</v>
      </c>
      <c r="N56" s="1322">
        <v>972206827</v>
      </c>
    </row>
    <row r="57" spans="1:14" thickBot="1" x14ac:dyDescent="0.3">
      <c r="A57" s="1323" t="s">
        <v>151</v>
      </c>
      <c r="B57" s="1320" t="s">
        <v>1936</v>
      </c>
      <c r="C57" s="1324">
        <v>16000000</v>
      </c>
      <c r="D57" s="1325">
        <v>11236412</v>
      </c>
      <c r="E57" s="1325">
        <v>11236412</v>
      </c>
      <c r="F57" s="1325">
        <v>11236412</v>
      </c>
      <c r="G57" s="1325">
        <v>18826271</v>
      </c>
      <c r="H57" s="1323" t="s">
        <v>151</v>
      </c>
      <c r="I57" s="1320" t="s">
        <v>1937</v>
      </c>
      <c r="J57" s="1321">
        <v>16000000</v>
      </c>
      <c r="K57" s="1309">
        <v>11236412</v>
      </c>
      <c r="L57" s="1309">
        <v>11236412</v>
      </c>
      <c r="M57" s="1309">
        <v>11236412</v>
      </c>
      <c r="N57" s="1309">
        <v>11236412</v>
      </c>
    </row>
    <row r="58" spans="1:14" thickBot="1" x14ac:dyDescent="0.3">
      <c r="A58" s="1326"/>
      <c r="B58" s="1327" t="s">
        <v>1938</v>
      </c>
      <c r="C58" s="1306">
        <f>SUM(C50:C57)</f>
        <v>929530833</v>
      </c>
      <c r="D58" s="1328">
        <f>SUM(D50:D57)</f>
        <v>1076182348</v>
      </c>
      <c r="E58" s="1328">
        <f>SUM(E50:E57)</f>
        <v>1066646921</v>
      </c>
      <c r="F58" s="1328">
        <f>SUM(F50:F57)</f>
        <v>1108165433</v>
      </c>
      <c r="G58" s="1328">
        <f>SUM(G50:G57)</f>
        <v>1115755292</v>
      </c>
      <c r="H58" s="1326"/>
      <c r="I58" s="1327" t="s">
        <v>1939</v>
      </c>
      <c r="J58" s="1291">
        <f>SUM(J50:J57)</f>
        <v>914692888</v>
      </c>
      <c r="K58" s="1291">
        <f>SUM(K50:K57)</f>
        <v>951460154</v>
      </c>
      <c r="L58" s="1291">
        <f>SUM(L50:L57)</f>
        <v>941924727</v>
      </c>
      <c r="M58" s="1291">
        <f>SUM(M50:M57)</f>
        <v>983443239</v>
      </c>
      <c r="N58" s="1291">
        <f>SUM(N50:N57)</f>
        <v>983443239</v>
      </c>
    </row>
    <row r="59" spans="1:14" s="994" customFormat="1" thickBot="1" x14ac:dyDescent="0.3">
      <c r="A59" s="1294" t="s">
        <v>1940</v>
      </c>
      <c r="B59" s="1295" t="s">
        <v>1941</v>
      </c>
      <c r="C59" s="1247"/>
      <c r="D59" s="1413"/>
      <c r="E59" s="1247"/>
      <c r="F59" s="1525"/>
      <c r="G59" s="1535"/>
      <c r="H59" s="1294" t="s">
        <v>1940</v>
      </c>
      <c r="I59" s="1631" t="s">
        <v>1942</v>
      </c>
      <c r="J59" s="1632"/>
      <c r="K59" s="1632"/>
      <c r="L59" s="1632"/>
      <c r="M59" s="1539"/>
      <c r="N59" s="1540"/>
    </row>
    <row r="60" spans="1:14" ht="21" thickBot="1" x14ac:dyDescent="0.3">
      <c r="A60" s="1329" t="s">
        <v>51</v>
      </c>
      <c r="B60" s="1330" t="s">
        <v>1943</v>
      </c>
      <c r="C60" s="1331"/>
      <c r="D60" s="1332"/>
      <c r="E60" s="1332"/>
      <c r="F60" s="1332"/>
      <c r="G60" s="1332"/>
      <c r="H60" s="1260" t="s">
        <v>51</v>
      </c>
      <c r="I60" s="1255" t="s">
        <v>1923</v>
      </c>
      <c r="J60" s="1312"/>
      <c r="K60" s="1312"/>
      <c r="L60" s="1312"/>
      <c r="M60" s="1312"/>
      <c r="N60" s="1312"/>
    </row>
    <row r="61" spans="1:14" ht="13.2" x14ac:dyDescent="0.25">
      <c r="A61" s="1333" t="s">
        <v>65</v>
      </c>
      <c r="B61" s="1334" t="s">
        <v>1924</v>
      </c>
      <c r="C61" s="1318"/>
      <c r="D61" s="1319"/>
      <c r="E61" s="1319"/>
      <c r="F61" s="1319"/>
      <c r="G61" s="1319"/>
      <c r="H61" s="1265" t="s">
        <v>65</v>
      </c>
      <c r="I61" s="1273" t="s">
        <v>1925</v>
      </c>
      <c r="J61" s="1312">
        <v>96193309</v>
      </c>
      <c r="K61" s="1312">
        <v>96193309</v>
      </c>
      <c r="L61" s="1312">
        <v>96193309</v>
      </c>
      <c r="M61" s="1312">
        <v>96193309</v>
      </c>
      <c r="N61" s="1312">
        <v>96193309</v>
      </c>
    </row>
    <row r="62" spans="1:14" ht="13.2" x14ac:dyDescent="0.25">
      <c r="A62" s="1333" t="s">
        <v>79</v>
      </c>
      <c r="B62" s="1334" t="s">
        <v>1926</v>
      </c>
      <c r="C62" s="1318"/>
      <c r="D62" s="1319"/>
      <c r="E62" s="1319"/>
      <c r="F62" s="1319"/>
      <c r="G62" s="1319"/>
      <c r="H62" s="1265" t="s">
        <v>79</v>
      </c>
      <c r="I62" s="1273" t="s">
        <v>1927</v>
      </c>
      <c r="J62" s="1282"/>
      <c r="K62" s="1282"/>
      <c r="L62" s="1282"/>
      <c r="M62" s="1282"/>
      <c r="N62" s="1282"/>
    </row>
    <row r="63" spans="1:14" ht="13.2" x14ac:dyDescent="0.25">
      <c r="A63" s="1333" t="s">
        <v>262</v>
      </c>
      <c r="B63" s="1334" t="s">
        <v>1928</v>
      </c>
      <c r="C63" s="1318"/>
      <c r="D63" s="1319"/>
      <c r="E63" s="1319"/>
      <c r="F63" s="1319"/>
      <c r="G63" s="1319"/>
      <c r="H63" s="1265" t="s">
        <v>262</v>
      </c>
      <c r="I63" s="1273" t="s">
        <v>1929</v>
      </c>
      <c r="J63" s="1282"/>
      <c r="K63" s="1282"/>
      <c r="L63" s="1282"/>
      <c r="M63" s="1282"/>
      <c r="N63" s="1282"/>
    </row>
    <row r="64" spans="1:14" ht="13.2" x14ac:dyDescent="0.25">
      <c r="A64" s="1333" t="s">
        <v>107</v>
      </c>
      <c r="B64" s="1335" t="s">
        <v>1930</v>
      </c>
      <c r="C64" s="1318"/>
      <c r="D64" s="1319"/>
      <c r="E64" s="1319"/>
      <c r="F64" s="1319"/>
      <c r="G64" s="1319"/>
      <c r="H64" s="1265" t="s">
        <v>107</v>
      </c>
      <c r="I64" s="1314" t="s">
        <v>1931</v>
      </c>
      <c r="J64" s="1282"/>
      <c r="K64" s="1282"/>
      <c r="L64" s="1282"/>
      <c r="M64" s="1282"/>
      <c r="N64" s="1282"/>
    </row>
    <row r="65" spans="1:258" ht="20.399999999999999" x14ac:dyDescent="0.25">
      <c r="A65" s="1333" t="s">
        <v>129</v>
      </c>
      <c r="B65" s="1335" t="s">
        <v>1932</v>
      </c>
      <c r="C65" s="1318"/>
      <c r="D65" s="1319"/>
      <c r="E65" s="1319"/>
      <c r="F65" s="1319"/>
      <c r="G65" s="1319"/>
      <c r="H65" s="1265" t="s">
        <v>129</v>
      </c>
      <c r="I65" s="1314" t="s">
        <v>1933</v>
      </c>
      <c r="J65" s="1282">
        <v>2148538</v>
      </c>
      <c r="K65" s="1282">
        <v>2148538</v>
      </c>
      <c r="L65" s="1282">
        <v>2148538</v>
      </c>
      <c r="M65" s="1282">
        <v>4120937</v>
      </c>
      <c r="N65" s="1282">
        <v>4120937</v>
      </c>
    </row>
    <row r="66" spans="1:258" thickBot="1" x14ac:dyDescent="0.3">
      <c r="A66" s="1316" t="s">
        <v>273</v>
      </c>
      <c r="B66" s="1317" t="s">
        <v>1934</v>
      </c>
      <c r="C66" s="1318"/>
      <c r="D66" s="1319"/>
      <c r="E66" s="1319"/>
      <c r="F66" s="1319"/>
      <c r="G66" s="1319"/>
      <c r="H66" s="1265" t="s">
        <v>273</v>
      </c>
      <c r="I66" s="1320" t="s">
        <v>1935</v>
      </c>
      <c r="J66" s="1321"/>
      <c r="K66" s="1321"/>
      <c r="L66" s="1321"/>
      <c r="M66" s="1321"/>
      <c r="N66" s="1321"/>
    </row>
    <row r="67" spans="1:258" thickBot="1" x14ac:dyDescent="0.3">
      <c r="A67" s="1336"/>
      <c r="B67" s="1337" t="s">
        <v>1944</v>
      </c>
      <c r="C67" s="1338">
        <f>C66+C65+C64+C63+C62+C61+C60</f>
        <v>0</v>
      </c>
      <c r="D67" s="1339"/>
      <c r="E67" s="1339"/>
      <c r="F67" s="1339"/>
      <c r="G67" s="1339"/>
      <c r="H67" s="1340"/>
      <c r="I67" s="1341" t="s">
        <v>1945</v>
      </c>
      <c r="J67" s="1454">
        <f>SUM(J60:J66)</f>
        <v>98341847</v>
      </c>
      <c r="K67" s="1454">
        <f>SUM(K60:K66)</f>
        <v>98341847</v>
      </c>
      <c r="L67" s="1454">
        <f>SUM(L60:L66)</f>
        <v>98341847</v>
      </c>
      <c r="M67" s="1454">
        <f>SUM(M60:M66)</f>
        <v>100314246</v>
      </c>
      <c r="N67" s="1454">
        <f>SUM(N60:N66)</f>
        <v>100314246</v>
      </c>
    </row>
    <row r="68" spans="1:258" thickBot="1" x14ac:dyDescent="0.3">
      <c r="A68" s="1342"/>
      <c r="B68" s="1343" t="s">
        <v>1946</v>
      </c>
      <c r="C68" s="1344">
        <f>C67+C58+C48+C34</f>
        <v>2528329238</v>
      </c>
      <c r="D68" s="1345">
        <f>D67+D58+D48+D34</f>
        <v>2706536187</v>
      </c>
      <c r="E68" s="1345">
        <f>E67+E58+E48+E34</f>
        <v>2761856060</v>
      </c>
      <c r="F68" s="1345">
        <f>F67+F58+F48+F34</f>
        <v>2840802851</v>
      </c>
      <c r="G68" s="1345">
        <f>G67+G58+G48+G34</f>
        <v>2840026509</v>
      </c>
      <c r="H68" s="1346"/>
      <c r="I68" s="1347" t="s">
        <v>1947</v>
      </c>
      <c r="J68" s="1348">
        <f>J67+J58+J48+J34</f>
        <v>2528329238</v>
      </c>
      <c r="K68" s="1348">
        <f>K67+K58+K48+K34</f>
        <v>2706536187</v>
      </c>
      <c r="L68" s="1348">
        <f>L67+L58+L48+L34</f>
        <v>2761856060</v>
      </c>
      <c r="M68" s="1348">
        <f>M67+M58+M48+M34</f>
        <v>2840802851</v>
      </c>
      <c r="N68" s="1348">
        <f>N67+N58+N48+N34</f>
        <v>2840026509</v>
      </c>
      <c r="O68" s="995"/>
      <c r="P68" s="995"/>
      <c r="Q68" s="995"/>
      <c r="R68" s="995"/>
      <c r="S68" s="995"/>
      <c r="T68" s="995"/>
      <c r="U68" s="995"/>
      <c r="V68" s="995"/>
      <c r="W68" s="995"/>
      <c r="X68" s="995"/>
      <c r="Y68" s="995"/>
      <c r="Z68" s="995"/>
      <c r="AA68" s="995"/>
      <c r="AB68" s="995"/>
      <c r="AC68" s="995"/>
      <c r="AD68" s="995"/>
      <c r="AE68" s="995"/>
      <c r="AF68" s="995"/>
      <c r="AG68" s="995"/>
      <c r="AH68" s="995"/>
      <c r="AI68" s="995"/>
      <c r="AJ68" s="995"/>
      <c r="AK68" s="995"/>
      <c r="AL68" s="995"/>
      <c r="AM68" s="995"/>
      <c r="AN68" s="995"/>
      <c r="AO68" s="995"/>
      <c r="AP68" s="995"/>
      <c r="AQ68" s="995"/>
      <c r="AR68" s="995"/>
      <c r="AS68" s="995"/>
      <c r="AT68" s="995"/>
      <c r="AU68" s="995"/>
      <c r="AV68" s="995"/>
      <c r="AW68" s="995"/>
      <c r="AX68" s="995"/>
      <c r="AY68" s="995"/>
      <c r="AZ68" s="995"/>
      <c r="BA68" s="995"/>
      <c r="BB68" s="995"/>
      <c r="BC68" s="995"/>
      <c r="BD68" s="995"/>
      <c r="BE68" s="995"/>
      <c r="BF68" s="995"/>
      <c r="BG68" s="995"/>
      <c r="BH68" s="995"/>
      <c r="BI68" s="995"/>
      <c r="BJ68" s="995"/>
      <c r="BK68" s="995"/>
      <c r="BL68" s="995"/>
      <c r="BM68" s="995"/>
      <c r="BN68" s="995"/>
      <c r="BO68" s="995"/>
      <c r="BP68" s="995"/>
      <c r="BQ68" s="995"/>
      <c r="BR68" s="995"/>
      <c r="BS68" s="995"/>
      <c r="BT68" s="995"/>
      <c r="BU68" s="995"/>
      <c r="BV68" s="995"/>
      <c r="BW68" s="995"/>
      <c r="BX68" s="995"/>
      <c r="BY68" s="995"/>
      <c r="BZ68" s="995"/>
      <c r="CA68" s="995"/>
      <c r="CB68" s="995"/>
      <c r="CC68" s="995"/>
      <c r="CD68" s="995"/>
      <c r="CE68" s="995"/>
      <c r="CF68" s="995"/>
      <c r="CG68" s="995"/>
      <c r="CH68" s="995"/>
      <c r="CI68" s="995"/>
      <c r="CJ68" s="995"/>
      <c r="CK68" s="995"/>
      <c r="CL68" s="995"/>
      <c r="CM68" s="995"/>
      <c r="CN68" s="995"/>
      <c r="CO68" s="995"/>
      <c r="CP68" s="995"/>
      <c r="CQ68" s="995"/>
      <c r="CR68" s="995"/>
      <c r="CS68" s="995"/>
      <c r="CT68" s="995"/>
      <c r="CU68" s="995"/>
      <c r="CV68" s="995"/>
      <c r="CW68" s="995"/>
      <c r="CX68" s="995"/>
      <c r="CY68" s="995"/>
      <c r="CZ68" s="995"/>
      <c r="DA68" s="995"/>
      <c r="DB68" s="995"/>
      <c r="DC68" s="995"/>
      <c r="DD68" s="995"/>
      <c r="DE68" s="995"/>
      <c r="DF68" s="995"/>
      <c r="DG68" s="995"/>
      <c r="DH68" s="995"/>
      <c r="DI68" s="995"/>
      <c r="DJ68" s="995"/>
      <c r="DK68" s="995"/>
      <c r="DL68" s="995"/>
      <c r="DM68" s="995"/>
      <c r="DN68" s="995"/>
      <c r="DO68" s="995"/>
      <c r="DP68" s="995"/>
      <c r="DQ68" s="995"/>
      <c r="DR68" s="995"/>
      <c r="DS68" s="995"/>
      <c r="DT68" s="995"/>
      <c r="DU68" s="995"/>
      <c r="DV68" s="995"/>
      <c r="DW68" s="995"/>
      <c r="DX68" s="995"/>
      <c r="DY68" s="995"/>
      <c r="DZ68" s="995"/>
      <c r="EA68" s="995"/>
      <c r="EB68" s="995"/>
      <c r="EC68" s="995"/>
      <c r="ED68" s="995"/>
      <c r="EE68" s="995"/>
      <c r="EF68" s="995"/>
      <c r="EG68" s="995"/>
      <c r="EH68" s="995"/>
      <c r="EI68" s="995"/>
      <c r="EJ68" s="995"/>
      <c r="EK68" s="995"/>
      <c r="EL68" s="995"/>
      <c r="EM68" s="995"/>
      <c r="EN68" s="995"/>
      <c r="EO68" s="995"/>
      <c r="EP68" s="995"/>
      <c r="EQ68" s="995"/>
      <c r="ER68" s="995"/>
      <c r="ES68" s="995"/>
      <c r="ET68" s="995"/>
      <c r="EU68" s="995"/>
      <c r="EV68" s="995"/>
      <c r="EW68" s="995"/>
      <c r="EX68" s="995"/>
      <c r="EY68" s="995"/>
      <c r="EZ68" s="995"/>
      <c r="FA68" s="995"/>
      <c r="FB68" s="995"/>
      <c r="FC68" s="995"/>
      <c r="FD68" s="995"/>
      <c r="FE68" s="995"/>
      <c r="FF68" s="995"/>
      <c r="FG68" s="995"/>
      <c r="FH68" s="995"/>
      <c r="FI68" s="995"/>
      <c r="FJ68" s="995"/>
      <c r="FK68" s="995"/>
      <c r="FL68" s="995"/>
      <c r="FM68" s="995"/>
      <c r="FN68" s="995"/>
      <c r="FO68" s="995"/>
      <c r="FP68" s="995"/>
      <c r="FQ68" s="995"/>
      <c r="FR68" s="995"/>
      <c r="FS68" s="995"/>
      <c r="FT68" s="995"/>
      <c r="FU68" s="995"/>
      <c r="FV68" s="995"/>
      <c r="FW68" s="995"/>
      <c r="FX68" s="995"/>
      <c r="FY68" s="995"/>
      <c r="FZ68" s="995"/>
      <c r="GA68" s="995"/>
      <c r="GB68" s="995"/>
      <c r="GC68" s="995"/>
      <c r="GD68" s="995"/>
      <c r="GE68" s="995"/>
      <c r="GF68" s="995"/>
      <c r="GG68" s="995"/>
      <c r="GH68" s="995"/>
      <c r="GI68" s="995"/>
      <c r="GJ68" s="995"/>
      <c r="GK68" s="995"/>
      <c r="GL68" s="995"/>
      <c r="GM68" s="995"/>
      <c r="GN68" s="995"/>
      <c r="GO68" s="995"/>
      <c r="GP68" s="995"/>
      <c r="GQ68" s="995"/>
      <c r="GR68" s="995"/>
      <c r="GS68" s="995"/>
      <c r="GT68" s="995"/>
      <c r="GU68" s="995"/>
      <c r="GV68" s="995"/>
      <c r="GW68" s="995"/>
      <c r="GX68" s="995"/>
      <c r="GY68" s="995"/>
      <c r="GZ68" s="995"/>
      <c r="HA68" s="995"/>
      <c r="HB68" s="995"/>
      <c r="HC68" s="995"/>
      <c r="HD68" s="995"/>
      <c r="HE68" s="995"/>
      <c r="HF68" s="995"/>
      <c r="HG68" s="995"/>
      <c r="HH68" s="995"/>
      <c r="HI68" s="995"/>
      <c r="HJ68" s="995"/>
      <c r="HK68" s="995"/>
      <c r="HL68" s="995"/>
      <c r="HM68" s="995"/>
      <c r="HN68" s="995"/>
      <c r="HO68" s="995"/>
      <c r="HP68" s="995"/>
      <c r="HQ68" s="995"/>
      <c r="HR68" s="995"/>
      <c r="HS68" s="995"/>
      <c r="HT68" s="995"/>
      <c r="HU68" s="995"/>
      <c r="HV68" s="995"/>
      <c r="HW68" s="995"/>
      <c r="HX68" s="995"/>
      <c r="HY68" s="995"/>
      <c r="HZ68" s="995"/>
      <c r="IA68" s="995"/>
      <c r="IB68" s="995"/>
      <c r="IC68" s="995"/>
      <c r="ID68" s="995"/>
      <c r="IE68" s="995"/>
      <c r="IF68" s="995"/>
      <c r="IG68" s="995"/>
      <c r="IH68" s="995"/>
      <c r="II68" s="995"/>
      <c r="IJ68" s="995"/>
      <c r="IK68" s="995"/>
      <c r="IL68" s="995"/>
      <c r="IM68" s="995"/>
      <c r="IN68" s="995"/>
      <c r="IO68" s="995"/>
      <c r="IP68" s="995"/>
      <c r="IQ68" s="995"/>
      <c r="IR68" s="995"/>
      <c r="IS68" s="995"/>
      <c r="IT68" s="995"/>
      <c r="IU68" s="995"/>
      <c r="IV68" s="995"/>
      <c r="IW68" s="995"/>
      <c r="IX68" s="995"/>
    </row>
    <row r="69" spans="1:258" ht="13.2" x14ac:dyDescent="0.25">
      <c r="A69" s="1349"/>
      <c r="B69" s="1349"/>
      <c r="C69" s="1350"/>
      <c r="D69" s="1351"/>
      <c r="E69" s="1351"/>
      <c r="F69" s="1351"/>
      <c r="G69" s="1351"/>
      <c r="H69" s="1349"/>
      <c r="I69" s="1349"/>
      <c r="J69" s="1349"/>
      <c r="K69" s="1349"/>
      <c r="L69" s="1349"/>
      <c r="M69" s="1349"/>
    </row>
    <row r="70" spans="1:258" ht="13.2" x14ac:dyDescent="0.25">
      <c r="A70" s="1349"/>
      <c r="B70" s="1349"/>
      <c r="C70" s="1350"/>
      <c r="D70" s="1351"/>
      <c r="E70" s="1351"/>
      <c r="F70" s="1351"/>
      <c r="G70" s="1351"/>
      <c r="H70" s="1349"/>
      <c r="I70" s="1349"/>
      <c r="J70" s="1352"/>
      <c r="K70" s="1352"/>
      <c r="L70" s="1352"/>
      <c r="M70" s="1352"/>
    </row>
    <row r="71" spans="1:258" ht="13.2" x14ac:dyDescent="0.25">
      <c r="A71" s="1349"/>
      <c r="B71" s="1349"/>
      <c r="C71" s="1350"/>
      <c r="D71" s="1351"/>
      <c r="E71" s="1351"/>
      <c r="F71" s="1351"/>
      <c r="G71" s="1351"/>
      <c r="H71" s="1349"/>
      <c r="I71" s="1349"/>
      <c r="J71" s="1349"/>
      <c r="K71" s="1349"/>
      <c r="L71" s="1349"/>
      <c r="M71" s="1349"/>
    </row>
    <row r="72" spans="1:258" ht="13.2" x14ac:dyDescent="0.25">
      <c r="A72" s="1349"/>
      <c r="B72" s="1349"/>
      <c r="C72" s="1350"/>
      <c r="D72" s="1351"/>
      <c r="E72" s="1351"/>
      <c r="F72" s="1351"/>
      <c r="G72" s="1351"/>
      <c r="H72" s="1349"/>
      <c r="I72" s="1349"/>
      <c r="J72" s="1349"/>
      <c r="K72" s="1349"/>
      <c r="L72" s="1349"/>
      <c r="M72" s="1349"/>
    </row>
  </sheetData>
  <mergeCells count="6">
    <mergeCell ref="I59:L59"/>
    <mergeCell ref="A2:L2"/>
    <mergeCell ref="B5:C5"/>
    <mergeCell ref="I5:L5"/>
    <mergeCell ref="I35:L35"/>
    <mergeCell ref="I49:L49"/>
  </mergeCells>
  <pageMargins left="0.70866141732283472" right="0.70866141732283472" top="0.74803149606299213" bottom="0.74803149606299213" header="0.31496062992125984" footer="0.31496062992125984"/>
  <pageSetup paperSize="8" scale="65" orientation="landscape" r:id="rId1"/>
  <headerFooter>
    <oddHeader xml:space="preserve">&amp;R3. melléklet a 2/2020. (II.28.) önkormányzati rendelethez </oddHeader>
  </headerFooter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unka4">
    <tabColor rgb="FF92D050"/>
  </sheetPr>
  <dimension ref="A1:K149"/>
  <sheetViews>
    <sheetView zoomScaleNormal="100" zoomScaleSheetLayoutView="100" workbookViewId="0">
      <selection activeCell="D9" sqref="D9"/>
    </sheetView>
  </sheetViews>
  <sheetFormatPr defaultColWidth="9.33203125" defaultRowHeight="13.2" x14ac:dyDescent="0.25"/>
  <cols>
    <col min="1" max="1" width="14.77734375" style="525" customWidth="1"/>
    <col min="2" max="2" width="65.33203125" style="526" customWidth="1"/>
    <col min="3" max="5" width="17" style="527" customWidth="1"/>
    <col min="6" max="16384" width="9.33203125" style="32"/>
  </cols>
  <sheetData>
    <row r="1" spans="1:5" s="501" customFormat="1" ht="16.5" customHeight="1" thickBot="1" x14ac:dyDescent="0.3">
      <c r="A1" s="500"/>
      <c r="B1" s="502"/>
      <c r="C1" s="547"/>
      <c r="D1" s="512"/>
      <c r="E1" s="547" t="str">
        <f>+CONCATENATE("6.1. melléklet a ……/",LEFT(ÖSSZEFÜGGÉSEK!A4,4)+1,". (……) önkormányzati rendelethez")</f>
        <v>6.1. melléklet a ……/2017. (……) önkormányzati rendelethez</v>
      </c>
    </row>
    <row r="2" spans="1:5" s="548" customFormat="1" ht="15.75" customHeight="1" x14ac:dyDescent="0.25">
      <c r="A2" s="528" t="s">
        <v>293</v>
      </c>
      <c r="B2" s="1731" t="s">
        <v>421</v>
      </c>
      <c r="C2" s="1732"/>
      <c r="D2" s="1733"/>
      <c r="E2" s="521" t="s">
        <v>422</v>
      </c>
    </row>
    <row r="3" spans="1:5" s="548" customFormat="1" ht="23.4" thickBot="1" x14ac:dyDescent="0.3">
      <c r="A3" s="546" t="s">
        <v>423</v>
      </c>
      <c r="B3" s="1734" t="s">
        <v>424</v>
      </c>
      <c r="C3" s="1735"/>
      <c r="D3" s="1736"/>
      <c r="E3" s="496" t="s">
        <v>422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50" customFormat="1" ht="12" customHeight="1" thickBot="1" x14ac:dyDescent="0.3">
      <c r="A8" s="372" t="s">
        <v>51</v>
      </c>
      <c r="B8" s="368" t="s">
        <v>52</v>
      </c>
      <c r="C8" s="398">
        <f>SUM(C9:C14)</f>
        <v>0</v>
      </c>
      <c r="D8" s="398">
        <f>SUM(D9:D14)</f>
        <v>0</v>
      </c>
      <c r="E8" s="381">
        <f>SUM(E9:E14)</f>
        <v>0</v>
      </c>
    </row>
    <row r="9" spans="1:5" s="524" customFormat="1" ht="12" customHeight="1" x14ac:dyDescent="0.2">
      <c r="A9" s="534" t="s">
        <v>53</v>
      </c>
      <c r="B9" s="409" t="s">
        <v>54</v>
      </c>
      <c r="C9" s="400"/>
      <c r="D9" s="400"/>
      <c r="E9" s="383"/>
    </row>
    <row r="10" spans="1:5" s="551" customFormat="1" ht="12" customHeight="1" x14ac:dyDescent="0.2">
      <c r="A10" s="535" t="s">
        <v>55</v>
      </c>
      <c r="B10" s="410" t="s">
        <v>56</v>
      </c>
      <c r="C10" s="399"/>
      <c r="D10" s="399"/>
      <c r="E10" s="382"/>
    </row>
    <row r="11" spans="1:5" s="551" customFormat="1" ht="12" customHeight="1" x14ac:dyDescent="0.2">
      <c r="A11" s="535" t="s">
        <v>57</v>
      </c>
      <c r="B11" s="410" t="s">
        <v>58</v>
      </c>
      <c r="C11" s="399"/>
      <c r="D11" s="399"/>
      <c r="E11" s="382"/>
    </row>
    <row r="12" spans="1:5" s="551" customFormat="1" ht="12" customHeight="1" x14ac:dyDescent="0.2">
      <c r="A12" s="535" t="s">
        <v>59</v>
      </c>
      <c r="B12" s="410" t="s">
        <v>60</v>
      </c>
      <c r="C12" s="399"/>
      <c r="D12" s="399"/>
      <c r="E12" s="382"/>
    </row>
    <row r="13" spans="1:5" s="551" customFormat="1" ht="12" customHeight="1" x14ac:dyDescent="0.2">
      <c r="A13" s="535" t="s">
        <v>61</v>
      </c>
      <c r="B13" s="410" t="s">
        <v>287</v>
      </c>
      <c r="C13" s="399"/>
      <c r="D13" s="399"/>
      <c r="E13" s="382"/>
    </row>
    <row r="14" spans="1:5" s="524" customFormat="1" ht="12" customHeight="1" thickBot="1" x14ac:dyDescent="0.3">
      <c r="A14" s="536" t="s">
        <v>63</v>
      </c>
      <c r="B14" s="390" t="s">
        <v>64</v>
      </c>
      <c r="C14" s="401"/>
      <c r="D14" s="401"/>
      <c r="E14" s="384"/>
    </row>
    <row r="15" spans="1:5" s="524" customFormat="1" ht="12" customHeight="1" thickBot="1" x14ac:dyDescent="0.3">
      <c r="A15" s="372" t="s">
        <v>65</v>
      </c>
      <c r="B15" s="388" t="s">
        <v>66</v>
      </c>
      <c r="C15" s="398">
        <f>SUM(C16:C20)</f>
        <v>0</v>
      </c>
      <c r="D15" s="398">
        <f>SUM(D16:D20)</f>
        <v>0</v>
      </c>
      <c r="E15" s="381">
        <f>SUM(E16:E20)</f>
        <v>0</v>
      </c>
    </row>
    <row r="16" spans="1:5" s="524" customFormat="1" ht="12" customHeight="1" x14ac:dyDescent="0.2">
      <c r="A16" s="534" t="s">
        <v>67</v>
      </c>
      <c r="B16" s="409" t="s">
        <v>68</v>
      </c>
      <c r="C16" s="400"/>
      <c r="D16" s="400"/>
      <c r="E16" s="383"/>
    </row>
    <row r="17" spans="1:5" s="524" customFormat="1" ht="12" customHeight="1" x14ac:dyDescent="0.2">
      <c r="A17" s="535" t="s">
        <v>69</v>
      </c>
      <c r="B17" s="410" t="s">
        <v>70</v>
      </c>
      <c r="C17" s="399"/>
      <c r="D17" s="399"/>
      <c r="E17" s="382"/>
    </row>
    <row r="18" spans="1:5" s="524" customFormat="1" ht="12" customHeight="1" x14ac:dyDescent="0.2">
      <c r="A18" s="535" t="s">
        <v>71</v>
      </c>
      <c r="B18" s="410" t="s">
        <v>72</v>
      </c>
      <c r="C18" s="399"/>
      <c r="D18" s="399"/>
      <c r="E18" s="382"/>
    </row>
    <row r="19" spans="1:5" s="524" customFormat="1" ht="12" customHeight="1" x14ac:dyDescent="0.2">
      <c r="A19" s="535" t="s">
        <v>73</v>
      </c>
      <c r="B19" s="410" t="s">
        <v>74</v>
      </c>
      <c r="C19" s="399"/>
      <c r="D19" s="399"/>
      <c r="E19" s="382"/>
    </row>
    <row r="20" spans="1:5" s="524" customFormat="1" ht="12" customHeight="1" x14ac:dyDescent="0.2">
      <c r="A20" s="535" t="s">
        <v>75</v>
      </c>
      <c r="B20" s="410" t="s">
        <v>76</v>
      </c>
      <c r="C20" s="399"/>
      <c r="D20" s="399"/>
      <c r="E20" s="382"/>
    </row>
    <row r="21" spans="1:5" s="551" customFormat="1" ht="12" customHeight="1" thickBot="1" x14ac:dyDescent="0.3">
      <c r="A21" s="536" t="s">
        <v>77</v>
      </c>
      <c r="B21" s="390" t="s">
        <v>78</v>
      </c>
      <c r="C21" s="401"/>
      <c r="D21" s="401"/>
      <c r="E21" s="384"/>
    </row>
    <row r="22" spans="1:5" s="551" customFormat="1" ht="12" customHeight="1" thickBot="1" x14ac:dyDescent="0.3">
      <c r="A22" s="372" t="s">
        <v>79</v>
      </c>
      <c r="B22" s="368" t="s">
        <v>80</v>
      </c>
      <c r="C22" s="398">
        <f>SUM(C23:C27)</f>
        <v>0</v>
      </c>
      <c r="D22" s="398">
        <f>SUM(D23:D27)</f>
        <v>0</v>
      </c>
      <c r="E22" s="381">
        <f>SUM(E23:E27)</f>
        <v>0</v>
      </c>
    </row>
    <row r="23" spans="1:5" s="551" customFormat="1" ht="12" customHeight="1" x14ac:dyDescent="0.2">
      <c r="A23" s="534" t="s">
        <v>81</v>
      </c>
      <c r="B23" s="409" t="s">
        <v>82</v>
      </c>
      <c r="C23" s="400"/>
      <c r="D23" s="400"/>
      <c r="E23" s="383"/>
    </row>
    <row r="24" spans="1:5" s="524" customFormat="1" ht="12" customHeight="1" x14ac:dyDescent="0.2">
      <c r="A24" s="535" t="s">
        <v>83</v>
      </c>
      <c r="B24" s="410" t="s">
        <v>84</v>
      </c>
      <c r="C24" s="399"/>
      <c r="D24" s="399"/>
      <c r="E24" s="382"/>
    </row>
    <row r="25" spans="1:5" s="551" customFormat="1" ht="12" customHeight="1" x14ac:dyDescent="0.2">
      <c r="A25" s="535" t="s">
        <v>85</v>
      </c>
      <c r="B25" s="410" t="s">
        <v>86</v>
      </c>
      <c r="C25" s="399"/>
      <c r="D25" s="399"/>
      <c r="E25" s="382"/>
    </row>
    <row r="26" spans="1:5" s="551" customFormat="1" ht="12" customHeight="1" x14ac:dyDescent="0.2">
      <c r="A26" s="535" t="s">
        <v>87</v>
      </c>
      <c r="B26" s="410" t="s">
        <v>88</v>
      </c>
      <c r="C26" s="399"/>
      <c r="D26" s="399"/>
      <c r="E26" s="382"/>
    </row>
    <row r="27" spans="1:5" s="551" customFormat="1" ht="12" customHeight="1" x14ac:dyDescent="0.2">
      <c r="A27" s="535" t="s">
        <v>89</v>
      </c>
      <c r="B27" s="410" t="s">
        <v>90</v>
      </c>
      <c r="C27" s="399"/>
      <c r="D27" s="399"/>
      <c r="E27" s="382"/>
    </row>
    <row r="28" spans="1:5" s="551" customFormat="1" ht="12" customHeight="1" thickBot="1" x14ac:dyDescent="0.25">
      <c r="A28" s="536" t="s">
        <v>91</v>
      </c>
      <c r="B28" s="411" t="s">
        <v>92</v>
      </c>
      <c r="C28" s="401"/>
      <c r="D28" s="401"/>
      <c r="E28" s="384"/>
    </row>
    <row r="29" spans="1:5" s="551" customFormat="1" ht="12" customHeight="1" thickBot="1" x14ac:dyDescent="0.3">
      <c r="A29" s="372" t="s">
        <v>93</v>
      </c>
      <c r="B29" s="368" t="s">
        <v>94</v>
      </c>
      <c r="C29" s="404">
        <f>+C30+C33+C34+C35</f>
        <v>0</v>
      </c>
      <c r="D29" s="404">
        <f>+D30+D33+D34+D35</f>
        <v>0</v>
      </c>
      <c r="E29" s="417">
        <f>+E30+E33+E34+E35</f>
        <v>0</v>
      </c>
    </row>
    <row r="30" spans="1:5" s="551" customFormat="1" ht="12" customHeight="1" x14ac:dyDescent="0.2">
      <c r="A30" s="534" t="s">
        <v>95</v>
      </c>
      <c r="B30" s="409" t="s">
        <v>96</v>
      </c>
      <c r="C30" s="419">
        <f>+C31+C32</f>
        <v>0</v>
      </c>
      <c r="D30" s="419">
        <f>+D31+D32</f>
        <v>0</v>
      </c>
      <c r="E30" s="418">
        <f>+E31+E32</f>
        <v>0</v>
      </c>
    </row>
    <row r="31" spans="1:5" s="551" customFormat="1" ht="12" customHeight="1" x14ac:dyDescent="0.2">
      <c r="A31" s="535" t="s">
        <v>97</v>
      </c>
      <c r="B31" s="410" t="s">
        <v>98</v>
      </c>
      <c r="C31" s="399"/>
      <c r="D31" s="399"/>
      <c r="E31" s="382"/>
    </row>
    <row r="32" spans="1:5" s="551" customFormat="1" ht="12" customHeight="1" x14ac:dyDescent="0.2">
      <c r="A32" s="535" t="s">
        <v>99</v>
      </c>
      <c r="B32" s="410" t="s">
        <v>100</v>
      </c>
      <c r="C32" s="399"/>
      <c r="D32" s="399"/>
      <c r="E32" s="382"/>
    </row>
    <row r="33" spans="1:5" s="551" customFormat="1" ht="12" customHeight="1" x14ac:dyDescent="0.2">
      <c r="A33" s="535" t="s">
        <v>101</v>
      </c>
      <c r="B33" s="410" t="s">
        <v>102</v>
      </c>
      <c r="C33" s="399"/>
      <c r="D33" s="399"/>
      <c r="E33" s="382"/>
    </row>
    <row r="34" spans="1:5" s="551" customFormat="1" ht="12" customHeight="1" x14ac:dyDescent="0.2">
      <c r="A34" s="535" t="s">
        <v>103</v>
      </c>
      <c r="B34" s="410" t="s">
        <v>104</v>
      </c>
      <c r="C34" s="399"/>
      <c r="D34" s="399"/>
      <c r="E34" s="382"/>
    </row>
    <row r="35" spans="1:5" s="551" customFormat="1" ht="12" customHeight="1" thickBot="1" x14ac:dyDescent="0.25">
      <c r="A35" s="536" t="s">
        <v>105</v>
      </c>
      <c r="B35" s="411" t="s">
        <v>106</v>
      </c>
      <c r="C35" s="401"/>
      <c r="D35" s="401"/>
      <c r="E35" s="384"/>
    </row>
    <row r="36" spans="1:5" s="551" customFormat="1" ht="12" customHeight="1" thickBot="1" x14ac:dyDescent="0.3">
      <c r="A36" s="372" t="s">
        <v>107</v>
      </c>
      <c r="B36" s="368" t="s">
        <v>108</v>
      </c>
      <c r="C36" s="398">
        <f>SUM(C37:C46)</f>
        <v>0</v>
      </c>
      <c r="D36" s="398">
        <f>SUM(D37:D46)</f>
        <v>0</v>
      </c>
      <c r="E36" s="381">
        <f>SUM(E37:E46)</f>
        <v>0</v>
      </c>
    </row>
    <row r="37" spans="1:5" s="551" customFormat="1" ht="12" customHeight="1" x14ac:dyDescent="0.2">
      <c r="A37" s="534" t="s">
        <v>109</v>
      </c>
      <c r="B37" s="409" t="s">
        <v>110</v>
      </c>
      <c r="C37" s="400"/>
      <c r="D37" s="400"/>
      <c r="E37" s="383"/>
    </row>
    <row r="38" spans="1:5" s="551" customFormat="1" ht="12" customHeight="1" x14ac:dyDescent="0.2">
      <c r="A38" s="535" t="s">
        <v>111</v>
      </c>
      <c r="B38" s="410" t="s">
        <v>112</v>
      </c>
      <c r="C38" s="399"/>
      <c r="D38" s="399"/>
      <c r="E38" s="382"/>
    </row>
    <row r="39" spans="1:5" s="551" customFormat="1" ht="12" customHeight="1" x14ac:dyDescent="0.2">
      <c r="A39" s="535" t="s">
        <v>113</v>
      </c>
      <c r="B39" s="410" t="s">
        <v>114</v>
      </c>
      <c r="C39" s="399"/>
      <c r="D39" s="399"/>
      <c r="E39" s="382"/>
    </row>
    <row r="40" spans="1:5" s="551" customFormat="1" ht="12" customHeight="1" x14ac:dyDescent="0.2">
      <c r="A40" s="535" t="s">
        <v>115</v>
      </c>
      <c r="B40" s="410" t="s">
        <v>116</v>
      </c>
      <c r="C40" s="399"/>
      <c r="D40" s="399"/>
      <c r="E40" s="382"/>
    </row>
    <row r="41" spans="1:5" s="551" customFormat="1" ht="12" customHeight="1" x14ac:dyDescent="0.2">
      <c r="A41" s="535" t="s">
        <v>117</v>
      </c>
      <c r="B41" s="410" t="s">
        <v>118</v>
      </c>
      <c r="C41" s="399"/>
      <c r="D41" s="399"/>
      <c r="E41" s="382"/>
    </row>
    <row r="42" spans="1:5" s="551" customFormat="1" ht="12" customHeight="1" x14ac:dyDescent="0.2">
      <c r="A42" s="535" t="s">
        <v>119</v>
      </c>
      <c r="B42" s="410" t="s">
        <v>120</v>
      </c>
      <c r="C42" s="399"/>
      <c r="D42" s="399"/>
      <c r="E42" s="382"/>
    </row>
    <row r="43" spans="1:5" s="551" customFormat="1" ht="12" customHeight="1" x14ac:dyDescent="0.2">
      <c r="A43" s="535" t="s">
        <v>121</v>
      </c>
      <c r="B43" s="410" t="s">
        <v>122</v>
      </c>
      <c r="C43" s="399"/>
      <c r="D43" s="399"/>
      <c r="E43" s="382"/>
    </row>
    <row r="44" spans="1:5" s="551" customFormat="1" ht="12" customHeight="1" x14ac:dyDescent="0.2">
      <c r="A44" s="535" t="s">
        <v>123</v>
      </c>
      <c r="B44" s="410" t="s">
        <v>124</v>
      </c>
      <c r="C44" s="399"/>
      <c r="D44" s="399"/>
      <c r="E44" s="382"/>
    </row>
    <row r="45" spans="1:5" s="551" customFormat="1" ht="12" customHeight="1" x14ac:dyDescent="0.2">
      <c r="A45" s="535" t="s">
        <v>125</v>
      </c>
      <c r="B45" s="410" t="s">
        <v>126</v>
      </c>
      <c r="C45" s="402"/>
      <c r="D45" s="402"/>
      <c r="E45" s="385"/>
    </row>
    <row r="46" spans="1:5" s="524" customFormat="1" ht="12" customHeight="1" thickBot="1" x14ac:dyDescent="0.25">
      <c r="A46" s="536" t="s">
        <v>127</v>
      </c>
      <c r="B46" s="411" t="s">
        <v>128</v>
      </c>
      <c r="C46" s="403"/>
      <c r="D46" s="403"/>
      <c r="E46" s="386"/>
    </row>
    <row r="47" spans="1:5" s="551" customFormat="1" ht="12" customHeight="1" thickBot="1" x14ac:dyDescent="0.3">
      <c r="A47" s="372" t="s">
        <v>129</v>
      </c>
      <c r="B47" s="368" t="s">
        <v>130</v>
      </c>
      <c r="C47" s="398">
        <f>SUM(C48:C52)</f>
        <v>0</v>
      </c>
      <c r="D47" s="398">
        <f>SUM(D48:D52)</f>
        <v>0</v>
      </c>
      <c r="E47" s="381">
        <f>SUM(E48:E52)</f>
        <v>0</v>
      </c>
    </row>
    <row r="48" spans="1:5" s="551" customFormat="1" ht="12" customHeight="1" x14ac:dyDescent="0.2">
      <c r="A48" s="534" t="s">
        <v>131</v>
      </c>
      <c r="B48" s="409" t="s">
        <v>132</v>
      </c>
      <c r="C48" s="421"/>
      <c r="D48" s="421"/>
      <c r="E48" s="387"/>
    </row>
    <row r="49" spans="1:5" s="551" customFormat="1" ht="12" customHeight="1" x14ac:dyDescent="0.2">
      <c r="A49" s="535" t="s">
        <v>133</v>
      </c>
      <c r="B49" s="410" t="s">
        <v>134</v>
      </c>
      <c r="C49" s="402"/>
      <c r="D49" s="402"/>
      <c r="E49" s="385"/>
    </row>
    <row r="50" spans="1:5" s="551" customFormat="1" ht="12" customHeight="1" x14ac:dyDescent="0.2">
      <c r="A50" s="535" t="s">
        <v>135</v>
      </c>
      <c r="B50" s="410" t="s">
        <v>136</v>
      </c>
      <c r="C50" s="402"/>
      <c r="D50" s="402"/>
      <c r="E50" s="385"/>
    </row>
    <row r="51" spans="1:5" s="551" customFormat="1" ht="12" customHeight="1" x14ac:dyDescent="0.2">
      <c r="A51" s="535" t="s">
        <v>137</v>
      </c>
      <c r="B51" s="410" t="s">
        <v>138</v>
      </c>
      <c r="C51" s="402"/>
      <c r="D51" s="402"/>
      <c r="E51" s="385"/>
    </row>
    <row r="52" spans="1:5" s="551" customFormat="1" ht="12" customHeight="1" thickBot="1" x14ac:dyDescent="0.25">
      <c r="A52" s="536" t="s">
        <v>139</v>
      </c>
      <c r="B52" s="411" t="s">
        <v>140</v>
      </c>
      <c r="C52" s="403"/>
      <c r="D52" s="403"/>
      <c r="E52" s="386"/>
    </row>
    <row r="53" spans="1:5" s="551" customFormat="1" ht="12" customHeight="1" thickBot="1" x14ac:dyDescent="0.3">
      <c r="A53" s="372" t="s">
        <v>141</v>
      </c>
      <c r="B53" s="368" t="s">
        <v>142</v>
      </c>
      <c r="C53" s="398">
        <f>SUM(C54:C56)</f>
        <v>0</v>
      </c>
      <c r="D53" s="398">
        <f>SUM(D54:D56)</f>
        <v>0</v>
      </c>
      <c r="E53" s="381">
        <f>SUM(E54:E56)</f>
        <v>0</v>
      </c>
    </row>
    <row r="54" spans="1:5" s="524" customFormat="1" ht="12" customHeight="1" x14ac:dyDescent="0.2">
      <c r="A54" s="534" t="s">
        <v>143</v>
      </c>
      <c r="B54" s="409" t="s">
        <v>144</v>
      </c>
      <c r="C54" s="400"/>
      <c r="D54" s="400"/>
      <c r="E54" s="383"/>
    </row>
    <row r="55" spans="1:5" s="524" customFormat="1" ht="12" customHeight="1" x14ac:dyDescent="0.2">
      <c r="A55" s="535" t="s">
        <v>145</v>
      </c>
      <c r="B55" s="410" t="s">
        <v>146</v>
      </c>
      <c r="C55" s="399"/>
      <c r="D55" s="399"/>
      <c r="E55" s="382"/>
    </row>
    <row r="56" spans="1:5" s="524" customFormat="1" ht="12" customHeight="1" x14ac:dyDescent="0.2">
      <c r="A56" s="535" t="s">
        <v>147</v>
      </c>
      <c r="B56" s="410" t="s">
        <v>148</v>
      </c>
      <c r="C56" s="399"/>
      <c r="D56" s="399"/>
      <c r="E56" s="382"/>
    </row>
    <row r="57" spans="1:5" s="524" customFormat="1" ht="12" customHeight="1" thickBot="1" x14ac:dyDescent="0.25">
      <c r="A57" s="536" t="s">
        <v>149</v>
      </c>
      <c r="B57" s="411" t="s">
        <v>150</v>
      </c>
      <c r="C57" s="401"/>
      <c r="D57" s="401"/>
      <c r="E57" s="384"/>
    </row>
    <row r="58" spans="1:5" s="551" customFormat="1" ht="12" customHeight="1" thickBot="1" x14ac:dyDescent="0.3">
      <c r="A58" s="372" t="s">
        <v>151</v>
      </c>
      <c r="B58" s="388" t="s">
        <v>152</v>
      </c>
      <c r="C58" s="398">
        <f>SUM(C59:C61)</f>
        <v>0</v>
      </c>
      <c r="D58" s="398">
        <f>SUM(D59:D61)</f>
        <v>0</v>
      </c>
      <c r="E58" s="381">
        <f>SUM(E59:E61)</f>
        <v>0</v>
      </c>
    </row>
    <row r="59" spans="1:5" s="551" customFormat="1" ht="12" customHeight="1" x14ac:dyDescent="0.2">
      <c r="A59" s="534" t="s">
        <v>153</v>
      </c>
      <c r="B59" s="409" t="s">
        <v>154</v>
      </c>
      <c r="C59" s="402"/>
      <c r="D59" s="402"/>
      <c r="E59" s="385"/>
    </row>
    <row r="60" spans="1:5" s="551" customFormat="1" ht="12" customHeight="1" x14ac:dyDescent="0.2">
      <c r="A60" s="535" t="s">
        <v>155</v>
      </c>
      <c r="B60" s="410" t="s">
        <v>428</v>
      </c>
      <c r="C60" s="402"/>
      <c r="D60" s="402"/>
      <c r="E60" s="385"/>
    </row>
    <row r="61" spans="1:5" s="551" customFormat="1" ht="12" customHeight="1" x14ac:dyDescent="0.2">
      <c r="A61" s="535" t="s">
        <v>157</v>
      </c>
      <c r="B61" s="410" t="s">
        <v>158</v>
      </c>
      <c r="C61" s="402"/>
      <c r="D61" s="402"/>
      <c r="E61" s="385"/>
    </row>
    <row r="62" spans="1:5" s="551" customFormat="1" ht="12" customHeight="1" thickBot="1" x14ac:dyDescent="0.25">
      <c r="A62" s="536" t="s">
        <v>159</v>
      </c>
      <c r="B62" s="411" t="s">
        <v>160</v>
      </c>
      <c r="C62" s="402"/>
      <c r="D62" s="402"/>
      <c r="E62" s="385"/>
    </row>
    <row r="63" spans="1:5" s="551" customFormat="1" ht="12" customHeight="1" thickBot="1" x14ac:dyDescent="0.3">
      <c r="A63" s="372" t="s">
        <v>161</v>
      </c>
      <c r="B63" s="368" t="s">
        <v>162</v>
      </c>
      <c r="C63" s="404">
        <f>+C8+C15+C22+C29+C36+C47+C53+C58</f>
        <v>0</v>
      </c>
      <c r="D63" s="404">
        <f>+D8+D15+D22+D29+D36+D47+D53+D58</f>
        <v>0</v>
      </c>
      <c r="E63" s="417">
        <f>+E8+E15+E22+E29+E36+E47+E53+E58</f>
        <v>0</v>
      </c>
    </row>
    <row r="64" spans="1:5" s="551" customFormat="1" ht="12" customHeight="1" thickBot="1" x14ac:dyDescent="0.25">
      <c r="A64" s="537" t="s">
        <v>429</v>
      </c>
      <c r="B64" s="388" t="s">
        <v>164</v>
      </c>
      <c r="C64" s="398">
        <f>SUM(C65:C67)</f>
        <v>0</v>
      </c>
      <c r="D64" s="398">
        <f>SUM(D65:D67)</f>
        <v>0</v>
      </c>
      <c r="E64" s="381">
        <f>SUM(E65:E67)</f>
        <v>0</v>
      </c>
    </row>
    <row r="65" spans="1:5" s="551" customFormat="1" ht="12" customHeight="1" x14ac:dyDescent="0.2">
      <c r="A65" s="534" t="s">
        <v>165</v>
      </c>
      <c r="B65" s="409" t="s">
        <v>166</v>
      </c>
      <c r="C65" s="402"/>
      <c r="D65" s="402"/>
      <c r="E65" s="385"/>
    </row>
    <row r="66" spans="1:5" s="551" customFormat="1" ht="12" customHeight="1" x14ac:dyDescent="0.2">
      <c r="A66" s="535" t="s">
        <v>167</v>
      </c>
      <c r="B66" s="410" t="s">
        <v>168</v>
      </c>
      <c r="C66" s="402"/>
      <c r="D66" s="402"/>
      <c r="E66" s="385"/>
    </row>
    <row r="67" spans="1:5" s="551" customFormat="1" ht="12" customHeight="1" thickBot="1" x14ac:dyDescent="0.25">
      <c r="A67" s="536" t="s">
        <v>169</v>
      </c>
      <c r="B67" s="530" t="s">
        <v>430</v>
      </c>
      <c r="C67" s="402"/>
      <c r="D67" s="402"/>
      <c r="E67" s="385"/>
    </row>
    <row r="68" spans="1:5" s="551" customFormat="1" ht="12" customHeight="1" thickBot="1" x14ac:dyDescent="0.25">
      <c r="A68" s="537" t="s">
        <v>171</v>
      </c>
      <c r="B68" s="388" t="s">
        <v>172</v>
      </c>
      <c r="C68" s="398">
        <f>SUM(C69:C72)</f>
        <v>0</v>
      </c>
      <c r="D68" s="398">
        <f>SUM(D69:D72)</f>
        <v>0</v>
      </c>
      <c r="E68" s="381">
        <f>SUM(E69:E72)</f>
        <v>0</v>
      </c>
    </row>
    <row r="69" spans="1:5" s="551" customFormat="1" ht="12" customHeight="1" x14ac:dyDescent="0.2">
      <c r="A69" s="534" t="s">
        <v>173</v>
      </c>
      <c r="B69" s="409" t="s">
        <v>174</v>
      </c>
      <c r="C69" s="402"/>
      <c r="D69" s="402"/>
      <c r="E69" s="385"/>
    </row>
    <row r="70" spans="1:5" s="551" customFormat="1" ht="12" customHeight="1" x14ac:dyDescent="0.2">
      <c r="A70" s="535" t="s">
        <v>175</v>
      </c>
      <c r="B70" s="410" t="s">
        <v>176</v>
      </c>
      <c r="C70" s="402"/>
      <c r="D70" s="402"/>
      <c r="E70" s="385"/>
    </row>
    <row r="71" spans="1:5" s="551" customFormat="1" ht="12" customHeight="1" x14ac:dyDescent="0.2">
      <c r="A71" s="535" t="s">
        <v>177</v>
      </c>
      <c r="B71" s="410" t="s">
        <v>178</v>
      </c>
      <c r="C71" s="402"/>
      <c r="D71" s="402"/>
      <c r="E71" s="385"/>
    </row>
    <row r="72" spans="1:5" s="551" customFormat="1" ht="12" customHeight="1" thickBot="1" x14ac:dyDescent="0.25">
      <c r="A72" s="536" t="s">
        <v>179</v>
      </c>
      <c r="B72" s="411" t="s">
        <v>180</v>
      </c>
      <c r="C72" s="402"/>
      <c r="D72" s="402"/>
      <c r="E72" s="385"/>
    </row>
    <row r="73" spans="1:5" s="551" customFormat="1" ht="12" customHeight="1" thickBot="1" x14ac:dyDescent="0.25">
      <c r="A73" s="537" t="s">
        <v>181</v>
      </c>
      <c r="B73" s="388" t="s">
        <v>182</v>
      </c>
      <c r="C73" s="398">
        <f>SUM(C74:C75)</f>
        <v>0</v>
      </c>
      <c r="D73" s="398">
        <f>SUM(D74:D75)</f>
        <v>0</v>
      </c>
      <c r="E73" s="381">
        <f>SUM(E74:E75)</f>
        <v>0</v>
      </c>
    </row>
    <row r="74" spans="1:5" s="551" customFormat="1" ht="12" customHeight="1" x14ac:dyDescent="0.2">
      <c r="A74" s="534" t="s">
        <v>183</v>
      </c>
      <c r="B74" s="409" t="s">
        <v>184</v>
      </c>
      <c r="C74" s="402"/>
      <c r="D74" s="402"/>
      <c r="E74" s="385"/>
    </row>
    <row r="75" spans="1:5" s="551" customFormat="1" ht="12" customHeight="1" thickBot="1" x14ac:dyDescent="0.25">
      <c r="A75" s="536" t="s">
        <v>185</v>
      </c>
      <c r="B75" s="411" t="s">
        <v>186</v>
      </c>
      <c r="C75" s="402"/>
      <c r="D75" s="402"/>
      <c r="E75" s="385"/>
    </row>
    <row r="76" spans="1:5" s="551" customFormat="1" ht="12" customHeight="1" thickBot="1" x14ac:dyDescent="0.25">
      <c r="A76" s="537" t="s">
        <v>187</v>
      </c>
      <c r="B76" s="388" t="s">
        <v>188</v>
      </c>
      <c r="C76" s="398">
        <f>SUM(C77:C79)</f>
        <v>0</v>
      </c>
      <c r="D76" s="398">
        <f>SUM(D77:D79)</f>
        <v>0</v>
      </c>
      <c r="E76" s="381">
        <f>SUM(E77:E79)</f>
        <v>0</v>
      </c>
    </row>
    <row r="77" spans="1:5" s="551" customFormat="1" ht="12" customHeight="1" x14ac:dyDescent="0.2">
      <c r="A77" s="534" t="s">
        <v>189</v>
      </c>
      <c r="B77" s="409" t="s">
        <v>190</v>
      </c>
      <c r="C77" s="402"/>
      <c r="D77" s="402"/>
      <c r="E77" s="385"/>
    </row>
    <row r="78" spans="1:5" s="551" customFormat="1" ht="12" customHeight="1" x14ac:dyDescent="0.2">
      <c r="A78" s="535" t="s">
        <v>191</v>
      </c>
      <c r="B78" s="410" t="s">
        <v>192</v>
      </c>
      <c r="C78" s="402"/>
      <c r="D78" s="402"/>
      <c r="E78" s="385"/>
    </row>
    <row r="79" spans="1:5" s="551" customFormat="1" ht="12" customHeight="1" thickBot="1" x14ac:dyDescent="0.25">
      <c r="A79" s="536" t="s">
        <v>193</v>
      </c>
      <c r="B79" s="411" t="s">
        <v>194</v>
      </c>
      <c r="C79" s="402"/>
      <c r="D79" s="402"/>
      <c r="E79" s="385"/>
    </row>
    <row r="80" spans="1:5" s="551" customFormat="1" ht="12" customHeight="1" thickBot="1" x14ac:dyDescent="0.25">
      <c r="A80" s="537" t="s">
        <v>195</v>
      </c>
      <c r="B80" s="388" t="s">
        <v>196</v>
      </c>
      <c r="C80" s="398">
        <f>SUM(C81:C84)</f>
        <v>0</v>
      </c>
      <c r="D80" s="398">
        <f>SUM(D81:D84)</f>
        <v>0</v>
      </c>
      <c r="E80" s="381">
        <f>SUM(E81:E84)</f>
        <v>0</v>
      </c>
    </row>
    <row r="81" spans="1:5" s="551" customFormat="1" ht="12" customHeight="1" x14ac:dyDescent="0.2">
      <c r="A81" s="538" t="s">
        <v>197</v>
      </c>
      <c r="B81" s="409" t="s">
        <v>198</v>
      </c>
      <c r="C81" s="402"/>
      <c r="D81" s="402"/>
      <c r="E81" s="385"/>
    </row>
    <row r="82" spans="1:5" s="551" customFormat="1" ht="12" customHeight="1" x14ac:dyDescent="0.2">
      <c r="A82" s="539" t="s">
        <v>199</v>
      </c>
      <c r="B82" s="410" t="s">
        <v>200</v>
      </c>
      <c r="C82" s="402"/>
      <c r="D82" s="402"/>
      <c r="E82" s="385"/>
    </row>
    <row r="83" spans="1:5" s="551" customFormat="1" ht="12" customHeight="1" x14ac:dyDescent="0.2">
      <c r="A83" s="539" t="s">
        <v>201</v>
      </c>
      <c r="B83" s="410" t="s">
        <v>202</v>
      </c>
      <c r="C83" s="402"/>
      <c r="D83" s="402"/>
      <c r="E83" s="385"/>
    </row>
    <row r="84" spans="1:5" s="551" customFormat="1" ht="12" customHeight="1" thickBot="1" x14ac:dyDescent="0.25">
      <c r="A84" s="540" t="s">
        <v>203</v>
      </c>
      <c r="B84" s="411" t="s">
        <v>204</v>
      </c>
      <c r="C84" s="402"/>
      <c r="D84" s="402"/>
      <c r="E84" s="385"/>
    </row>
    <row r="85" spans="1:5" s="551" customFormat="1" ht="12" customHeight="1" thickBot="1" x14ac:dyDescent="0.25">
      <c r="A85" s="537" t="s">
        <v>205</v>
      </c>
      <c r="B85" s="388" t="s">
        <v>206</v>
      </c>
      <c r="C85" s="425"/>
      <c r="D85" s="425"/>
      <c r="E85" s="426"/>
    </row>
    <row r="86" spans="1:5" s="551" customFormat="1" ht="12" customHeight="1" thickBot="1" x14ac:dyDescent="0.25">
      <c r="A86" s="537" t="s">
        <v>207</v>
      </c>
      <c r="B86" s="531" t="s">
        <v>208</v>
      </c>
      <c r="C86" s="404">
        <f>+C64+C68+C73+C76+C80+C85</f>
        <v>0</v>
      </c>
      <c r="D86" s="404">
        <f>+D64+D68+D73+D76+D80+D85</f>
        <v>0</v>
      </c>
      <c r="E86" s="417">
        <f>+E64+E68+E73+E76+E80+E85</f>
        <v>0</v>
      </c>
    </row>
    <row r="87" spans="1:5" s="551" customFormat="1" ht="12" customHeight="1" thickBot="1" x14ac:dyDescent="0.25">
      <c r="A87" s="541" t="s">
        <v>209</v>
      </c>
      <c r="B87" s="532" t="s">
        <v>431</v>
      </c>
      <c r="C87" s="404">
        <f>+C63+C86</f>
        <v>0</v>
      </c>
      <c r="D87" s="404">
        <f>+D63+D86</f>
        <v>0</v>
      </c>
      <c r="E87" s="417">
        <f>+E63+E86</f>
        <v>0</v>
      </c>
    </row>
    <row r="88" spans="1:5" s="551" customFormat="1" ht="15" customHeight="1" x14ac:dyDescent="0.25">
      <c r="A88" s="506"/>
      <c r="B88" s="507"/>
      <c r="C88" s="522"/>
      <c r="D88" s="522"/>
      <c r="E88" s="522"/>
    </row>
    <row r="89" spans="1:5" ht="13.8" thickBot="1" x14ac:dyDescent="0.3">
      <c r="A89" s="508"/>
      <c r="B89" s="509"/>
      <c r="C89" s="523"/>
      <c r="D89" s="523"/>
      <c r="E89" s="523"/>
    </row>
    <row r="90" spans="1:5" s="550" customFormat="1" ht="16.5" customHeight="1" thickBot="1" x14ac:dyDescent="0.3">
      <c r="A90" s="1728" t="s">
        <v>292</v>
      </c>
      <c r="B90" s="1729"/>
      <c r="C90" s="1729"/>
      <c r="D90" s="1729"/>
      <c r="E90" s="1730"/>
    </row>
    <row r="91" spans="1:5" s="333" customFormat="1" ht="12" customHeight="1" thickBot="1" x14ac:dyDescent="0.3">
      <c r="A91" s="529" t="s">
        <v>51</v>
      </c>
      <c r="B91" s="371" t="s">
        <v>288</v>
      </c>
      <c r="C91" s="513">
        <f>SUM(C92:C96)</f>
        <v>0</v>
      </c>
      <c r="D91" s="513">
        <f>SUM(D92:D96)</f>
        <v>0</v>
      </c>
      <c r="E91" s="513">
        <f>SUM(E92:E96)</f>
        <v>0</v>
      </c>
    </row>
    <row r="92" spans="1:5" ht="12" customHeight="1" x14ac:dyDescent="0.25">
      <c r="A92" s="542" t="s">
        <v>53</v>
      </c>
      <c r="B92" s="357" t="s">
        <v>215</v>
      </c>
      <c r="C92" s="514"/>
      <c r="D92" s="514"/>
      <c r="E92" s="514"/>
    </row>
    <row r="93" spans="1:5" ht="12" customHeight="1" x14ac:dyDescent="0.25">
      <c r="A93" s="535" t="s">
        <v>55</v>
      </c>
      <c r="B93" s="355" t="s">
        <v>216</v>
      </c>
      <c r="C93" s="515"/>
      <c r="D93" s="515"/>
      <c r="E93" s="515"/>
    </row>
    <row r="94" spans="1:5" ht="12" customHeight="1" x14ac:dyDescent="0.25">
      <c r="A94" s="535" t="s">
        <v>57</v>
      </c>
      <c r="B94" s="355" t="s">
        <v>217</v>
      </c>
      <c r="C94" s="517"/>
      <c r="D94" s="517"/>
      <c r="E94" s="517"/>
    </row>
    <row r="95" spans="1:5" ht="12" customHeight="1" x14ac:dyDescent="0.25">
      <c r="A95" s="535" t="s">
        <v>59</v>
      </c>
      <c r="B95" s="358" t="s">
        <v>218</v>
      </c>
      <c r="C95" s="517"/>
      <c r="D95" s="517"/>
      <c r="E95" s="517"/>
    </row>
    <row r="96" spans="1:5" ht="12" customHeight="1" x14ac:dyDescent="0.25">
      <c r="A96" s="535" t="s">
        <v>219</v>
      </c>
      <c r="B96" s="366" t="s">
        <v>220</v>
      </c>
      <c r="C96" s="517"/>
      <c r="D96" s="517"/>
      <c r="E96" s="517"/>
    </row>
    <row r="97" spans="1:5" ht="12" customHeight="1" x14ac:dyDescent="0.25">
      <c r="A97" s="535" t="s">
        <v>63</v>
      </c>
      <c r="B97" s="355" t="s">
        <v>221</v>
      </c>
      <c r="C97" s="517"/>
      <c r="D97" s="517"/>
      <c r="E97" s="517"/>
    </row>
    <row r="98" spans="1:5" ht="12" customHeight="1" x14ac:dyDescent="0.2">
      <c r="A98" s="535" t="s">
        <v>222</v>
      </c>
      <c r="B98" s="377" t="s">
        <v>223</v>
      </c>
      <c r="C98" s="517"/>
      <c r="D98" s="517"/>
      <c r="E98" s="517"/>
    </row>
    <row r="99" spans="1:5" ht="12" customHeight="1" x14ac:dyDescent="0.25">
      <c r="A99" s="535" t="s">
        <v>224</v>
      </c>
      <c r="B99" s="378" t="s">
        <v>225</v>
      </c>
      <c r="C99" s="517"/>
      <c r="D99" s="517"/>
      <c r="E99" s="517"/>
    </row>
    <row r="100" spans="1:5" ht="12" customHeight="1" x14ac:dyDescent="0.25">
      <c r="A100" s="535" t="s">
        <v>226</v>
      </c>
      <c r="B100" s="378" t="s">
        <v>227</v>
      </c>
      <c r="C100" s="517"/>
      <c r="D100" s="517"/>
      <c r="E100" s="517"/>
    </row>
    <row r="101" spans="1:5" ht="12" customHeight="1" x14ac:dyDescent="0.2">
      <c r="A101" s="535" t="s">
        <v>228</v>
      </c>
      <c r="B101" s="377" t="s">
        <v>229</v>
      </c>
      <c r="C101" s="517"/>
      <c r="D101" s="517"/>
      <c r="E101" s="517"/>
    </row>
    <row r="102" spans="1:5" ht="12" customHeight="1" x14ac:dyDescent="0.2">
      <c r="A102" s="535" t="s">
        <v>230</v>
      </c>
      <c r="B102" s="377" t="s">
        <v>231</v>
      </c>
      <c r="C102" s="517"/>
      <c r="D102" s="517"/>
      <c r="E102" s="517"/>
    </row>
    <row r="103" spans="1:5" ht="12" customHeight="1" x14ac:dyDescent="0.25">
      <c r="A103" s="535" t="s">
        <v>232</v>
      </c>
      <c r="B103" s="378" t="s">
        <v>233</v>
      </c>
      <c r="C103" s="517"/>
      <c r="D103" s="517"/>
      <c r="E103" s="517"/>
    </row>
    <row r="104" spans="1:5" ht="12" customHeight="1" x14ac:dyDescent="0.25">
      <c r="A104" s="543" t="s">
        <v>234</v>
      </c>
      <c r="B104" s="379" t="s">
        <v>235</v>
      </c>
      <c r="C104" s="517"/>
      <c r="D104" s="517"/>
      <c r="E104" s="517"/>
    </row>
    <row r="105" spans="1:5" ht="12" customHeight="1" x14ac:dyDescent="0.25">
      <c r="A105" s="535" t="s">
        <v>236</v>
      </c>
      <c r="B105" s="379" t="s">
        <v>237</v>
      </c>
      <c r="C105" s="517"/>
      <c r="D105" s="517"/>
      <c r="E105" s="517"/>
    </row>
    <row r="106" spans="1:5" s="333" customFormat="1" ht="12" customHeight="1" thickBot="1" x14ac:dyDescent="0.3">
      <c r="A106" s="544" t="s">
        <v>238</v>
      </c>
      <c r="B106" s="380" t="s">
        <v>239</v>
      </c>
      <c r="C106" s="519"/>
      <c r="D106" s="519"/>
      <c r="E106" s="519"/>
    </row>
    <row r="107" spans="1:5" ht="12" customHeight="1" thickBot="1" x14ac:dyDescent="0.3">
      <c r="A107" s="372" t="s">
        <v>65</v>
      </c>
      <c r="B107" s="370" t="s">
        <v>289</v>
      </c>
      <c r="C107" s="392">
        <f>+C108+C110+C112</f>
        <v>0</v>
      </c>
      <c r="D107" s="392">
        <f>+D108+D110+D112</f>
        <v>0</v>
      </c>
      <c r="E107" s="392">
        <f>+E108+E110+E112</f>
        <v>0</v>
      </c>
    </row>
    <row r="108" spans="1:5" ht="12" customHeight="1" x14ac:dyDescent="0.25">
      <c r="A108" s="534" t="s">
        <v>67</v>
      </c>
      <c r="B108" s="355" t="s">
        <v>241</v>
      </c>
      <c r="C108" s="516"/>
      <c r="D108" s="516"/>
      <c r="E108" s="516"/>
    </row>
    <row r="109" spans="1:5" ht="12" customHeight="1" x14ac:dyDescent="0.25">
      <c r="A109" s="534" t="s">
        <v>69</v>
      </c>
      <c r="B109" s="359" t="s">
        <v>242</v>
      </c>
      <c r="C109" s="516"/>
      <c r="D109" s="516"/>
      <c r="E109" s="516"/>
    </row>
    <row r="110" spans="1:5" ht="12" customHeight="1" x14ac:dyDescent="0.25">
      <c r="A110" s="534" t="s">
        <v>71</v>
      </c>
      <c r="B110" s="359" t="s">
        <v>243</v>
      </c>
      <c r="C110" s="515"/>
      <c r="D110" s="515"/>
      <c r="E110" s="515"/>
    </row>
    <row r="111" spans="1:5" ht="12" customHeight="1" x14ac:dyDescent="0.25">
      <c r="A111" s="534" t="s">
        <v>73</v>
      </c>
      <c r="B111" s="359" t="s">
        <v>244</v>
      </c>
      <c r="C111" s="382"/>
      <c r="D111" s="382"/>
      <c r="E111" s="382"/>
    </row>
    <row r="112" spans="1:5" ht="12" customHeight="1" x14ac:dyDescent="0.25">
      <c r="A112" s="534" t="s">
        <v>75</v>
      </c>
      <c r="B112" s="390" t="s">
        <v>245</v>
      </c>
      <c r="C112" s="382"/>
      <c r="D112" s="382"/>
      <c r="E112" s="382"/>
    </row>
    <row r="113" spans="1:5" ht="12" customHeight="1" x14ac:dyDescent="0.25">
      <c r="A113" s="534" t="s">
        <v>77</v>
      </c>
      <c r="B113" s="389" t="s">
        <v>246</v>
      </c>
      <c r="C113" s="382"/>
      <c r="D113" s="382"/>
      <c r="E113" s="382"/>
    </row>
    <row r="114" spans="1:5" ht="12" customHeight="1" x14ac:dyDescent="0.25">
      <c r="A114" s="534" t="s">
        <v>247</v>
      </c>
      <c r="B114" s="405" t="s">
        <v>248</v>
      </c>
      <c r="C114" s="382"/>
      <c r="D114" s="382"/>
      <c r="E114" s="382"/>
    </row>
    <row r="115" spans="1:5" ht="12" customHeight="1" x14ac:dyDescent="0.25">
      <c r="A115" s="534" t="s">
        <v>249</v>
      </c>
      <c r="B115" s="378" t="s">
        <v>227</v>
      </c>
      <c r="C115" s="382"/>
      <c r="D115" s="382"/>
      <c r="E115" s="382"/>
    </row>
    <row r="116" spans="1:5" ht="12" customHeight="1" x14ac:dyDescent="0.25">
      <c r="A116" s="534" t="s">
        <v>250</v>
      </c>
      <c r="B116" s="378" t="s">
        <v>251</v>
      </c>
      <c r="C116" s="382"/>
      <c r="D116" s="382"/>
      <c r="E116" s="382"/>
    </row>
    <row r="117" spans="1:5" ht="12" customHeight="1" x14ac:dyDescent="0.25">
      <c r="A117" s="534" t="s">
        <v>252</v>
      </c>
      <c r="B117" s="378" t="s">
        <v>253</v>
      </c>
      <c r="C117" s="382"/>
      <c r="D117" s="382"/>
      <c r="E117" s="382"/>
    </row>
    <row r="118" spans="1:5" ht="12" customHeight="1" x14ac:dyDescent="0.25">
      <c r="A118" s="534" t="s">
        <v>254</v>
      </c>
      <c r="B118" s="378" t="s">
        <v>233</v>
      </c>
      <c r="C118" s="382"/>
      <c r="D118" s="382"/>
      <c r="E118" s="382"/>
    </row>
    <row r="119" spans="1:5" ht="12" customHeight="1" x14ac:dyDescent="0.25">
      <c r="A119" s="534" t="s">
        <v>255</v>
      </c>
      <c r="B119" s="378" t="s">
        <v>256</v>
      </c>
      <c r="C119" s="382"/>
      <c r="D119" s="382"/>
      <c r="E119" s="382"/>
    </row>
    <row r="120" spans="1:5" ht="12" customHeight="1" thickBot="1" x14ac:dyDescent="0.3">
      <c r="A120" s="543" t="s">
        <v>257</v>
      </c>
      <c r="B120" s="378" t="s">
        <v>258</v>
      </c>
      <c r="C120" s="384"/>
      <c r="D120" s="384"/>
      <c r="E120" s="384"/>
    </row>
    <row r="121" spans="1:5" ht="12" customHeight="1" thickBot="1" x14ac:dyDescent="0.3">
      <c r="A121" s="372" t="s">
        <v>79</v>
      </c>
      <c r="B121" s="375" t="s">
        <v>259</v>
      </c>
      <c r="C121" s="392">
        <f>+C122+C123</f>
        <v>0</v>
      </c>
      <c r="D121" s="392">
        <f>+D122+D123</f>
        <v>0</v>
      </c>
      <c r="E121" s="392">
        <f>+E122+E123</f>
        <v>0</v>
      </c>
    </row>
    <row r="122" spans="1:5" ht="12" customHeight="1" x14ac:dyDescent="0.25">
      <c r="A122" s="534" t="s">
        <v>81</v>
      </c>
      <c r="B122" s="356" t="s">
        <v>260</v>
      </c>
      <c r="C122" s="516"/>
      <c r="D122" s="516"/>
      <c r="E122" s="516"/>
    </row>
    <row r="123" spans="1:5" ht="12" customHeight="1" thickBot="1" x14ac:dyDescent="0.3">
      <c r="A123" s="536" t="s">
        <v>83</v>
      </c>
      <c r="B123" s="359" t="s">
        <v>261</v>
      </c>
      <c r="C123" s="517"/>
      <c r="D123" s="517"/>
      <c r="E123" s="517"/>
    </row>
    <row r="124" spans="1:5" ht="12" customHeight="1" thickBot="1" x14ac:dyDescent="0.3">
      <c r="A124" s="372" t="s">
        <v>262</v>
      </c>
      <c r="B124" s="375" t="s">
        <v>263</v>
      </c>
      <c r="C124" s="392">
        <f>+C91+C107+C121</f>
        <v>0</v>
      </c>
      <c r="D124" s="392">
        <f>+D91+D107+D121</f>
        <v>0</v>
      </c>
      <c r="E124" s="392">
        <f>+E91+E107+E121</f>
        <v>0</v>
      </c>
    </row>
    <row r="125" spans="1:5" ht="12" customHeight="1" thickBot="1" x14ac:dyDescent="0.3">
      <c r="A125" s="372" t="s">
        <v>107</v>
      </c>
      <c r="B125" s="375" t="s">
        <v>432</v>
      </c>
      <c r="C125" s="392">
        <f>+C126+C127+C128</f>
        <v>0</v>
      </c>
      <c r="D125" s="392">
        <f>+D126+D127+D128</f>
        <v>0</v>
      </c>
      <c r="E125" s="392">
        <f>+E126+E127+E128</f>
        <v>0</v>
      </c>
    </row>
    <row r="126" spans="1:5" ht="12" customHeight="1" x14ac:dyDescent="0.25">
      <c r="A126" s="534" t="s">
        <v>109</v>
      </c>
      <c r="B126" s="356" t="s">
        <v>265</v>
      </c>
      <c r="C126" s="382"/>
      <c r="D126" s="382"/>
      <c r="E126" s="382"/>
    </row>
    <row r="127" spans="1:5" ht="12" customHeight="1" x14ac:dyDescent="0.25">
      <c r="A127" s="534" t="s">
        <v>111</v>
      </c>
      <c r="B127" s="356" t="s">
        <v>266</v>
      </c>
      <c r="C127" s="382"/>
      <c r="D127" s="382"/>
      <c r="E127" s="382"/>
    </row>
    <row r="128" spans="1:5" ht="12" customHeight="1" thickBot="1" x14ac:dyDescent="0.3">
      <c r="A128" s="543" t="s">
        <v>113</v>
      </c>
      <c r="B128" s="354" t="s">
        <v>267</v>
      </c>
      <c r="C128" s="382"/>
      <c r="D128" s="382"/>
      <c r="E128" s="382"/>
    </row>
    <row r="129" spans="1:11" ht="12" customHeight="1" thickBot="1" x14ac:dyDescent="0.3">
      <c r="A129" s="372" t="s">
        <v>129</v>
      </c>
      <c r="B129" s="375" t="s">
        <v>268</v>
      </c>
      <c r="C129" s="392">
        <f>+C130+C131+C132+C133</f>
        <v>0</v>
      </c>
      <c r="D129" s="392">
        <f>+D130+D131+D132+D133</f>
        <v>0</v>
      </c>
      <c r="E129" s="392">
        <f>+E130+E131+E132+E133</f>
        <v>0</v>
      </c>
    </row>
    <row r="130" spans="1:11" ht="12" customHeight="1" x14ac:dyDescent="0.25">
      <c r="A130" s="534" t="s">
        <v>131</v>
      </c>
      <c r="B130" s="356" t="s">
        <v>269</v>
      </c>
      <c r="C130" s="382"/>
      <c r="D130" s="382"/>
      <c r="E130" s="382"/>
    </row>
    <row r="131" spans="1:11" ht="12" customHeight="1" x14ac:dyDescent="0.25">
      <c r="A131" s="534" t="s">
        <v>133</v>
      </c>
      <c r="B131" s="356" t="s">
        <v>270</v>
      </c>
      <c r="C131" s="382"/>
      <c r="D131" s="382"/>
      <c r="E131" s="382"/>
    </row>
    <row r="132" spans="1:11" ht="12" customHeight="1" x14ac:dyDescent="0.25">
      <c r="A132" s="534" t="s">
        <v>135</v>
      </c>
      <c r="B132" s="356" t="s">
        <v>271</v>
      </c>
      <c r="C132" s="382"/>
      <c r="D132" s="382"/>
      <c r="E132" s="382"/>
    </row>
    <row r="133" spans="1:11" s="333" customFormat="1" ht="12" customHeight="1" thickBot="1" x14ac:dyDescent="0.3">
      <c r="A133" s="543" t="s">
        <v>137</v>
      </c>
      <c r="B133" s="354" t="s">
        <v>272</v>
      </c>
      <c r="C133" s="382"/>
      <c r="D133" s="382"/>
      <c r="E133" s="382"/>
    </row>
    <row r="134" spans="1:11" ht="13.8" thickBot="1" x14ac:dyDescent="0.3">
      <c r="A134" s="372" t="s">
        <v>273</v>
      </c>
      <c r="B134" s="375" t="s">
        <v>433</v>
      </c>
      <c r="C134" s="518">
        <f>+C135+C136+C137+C139+C138</f>
        <v>0</v>
      </c>
      <c r="D134" s="518">
        <f>+D135+D136+D137+D139+D138</f>
        <v>0</v>
      </c>
      <c r="E134" s="518">
        <f>+E135+E136+E137+E139+E138</f>
        <v>0</v>
      </c>
      <c r="K134" s="497"/>
    </row>
    <row r="135" spans="1:11" x14ac:dyDescent="0.25">
      <c r="A135" s="534" t="s">
        <v>143</v>
      </c>
      <c r="B135" s="356" t="s">
        <v>275</v>
      </c>
      <c r="C135" s="382"/>
      <c r="D135" s="382"/>
      <c r="E135" s="382"/>
    </row>
    <row r="136" spans="1:11" ht="12" customHeight="1" x14ac:dyDescent="0.25">
      <c r="A136" s="534" t="s">
        <v>145</v>
      </c>
      <c r="B136" s="356" t="s">
        <v>276</v>
      </c>
      <c r="C136" s="382"/>
      <c r="D136" s="382"/>
      <c r="E136" s="382"/>
    </row>
    <row r="137" spans="1:11" s="333" customFormat="1" ht="12" customHeight="1" x14ac:dyDescent="0.25">
      <c r="A137" s="534" t="s">
        <v>147</v>
      </c>
      <c r="B137" s="356" t="s">
        <v>434</v>
      </c>
      <c r="C137" s="382"/>
      <c r="D137" s="382"/>
      <c r="E137" s="382"/>
    </row>
    <row r="138" spans="1:11" s="333" customFormat="1" ht="12" customHeight="1" x14ac:dyDescent="0.25">
      <c r="A138" s="534" t="s">
        <v>149</v>
      </c>
      <c r="B138" s="356" t="s">
        <v>277</v>
      </c>
      <c r="C138" s="382"/>
      <c r="D138" s="382"/>
      <c r="E138" s="382"/>
    </row>
    <row r="139" spans="1:11" s="333" customFormat="1" ht="12" customHeight="1" thickBot="1" x14ac:dyDescent="0.3">
      <c r="A139" s="543" t="s">
        <v>435</v>
      </c>
      <c r="B139" s="354" t="s">
        <v>278</v>
      </c>
      <c r="C139" s="382"/>
      <c r="D139" s="382"/>
      <c r="E139" s="382"/>
    </row>
    <row r="140" spans="1:11" s="333" customFormat="1" ht="12" customHeight="1" thickBot="1" x14ac:dyDescent="0.3">
      <c r="A140" s="372" t="s">
        <v>151</v>
      </c>
      <c r="B140" s="375" t="s">
        <v>436</v>
      </c>
      <c r="C140" s="520">
        <f>+C141+C142+C143+C144</f>
        <v>0</v>
      </c>
      <c r="D140" s="520">
        <f>+D141+D142+D143+D144</f>
        <v>0</v>
      </c>
      <c r="E140" s="520">
        <f>+E141+E142+E143+E144</f>
        <v>0</v>
      </c>
    </row>
    <row r="141" spans="1:11" s="333" customFormat="1" ht="12" customHeight="1" x14ac:dyDescent="0.25">
      <c r="A141" s="534" t="s">
        <v>153</v>
      </c>
      <c r="B141" s="356" t="s">
        <v>280</v>
      </c>
      <c r="C141" s="382"/>
      <c r="D141" s="382"/>
      <c r="E141" s="382"/>
    </row>
    <row r="142" spans="1:11" s="333" customFormat="1" ht="12" customHeight="1" x14ac:dyDescent="0.25">
      <c r="A142" s="534" t="s">
        <v>155</v>
      </c>
      <c r="B142" s="356" t="s">
        <v>281</v>
      </c>
      <c r="C142" s="382"/>
      <c r="D142" s="382"/>
      <c r="E142" s="382"/>
    </row>
    <row r="143" spans="1:11" s="333" customFormat="1" ht="12" customHeight="1" x14ac:dyDescent="0.25">
      <c r="A143" s="534" t="s">
        <v>157</v>
      </c>
      <c r="B143" s="356" t="s">
        <v>282</v>
      </c>
      <c r="C143" s="382"/>
      <c r="D143" s="382"/>
      <c r="E143" s="382"/>
    </row>
    <row r="144" spans="1:11" ht="12.75" customHeight="1" thickBot="1" x14ac:dyDescent="0.3">
      <c r="A144" s="534" t="s">
        <v>159</v>
      </c>
      <c r="B144" s="356" t="s">
        <v>283</v>
      </c>
      <c r="C144" s="382"/>
      <c r="D144" s="382"/>
      <c r="E144" s="382"/>
    </row>
    <row r="145" spans="1:5" ht="12" customHeight="1" thickBot="1" x14ac:dyDescent="0.3">
      <c r="A145" s="372" t="s">
        <v>161</v>
      </c>
      <c r="B145" s="375" t="s">
        <v>284</v>
      </c>
      <c r="C145" s="533">
        <f>+C125+C129+C134+C140</f>
        <v>0</v>
      </c>
      <c r="D145" s="533">
        <f>+D125+D129+D134+D140</f>
        <v>0</v>
      </c>
      <c r="E145" s="533">
        <f>+E125+E129+E134+E140</f>
        <v>0</v>
      </c>
    </row>
    <row r="146" spans="1:5" ht="15" customHeight="1" thickBot="1" x14ac:dyDescent="0.3">
      <c r="A146" s="545" t="s">
        <v>285</v>
      </c>
      <c r="B146" s="394" t="s">
        <v>286</v>
      </c>
      <c r="C146" s="533">
        <f>+C124+C145</f>
        <v>0</v>
      </c>
      <c r="D146" s="533">
        <f>+D124+D145</f>
        <v>0</v>
      </c>
      <c r="E146" s="533">
        <f>+E124+E145</f>
        <v>0</v>
      </c>
    </row>
    <row r="147" spans="1:5" ht="13.8" thickBot="1" x14ac:dyDescent="0.3">
      <c r="A147" s="667"/>
      <c r="B147" s="668"/>
      <c r="C147" s="669"/>
      <c r="D147" s="669"/>
      <c r="E147" s="669"/>
    </row>
    <row r="148" spans="1:5" ht="15" customHeight="1" thickBot="1" x14ac:dyDescent="0.3">
      <c r="A148" s="510" t="s">
        <v>437</v>
      </c>
      <c r="B148" s="511"/>
      <c r="C148" s="107"/>
      <c r="D148" s="108"/>
      <c r="E148" s="105"/>
    </row>
    <row r="149" spans="1:5" ht="14.25" customHeight="1" thickBot="1" x14ac:dyDescent="0.3">
      <c r="A149" s="510" t="s">
        <v>438</v>
      </c>
      <c r="B149" s="511"/>
      <c r="C149" s="107"/>
      <c r="D149" s="108"/>
      <c r="E149" s="105"/>
    </row>
  </sheetData>
  <sheetProtection sheet="1" objects="1" scenarios="1" formatCells="0"/>
  <mergeCells count="4">
    <mergeCell ref="A7:E7"/>
    <mergeCell ref="A90:E90"/>
    <mergeCell ref="B2:D2"/>
    <mergeCell ref="B3:D3"/>
  </mergeCells>
  <phoneticPr fontId="0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58" orientation="portrait" verticalDpi="300" r:id="rId1"/>
  <headerFooter alignWithMargins="0"/>
  <rowBreaks count="1" manualBreakCount="1">
    <brk id="88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</sheetPr>
  <dimension ref="A1:K149"/>
  <sheetViews>
    <sheetView view="pageBreakPreview" zoomScaleNormal="100" zoomScaleSheetLayoutView="100" workbookViewId="0">
      <selection activeCell="E2" sqref="E2"/>
    </sheetView>
  </sheetViews>
  <sheetFormatPr defaultColWidth="9.33203125" defaultRowHeight="13.2" x14ac:dyDescent="0.25"/>
  <cols>
    <col min="1" max="1" width="14.77734375" style="525" customWidth="1"/>
    <col min="2" max="2" width="64.6640625" style="526" customWidth="1"/>
    <col min="3" max="5" width="17" style="527" customWidth="1"/>
    <col min="6" max="16384" width="9.33203125" style="32"/>
  </cols>
  <sheetData>
    <row r="1" spans="1:5" s="501" customFormat="1" ht="16.5" customHeight="1" thickBot="1" x14ac:dyDescent="0.3">
      <c r="A1" s="500"/>
      <c r="B1" s="502"/>
      <c r="C1" s="547"/>
      <c r="D1" s="512"/>
      <c r="E1" s="645" t="str">
        <f>+CONCATENATE("6.2. melléklet a ……/",LEFT(ÖSSZEFÜGGÉSEK!A4,4)+1,". (……) önkormányzati rendelethez")</f>
        <v>6.2. melléklet a ……/2017. (……) önkormányzati rendelethez</v>
      </c>
    </row>
    <row r="2" spans="1:5" s="548" customFormat="1" ht="15.75" customHeight="1" x14ac:dyDescent="0.25">
      <c r="A2" s="528" t="s">
        <v>293</v>
      </c>
      <c r="B2" s="1731" t="s">
        <v>421</v>
      </c>
      <c r="C2" s="1732"/>
      <c r="D2" s="1733"/>
      <c r="E2" s="521" t="s">
        <v>422</v>
      </c>
    </row>
    <row r="3" spans="1:5" s="548" customFormat="1" ht="23.4" thickBot="1" x14ac:dyDescent="0.3">
      <c r="A3" s="546" t="s">
        <v>423</v>
      </c>
      <c r="B3" s="1734" t="s">
        <v>439</v>
      </c>
      <c r="C3" s="1735"/>
      <c r="D3" s="1736"/>
      <c r="E3" s="496" t="s">
        <v>440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50" customFormat="1" ht="12" customHeight="1" thickBot="1" x14ac:dyDescent="0.3">
      <c r="A8" s="372" t="s">
        <v>51</v>
      </c>
      <c r="B8" s="368" t="s">
        <v>52</v>
      </c>
      <c r="C8" s="398">
        <f>SUM(C9:C14)</f>
        <v>0</v>
      </c>
      <c r="D8" s="398">
        <f>SUM(D9:D14)</f>
        <v>0</v>
      </c>
      <c r="E8" s="381">
        <f>SUM(E9:E14)</f>
        <v>0</v>
      </c>
    </row>
    <row r="9" spans="1:5" s="524" customFormat="1" ht="12" customHeight="1" x14ac:dyDescent="0.2">
      <c r="A9" s="534" t="s">
        <v>53</v>
      </c>
      <c r="B9" s="409" t="s">
        <v>54</v>
      </c>
      <c r="C9" s="400"/>
      <c r="D9" s="400"/>
      <c r="E9" s="383"/>
    </row>
    <row r="10" spans="1:5" s="551" customFormat="1" ht="12" customHeight="1" x14ac:dyDescent="0.2">
      <c r="A10" s="535" t="s">
        <v>55</v>
      </c>
      <c r="B10" s="410" t="s">
        <v>56</v>
      </c>
      <c r="C10" s="399"/>
      <c r="D10" s="399"/>
      <c r="E10" s="382"/>
    </row>
    <row r="11" spans="1:5" s="551" customFormat="1" ht="12" customHeight="1" x14ac:dyDescent="0.2">
      <c r="A11" s="535" t="s">
        <v>57</v>
      </c>
      <c r="B11" s="410" t="s">
        <v>58</v>
      </c>
      <c r="C11" s="399"/>
      <c r="D11" s="399"/>
      <c r="E11" s="382"/>
    </row>
    <row r="12" spans="1:5" s="551" customFormat="1" ht="12" customHeight="1" x14ac:dyDescent="0.2">
      <c r="A12" s="535" t="s">
        <v>59</v>
      </c>
      <c r="B12" s="410" t="s">
        <v>60</v>
      </c>
      <c r="C12" s="399"/>
      <c r="D12" s="399"/>
      <c r="E12" s="382"/>
    </row>
    <row r="13" spans="1:5" s="551" customFormat="1" ht="12" customHeight="1" x14ac:dyDescent="0.2">
      <c r="A13" s="535" t="s">
        <v>61</v>
      </c>
      <c r="B13" s="410" t="s">
        <v>287</v>
      </c>
      <c r="C13" s="399"/>
      <c r="D13" s="399"/>
      <c r="E13" s="382"/>
    </row>
    <row r="14" spans="1:5" s="524" customFormat="1" ht="12" customHeight="1" thickBot="1" x14ac:dyDescent="0.25">
      <c r="A14" s="536" t="s">
        <v>63</v>
      </c>
      <c r="B14" s="411" t="s">
        <v>64</v>
      </c>
      <c r="C14" s="401"/>
      <c r="D14" s="401"/>
      <c r="E14" s="384"/>
    </row>
    <row r="15" spans="1:5" s="524" customFormat="1" ht="12" customHeight="1" thickBot="1" x14ac:dyDescent="0.3">
      <c r="A15" s="372" t="s">
        <v>65</v>
      </c>
      <c r="B15" s="388" t="s">
        <v>66</v>
      </c>
      <c r="C15" s="398">
        <f>SUM(C16:C20)</f>
        <v>0</v>
      </c>
      <c r="D15" s="398">
        <f>SUM(D16:D20)</f>
        <v>0</v>
      </c>
      <c r="E15" s="381">
        <f>SUM(E16:E20)</f>
        <v>0</v>
      </c>
    </row>
    <row r="16" spans="1:5" s="524" customFormat="1" ht="12" customHeight="1" x14ac:dyDescent="0.2">
      <c r="A16" s="534" t="s">
        <v>67</v>
      </c>
      <c r="B16" s="409" t="s">
        <v>68</v>
      </c>
      <c r="C16" s="400"/>
      <c r="D16" s="400"/>
      <c r="E16" s="383"/>
    </row>
    <row r="17" spans="1:5" s="524" customFormat="1" ht="12" customHeight="1" x14ac:dyDescent="0.2">
      <c r="A17" s="535" t="s">
        <v>69</v>
      </c>
      <c r="B17" s="410" t="s">
        <v>70</v>
      </c>
      <c r="C17" s="399"/>
      <c r="D17" s="399"/>
      <c r="E17" s="382"/>
    </row>
    <row r="18" spans="1:5" s="524" customFormat="1" ht="12" customHeight="1" x14ac:dyDescent="0.2">
      <c r="A18" s="535" t="s">
        <v>71</v>
      </c>
      <c r="B18" s="410" t="s">
        <v>72</v>
      </c>
      <c r="C18" s="399"/>
      <c r="D18" s="399"/>
      <c r="E18" s="382"/>
    </row>
    <row r="19" spans="1:5" s="524" customFormat="1" ht="12" customHeight="1" x14ac:dyDescent="0.2">
      <c r="A19" s="535" t="s">
        <v>73</v>
      </c>
      <c r="B19" s="410" t="s">
        <v>74</v>
      </c>
      <c r="C19" s="399"/>
      <c r="D19" s="399"/>
      <c r="E19" s="382"/>
    </row>
    <row r="20" spans="1:5" s="524" customFormat="1" ht="12" customHeight="1" x14ac:dyDescent="0.2">
      <c r="A20" s="535" t="s">
        <v>75</v>
      </c>
      <c r="B20" s="410" t="s">
        <v>76</v>
      </c>
      <c r="C20" s="399"/>
      <c r="D20" s="399"/>
      <c r="E20" s="382"/>
    </row>
    <row r="21" spans="1:5" s="551" customFormat="1" ht="12" customHeight="1" thickBot="1" x14ac:dyDescent="0.25">
      <c r="A21" s="536" t="s">
        <v>77</v>
      </c>
      <c r="B21" s="411" t="s">
        <v>78</v>
      </c>
      <c r="C21" s="401"/>
      <c r="D21" s="401"/>
      <c r="E21" s="384"/>
    </row>
    <row r="22" spans="1:5" s="551" customFormat="1" ht="12" customHeight="1" thickBot="1" x14ac:dyDescent="0.3">
      <c r="A22" s="372" t="s">
        <v>79</v>
      </c>
      <c r="B22" s="368" t="s">
        <v>80</v>
      </c>
      <c r="C22" s="398">
        <f>SUM(C23:C27)</f>
        <v>0</v>
      </c>
      <c r="D22" s="398">
        <f>SUM(D23:D27)</f>
        <v>0</v>
      </c>
      <c r="E22" s="381">
        <f>SUM(E23:E27)</f>
        <v>0</v>
      </c>
    </row>
    <row r="23" spans="1:5" s="551" customFormat="1" ht="12" customHeight="1" x14ac:dyDescent="0.2">
      <c r="A23" s="534" t="s">
        <v>81</v>
      </c>
      <c r="B23" s="409" t="s">
        <v>82</v>
      </c>
      <c r="C23" s="400"/>
      <c r="D23" s="400"/>
      <c r="E23" s="383"/>
    </row>
    <row r="24" spans="1:5" s="524" customFormat="1" ht="12" customHeight="1" x14ac:dyDescent="0.2">
      <c r="A24" s="535" t="s">
        <v>83</v>
      </c>
      <c r="B24" s="410" t="s">
        <v>84</v>
      </c>
      <c r="C24" s="399"/>
      <c r="D24" s="399"/>
      <c r="E24" s="382"/>
    </row>
    <row r="25" spans="1:5" s="551" customFormat="1" ht="12" customHeight="1" x14ac:dyDescent="0.2">
      <c r="A25" s="535" t="s">
        <v>85</v>
      </c>
      <c r="B25" s="410" t="s">
        <v>86</v>
      </c>
      <c r="C25" s="399"/>
      <c r="D25" s="399"/>
      <c r="E25" s="382"/>
    </row>
    <row r="26" spans="1:5" s="551" customFormat="1" ht="12" customHeight="1" x14ac:dyDescent="0.2">
      <c r="A26" s="535" t="s">
        <v>87</v>
      </c>
      <c r="B26" s="410" t="s">
        <v>88</v>
      </c>
      <c r="C26" s="399"/>
      <c r="D26" s="399"/>
      <c r="E26" s="382"/>
    </row>
    <row r="27" spans="1:5" s="551" customFormat="1" ht="12" customHeight="1" x14ac:dyDescent="0.2">
      <c r="A27" s="535" t="s">
        <v>89</v>
      </c>
      <c r="B27" s="410" t="s">
        <v>90</v>
      </c>
      <c r="C27" s="399"/>
      <c r="D27" s="399"/>
      <c r="E27" s="382"/>
    </row>
    <row r="28" spans="1:5" s="551" customFormat="1" ht="12" customHeight="1" thickBot="1" x14ac:dyDescent="0.25">
      <c r="A28" s="536" t="s">
        <v>91</v>
      </c>
      <c r="B28" s="411" t="s">
        <v>92</v>
      </c>
      <c r="C28" s="401"/>
      <c r="D28" s="401"/>
      <c r="E28" s="384"/>
    </row>
    <row r="29" spans="1:5" s="551" customFormat="1" ht="12" customHeight="1" thickBot="1" x14ac:dyDescent="0.3">
      <c r="A29" s="372" t="s">
        <v>93</v>
      </c>
      <c r="B29" s="368" t="s">
        <v>94</v>
      </c>
      <c r="C29" s="404">
        <f>+C30+C33+C34+C35</f>
        <v>0</v>
      </c>
      <c r="D29" s="404">
        <f>+D30+D33+D34+D35</f>
        <v>0</v>
      </c>
      <c r="E29" s="417">
        <f>+E30+E33+E34+E35</f>
        <v>0</v>
      </c>
    </row>
    <row r="30" spans="1:5" s="551" customFormat="1" ht="12" customHeight="1" x14ac:dyDescent="0.2">
      <c r="A30" s="534" t="s">
        <v>95</v>
      </c>
      <c r="B30" s="409" t="s">
        <v>96</v>
      </c>
      <c r="C30" s="419">
        <f>+C31+C32</f>
        <v>0</v>
      </c>
      <c r="D30" s="419">
        <f>+D31+D32</f>
        <v>0</v>
      </c>
      <c r="E30" s="418">
        <f>+E31+E32</f>
        <v>0</v>
      </c>
    </row>
    <row r="31" spans="1:5" s="551" customFormat="1" ht="12" customHeight="1" x14ac:dyDescent="0.2">
      <c r="A31" s="535" t="s">
        <v>97</v>
      </c>
      <c r="B31" s="410" t="s">
        <v>98</v>
      </c>
      <c r="C31" s="399"/>
      <c r="D31" s="399"/>
      <c r="E31" s="382"/>
    </row>
    <row r="32" spans="1:5" s="551" customFormat="1" ht="12" customHeight="1" x14ac:dyDescent="0.2">
      <c r="A32" s="535" t="s">
        <v>99</v>
      </c>
      <c r="B32" s="410" t="s">
        <v>100</v>
      </c>
      <c r="C32" s="399"/>
      <c r="D32" s="399"/>
      <c r="E32" s="382"/>
    </row>
    <row r="33" spans="1:5" s="551" customFormat="1" ht="12" customHeight="1" x14ac:dyDescent="0.2">
      <c r="A33" s="535" t="s">
        <v>101</v>
      </c>
      <c r="B33" s="410" t="s">
        <v>102</v>
      </c>
      <c r="C33" s="399"/>
      <c r="D33" s="399"/>
      <c r="E33" s="382"/>
    </row>
    <row r="34" spans="1:5" s="551" customFormat="1" ht="12" customHeight="1" x14ac:dyDescent="0.2">
      <c r="A34" s="535" t="s">
        <v>103</v>
      </c>
      <c r="B34" s="410" t="s">
        <v>104</v>
      </c>
      <c r="C34" s="399"/>
      <c r="D34" s="399"/>
      <c r="E34" s="382"/>
    </row>
    <row r="35" spans="1:5" s="551" customFormat="1" ht="12" customHeight="1" thickBot="1" x14ac:dyDescent="0.25">
      <c r="A35" s="536" t="s">
        <v>105</v>
      </c>
      <c r="B35" s="411" t="s">
        <v>106</v>
      </c>
      <c r="C35" s="401"/>
      <c r="D35" s="401"/>
      <c r="E35" s="384"/>
    </row>
    <row r="36" spans="1:5" s="551" customFormat="1" ht="12" customHeight="1" thickBot="1" x14ac:dyDescent="0.3">
      <c r="A36" s="372" t="s">
        <v>107</v>
      </c>
      <c r="B36" s="368" t="s">
        <v>108</v>
      </c>
      <c r="C36" s="398">
        <f>SUM(C37:C46)</f>
        <v>0</v>
      </c>
      <c r="D36" s="398">
        <f>SUM(D37:D46)</f>
        <v>0</v>
      </c>
      <c r="E36" s="381">
        <f>SUM(E37:E46)</f>
        <v>0</v>
      </c>
    </row>
    <row r="37" spans="1:5" s="551" customFormat="1" ht="12" customHeight="1" x14ac:dyDescent="0.2">
      <c r="A37" s="534" t="s">
        <v>109</v>
      </c>
      <c r="B37" s="409" t="s">
        <v>110</v>
      </c>
      <c r="C37" s="400"/>
      <c r="D37" s="400"/>
      <c r="E37" s="383"/>
    </row>
    <row r="38" spans="1:5" s="551" customFormat="1" ht="12" customHeight="1" x14ac:dyDescent="0.2">
      <c r="A38" s="535" t="s">
        <v>111</v>
      </c>
      <c r="B38" s="410" t="s">
        <v>112</v>
      </c>
      <c r="C38" s="399"/>
      <c r="D38" s="399"/>
      <c r="E38" s="382"/>
    </row>
    <row r="39" spans="1:5" s="551" customFormat="1" ht="12" customHeight="1" x14ac:dyDescent="0.2">
      <c r="A39" s="535" t="s">
        <v>113</v>
      </c>
      <c r="B39" s="410" t="s">
        <v>114</v>
      </c>
      <c r="C39" s="399"/>
      <c r="D39" s="399"/>
      <c r="E39" s="382"/>
    </row>
    <row r="40" spans="1:5" s="551" customFormat="1" ht="12" customHeight="1" x14ac:dyDescent="0.2">
      <c r="A40" s="535" t="s">
        <v>115</v>
      </c>
      <c r="B40" s="410" t="s">
        <v>116</v>
      </c>
      <c r="C40" s="399"/>
      <c r="D40" s="399"/>
      <c r="E40" s="382"/>
    </row>
    <row r="41" spans="1:5" s="551" customFormat="1" ht="12" customHeight="1" x14ac:dyDescent="0.2">
      <c r="A41" s="535" t="s">
        <v>117</v>
      </c>
      <c r="B41" s="410" t="s">
        <v>118</v>
      </c>
      <c r="C41" s="399"/>
      <c r="D41" s="399"/>
      <c r="E41" s="382"/>
    </row>
    <row r="42" spans="1:5" s="551" customFormat="1" ht="12" customHeight="1" x14ac:dyDescent="0.2">
      <c r="A42" s="535" t="s">
        <v>119</v>
      </c>
      <c r="B42" s="410" t="s">
        <v>120</v>
      </c>
      <c r="C42" s="399"/>
      <c r="D42" s="399"/>
      <c r="E42" s="382"/>
    </row>
    <row r="43" spans="1:5" s="551" customFormat="1" ht="12" customHeight="1" x14ac:dyDescent="0.2">
      <c r="A43" s="535" t="s">
        <v>121</v>
      </c>
      <c r="B43" s="410" t="s">
        <v>122</v>
      </c>
      <c r="C43" s="399"/>
      <c r="D43" s="399"/>
      <c r="E43" s="382"/>
    </row>
    <row r="44" spans="1:5" s="551" customFormat="1" ht="12" customHeight="1" x14ac:dyDescent="0.2">
      <c r="A44" s="535" t="s">
        <v>123</v>
      </c>
      <c r="B44" s="410" t="s">
        <v>124</v>
      </c>
      <c r="C44" s="399"/>
      <c r="D44" s="399"/>
      <c r="E44" s="382"/>
    </row>
    <row r="45" spans="1:5" s="551" customFormat="1" ht="12" customHeight="1" x14ac:dyDescent="0.2">
      <c r="A45" s="535" t="s">
        <v>125</v>
      </c>
      <c r="B45" s="410" t="s">
        <v>126</v>
      </c>
      <c r="C45" s="402"/>
      <c r="D45" s="402"/>
      <c r="E45" s="385"/>
    </row>
    <row r="46" spans="1:5" s="524" customFormat="1" ht="12" customHeight="1" thickBot="1" x14ac:dyDescent="0.25">
      <c r="A46" s="536" t="s">
        <v>127</v>
      </c>
      <c r="B46" s="411" t="s">
        <v>128</v>
      </c>
      <c r="C46" s="403"/>
      <c r="D46" s="403"/>
      <c r="E46" s="386"/>
    </row>
    <row r="47" spans="1:5" s="551" customFormat="1" ht="12" customHeight="1" thickBot="1" x14ac:dyDescent="0.3">
      <c r="A47" s="372" t="s">
        <v>129</v>
      </c>
      <c r="B47" s="368" t="s">
        <v>130</v>
      </c>
      <c r="C47" s="398">
        <f>SUM(C48:C52)</f>
        <v>0</v>
      </c>
      <c r="D47" s="398">
        <f>SUM(D48:D52)</f>
        <v>0</v>
      </c>
      <c r="E47" s="381">
        <f>SUM(E48:E52)</f>
        <v>0</v>
      </c>
    </row>
    <row r="48" spans="1:5" s="551" customFormat="1" ht="12" customHeight="1" x14ac:dyDescent="0.2">
      <c r="A48" s="534" t="s">
        <v>131</v>
      </c>
      <c r="B48" s="409" t="s">
        <v>132</v>
      </c>
      <c r="C48" s="421"/>
      <c r="D48" s="421"/>
      <c r="E48" s="387"/>
    </row>
    <row r="49" spans="1:5" s="551" customFormat="1" ht="12" customHeight="1" x14ac:dyDescent="0.2">
      <c r="A49" s="535" t="s">
        <v>133</v>
      </c>
      <c r="B49" s="410" t="s">
        <v>134</v>
      </c>
      <c r="C49" s="402"/>
      <c r="D49" s="402"/>
      <c r="E49" s="385"/>
    </row>
    <row r="50" spans="1:5" s="551" customFormat="1" ht="12" customHeight="1" x14ac:dyDescent="0.2">
      <c r="A50" s="535" t="s">
        <v>135</v>
      </c>
      <c r="B50" s="410" t="s">
        <v>136</v>
      </c>
      <c r="C50" s="402"/>
      <c r="D50" s="402"/>
      <c r="E50" s="385"/>
    </row>
    <row r="51" spans="1:5" s="551" customFormat="1" ht="12" customHeight="1" x14ac:dyDescent="0.2">
      <c r="A51" s="535" t="s">
        <v>137</v>
      </c>
      <c r="B51" s="410" t="s">
        <v>138</v>
      </c>
      <c r="C51" s="402"/>
      <c r="D51" s="402"/>
      <c r="E51" s="385"/>
    </row>
    <row r="52" spans="1:5" s="551" customFormat="1" ht="12" customHeight="1" thickBot="1" x14ac:dyDescent="0.25">
      <c r="A52" s="536" t="s">
        <v>139</v>
      </c>
      <c r="B52" s="411" t="s">
        <v>140</v>
      </c>
      <c r="C52" s="403"/>
      <c r="D52" s="403"/>
      <c r="E52" s="386"/>
    </row>
    <row r="53" spans="1:5" s="551" customFormat="1" ht="12" customHeight="1" thickBot="1" x14ac:dyDescent="0.3">
      <c r="A53" s="372" t="s">
        <v>141</v>
      </c>
      <c r="B53" s="368" t="s">
        <v>142</v>
      </c>
      <c r="C53" s="398">
        <f>SUM(C54:C56)</f>
        <v>0</v>
      </c>
      <c r="D53" s="398">
        <f>SUM(D54:D56)</f>
        <v>0</v>
      </c>
      <c r="E53" s="381">
        <f>SUM(E54:E56)</f>
        <v>0</v>
      </c>
    </row>
    <row r="54" spans="1:5" s="524" customFormat="1" ht="12" customHeight="1" x14ac:dyDescent="0.2">
      <c r="A54" s="534" t="s">
        <v>143</v>
      </c>
      <c r="B54" s="409" t="s">
        <v>144</v>
      </c>
      <c r="C54" s="400"/>
      <c r="D54" s="400"/>
      <c r="E54" s="383"/>
    </row>
    <row r="55" spans="1:5" s="524" customFormat="1" ht="12" customHeight="1" x14ac:dyDescent="0.2">
      <c r="A55" s="535" t="s">
        <v>145</v>
      </c>
      <c r="B55" s="410" t="s">
        <v>146</v>
      </c>
      <c r="C55" s="399"/>
      <c r="D55" s="399"/>
      <c r="E55" s="382"/>
    </row>
    <row r="56" spans="1:5" s="524" customFormat="1" ht="12" customHeight="1" x14ac:dyDescent="0.2">
      <c r="A56" s="535" t="s">
        <v>147</v>
      </c>
      <c r="B56" s="410" t="s">
        <v>148</v>
      </c>
      <c r="C56" s="399"/>
      <c r="D56" s="399"/>
      <c r="E56" s="382"/>
    </row>
    <row r="57" spans="1:5" s="524" customFormat="1" ht="12" customHeight="1" thickBot="1" x14ac:dyDescent="0.25">
      <c r="A57" s="536" t="s">
        <v>149</v>
      </c>
      <c r="B57" s="411" t="s">
        <v>150</v>
      </c>
      <c r="C57" s="401"/>
      <c r="D57" s="401"/>
      <c r="E57" s="384"/>
    </row>
    <row r="58" spans="1:5" s="551" customFormat="1" ht="12" customHeight="1" thickBot="1" x14ac:dyDescent="0.3">
      <c r="A58" s="372" t="s">
        <v>151</v>
      </c>
      <c r="B58" s="388" t="s">
        <v>152</v>
      </c>
      <c r="C58" s="398">
        <f>SUM(C59:C61)</f>
        <v>0</v>
      </c>
      <c r="D58" s="398">
        <f>SUM(D59:D61)</f>
        <v>0</v>
      </c>
      <c r="E58" s="381">
        <f>SUM(E59:E61)</f>
        <v>0</v>
      </c>
    </row>
    <row r="59" spans="1:5" s="551" customFormat="1" ht="12" customHeight="1" x14ac:dyDescent="0.2">
      <c r="A59" s="534" t="s">
        <v>153</v>
      </c>
      <c r="B59" s="409" t="s">
        <v>154</v>
      </c>
      <c r="C59" s="402"/>
      <c r="D59" s="402"/>
      <c r="E59" s="385"/>
    </row>
    <row r="60" spans="1:5" s="551" customFormat="1" ht="12" customHeight="1" x14ac:dyDescent="0.2">
      <c r="A60" s="535" t="s">
        <v>155</v>
      </c>
      <c r="B60" s="410" t="s">
        <v>428</v>
      </c>
      <c r="C60" s="402"/>
      <c r="D60" s="402"/>
      <c r="E60" s="385"/>
    </row>
    <row r="61" spans="1:5" s="551" customFormat="1" ht="12" customHeight="1" x14ac:dyDescent="0.2">
      <c r="A61" s="535" t="s">
        <v>157</v>
      </c>
      <c r="B61" s="410" t="s">
        <v>158</v>
      </c>
      <c r="C61" s="402"/>
      <c r="D61" s="402"/>
      <c r="E61" s="385"/>
    </row>
    <row r="62" spans="1:5" s="551" customFormat="1" ht="12" customHeight="1" thickBot="1" x14ac:dyDescent="0.25">
      <c r="A62" s="536" t="s">
        <v>159</v>
      </c>
      <c r="B62" s="411" t="s">
        <v>160</v>
      </c>
      <c r="C62" s="402"/>
      <c r="D62" s="402"/>
      <c r="E62" s="385"/>
    </row>
    <row r="63" spans="1:5" s="551" customFormat="1" ht="12" customHeight="1" thickBot="1" x14ac:dyDescent="0.3">
      <c r="A63" s="372" t="s">
        <v>161</v>
      </c>
      <c r="B63" s="368" t="s">
        <v>162</v>
      </c>
      <c r="C63" s="404">
        <f>+C8+C15+C22+C29+C36+C47+C53+C58</f>
        <v>0</v>
      </c>
      <c r="D63" s="404">
        <f>+D8+D15+D22+D29+D36+D47+D53+D58</f>
        <v>0</v>
      </c>
      <c r="E63" s="417">
        <f>+E8+E15+E22+E29+E36+E47+E53+E58</f>
        <v>0</v>
      </c>
    </row>
    <row r="64" spans="1:5" s="551" customFormat="1" ht="12" customHeight="1" thickBot="1" x14ac:dyDescent="0.25">
      <c r="A64" s="537" t="s">
        <v>429</v>
      </c>
      <c r="B64" s="388" t="s">
        <v>164</v>
      </c>
      <c r="C64" s="398">
        <f>SUM(C65:C67)</f>
        <v>0</v>
      </c>
      <c r="D64" s="398">
        <f>SUM(D65:D67)</f>
        <v>0</v>
      </c>
      <c r="E64" s="381">
        <f>SUM(E65:E67)</f>
        <v>0</v>
      </c>
    </row>
    <row r="65" spans="1:5" s="551" customFormat="1" ht="12" customHeight="1" x14ac:dyDescent="0.2">
      <c r="A65" s="534" t="s">
        <v>165</v>
      </c>
      <c r="B65" s="409" t="s">
        <v>166</v>
      </c>
      <c r="C65" s="402"/>
      <c r="D65" s="402"/>
      <c r="E65" s="385"/>
    </row>
    <row r="66" spans="1:5" s="551" customFormat="1" ht="12" customHeight="1" x14ac:dyDescent="0.2">
      <c r="A66" s="535" t="s">
        <v>167</v>
      </c>
      <c r="B66" s="410" t="s">
        <v>168</v>
      </c>
      <c r="C66" s="402"/>
      <c r="D66" s="402"/>
      <c r="E66" s="385"/>
    </row>
    <row r="67" spans="1:5" s="551" customFormat="1" ht="12" customHeight="1" thickBot="1" x14ac:dyDescent="0.25">
      <c r="A67" s="536" t="s">
        <v>169</v>
      </c>
      <c r="B67" s="530" t="s">
        <v>430</v>
      </c>
      <c r="C67" s="402"/>
      <c r="D67" s="402"/>
      <c r="E67" s="385"/>
    </row>
    <row r="68" spans="1:5" s="551" customFormat="1" ht="12" customHeight="1" thickBot="1" x14ac:dyDescent="0.25">
      <c r="A68" s="537" t="s">
        <v>171</v>
      </c>
      <c r="B68" s="388" t="s">
        <v>172</v>
      </c>
      <c r="C68" s="398">
        <f>SUM(C69:C72)</f>
        <v>0</v>
      </c>
      <c r="D68" s="398">
        <f>SUM(D69:D72)</f>
        <v>0</v>
      </c>
      <c r="E68" s="381">
        <f>SUM(E69:E72)</f>
        <v>0</v>
      </c>
    </row>
    <row r="69" spans="1:5" s="551" customFormat="1" ht="12" customHeight="1" x14ac:dyDescent="0.2">
      <c r="A69" s="534" t="s">
        <v>173</v>
      </c>
      <c r="B69" s="409" t="s">
        <v>174</v>
      </c>
      <c r="C69" s="402"/>
      <c r="D69" s="402"/>
      <c r="E69" s="385"/>
    </row>
    <row r="70" spans="1:5" s="551" customFormat="1" ht="12" customHeight="1" x14ac:dyDescent="0.2">
      <c r="A70" s="535" t="s">
        <v>175</v>
      </c>
      <c r="B70" s="410" t="s">
        <v>176</v>
      </c>
      <c r="C70" s="402"/>
      <c r="D70" s="402"/>
      <c r="E70" s="385"/>
    </row>
    <row r="71" spans="1:5" s="551" customFormat="1" ht="12" customHeight="1" x14ac:dyDescent="0.2">
      <c r="A71" s="535" t="s">
        <v>177</v>
      </c>
      <c r="B71" s="410" t="s">
        <v>178</v>
      </c>
      <c r="C71" s="402"/>
      <c r="D71" s="402"/>
      <c r="E71" s="385"/>
    </row>
    <row r="72" spans="1:5" s="551" customFormat="1" ht="12" customHeight="1" thickBot="1" x14ac:dyDescent="0.25">
      <c r="A72" s="536" t="s">
        <v>179</v>
      </c>
      <c r="B72" s="411" t="s">
        <v>180</v>
      </c>
      <c r="C72" s="402"/>
      <c r="D72" s="402"/>
      <c r="E72" s="385"/>
    </row>
    <row r="73" spans="1:5" s="551" customFormat="1" ht="12" customHeight="1" thickBot="1" x14ac:dyDescent="0.25">
      <c r="A73" s="537" t="s">
        <v>181</v>
      </c>
      <c r="B73" s="388" t="s">
        <v>182</v>
      </c>
      <c r="C73" s="398">
        <f>SUM(C74:C75)</f>
        <v>0</v>
      </c>
      <c r="D73" s="398">
        <f>SUM(D74:D75)</f>
        <v>0</v>
      </c>
      <c r="E73" s="381">
        <f>SUM(E74:E75)</f>
        <v>0</v>
      </c>
    </row>
    <row r="74" spans="1:5" s="551" customFormat="1" ht="12" customHeight="1" x14ac:dyDescent="0.2">
      <c r="A74" s="534" t="s">
        <v>183</v>
      </c>
      <c r="B74" s="409" t="s">
        <v>184</v>
      </c>
      <c r="C74" s="402"/>
      <c r="D74" s="402"/>
      <c r="E74" s="385"/>
    </row>
    <row r="75" spans="1:5" s="551" customFormat="1" ht="12" customHeight="1" thickBot="1" x14ac:dyDescent="0.25">
      <c r="A75" s="536" t="s">
        <v>185</v>
      </c>
      <c r="B75" s="411" t="s">
        <v>186</v>
      </c>
      <c r="C75" s="402"/>
      <c r="D75" s="402"/>
      <c r="E75" s="385"/>
    </row>
    <row r="76" spans="1:5" s="551" customFormat="1" ht="12" customHeight="1" thickBot="1" x14ac:dyDescent="0.25">
      <c r="A76" s="537" t="s">
        <v>187</v>
      </c>
      <c r="B76" s="388" t="s">
        <v>188</v>
      </c>
      <c r="C76" s="398">
        <f>SUM(C77:C79)</f>
        <v>0</v>
      </c>
      <c r="D76" s="398">
        <f>SUM(D77:D79)</f>
        <v>0</v>
      </c>
      <c r="E76" s="381">
        <f>SUM(E77:E79)</f>
        <v>0</v>
      </c>
    </row>
    <row r="77" spans="1:5" s="551" customFormat="1" ht="12" customHeight="1" x14ac:dyDescent="0.2">
      <c r="A77" s="534" t="s">
        <v>189</v>
      </c>
      <c r="B77" s="409" t="s">
        <v>190</v>
      </c>
      <c r="C77" s="402"/>
      <c r="D77" s="402"/>
      <c r="E77" s="385"/>
    </row>
    <row r="78" spans="1:5" s="551" customFormat="1" ht="12" customHeight="1" x14ac:dyDescent="0.2">
      <c r="A78" s="535" t="s">
        <v>191</v>
      </c>
      <c r="B78" s="410" t="s">
        <v>192</v>
      </c>
      <c r="C78" s="402"/>
      <c r="D78" s="402"/>
      <c r="E78" s="385"/>
    </row>
    <row r="79" spans="1:5" s="551" customFormat="1" ht="12" customHeight="1" thickBot="1" x14ac:dyDescent="0.25">
      <c r="A79" s="536" t="s">
        <v>193</v>
      </c>
      <c r="B79" s="411" t="s">
        <v>194</v>
      </c>
      <c r="C79" s="402"/>
      <c r="D79" s="402"/>
      <c r="E79" s="385"/>
    </row>
    <row r="80" spans="1:5" s="551" customFormat="1" ht="12" customHeight="1" thickBot="1" x14ac:dyDescent="0.25">
      <c r="A80" s="537" t="s">
        <v>195</v>
      </c>
      <c r="B80" s="388" t="s">
        <v>196</v>
      </c>
      <c r="C80" s="398">
        <f>SUM(C81:C84)</f>
        <v>0</v>
      </c>
      <c r="D80" s="398">
        <f>SUM(D81:D84)</f>
        <v>0</v>
      </c>
      <c r="E80" s="381">
        <f>SUM(E81:E84)</f>
        <v>0</v>
      </c>
    </row>
    <row r="81" spans="1:5" s="551" customFormat="1" ht="12" customHeight="1" x14ac:dyDescent="0.2">
      <c r="A81" s="538" t="s">
        <v>197</v>
      </c>
      <c r="B81" s="409" t="s">
        <v>198</v>
      </c>
      <c r="C81" s="402"/>
      <c r="D81" s="402"/>
      <c r="E81" s="385"/>
    </row>
    <row r="82" spans="1:5" s="551" customFormat="1" ht="12" customHeight="1" x14ac:dyDescent="0.2">
      <c r="A82" s="539" t="s">
        <v>199</v>
      </c>
      <c r="B82" s="410" t="s">
        <v>200</v>
      </c>
      <c r="C82" s="402"/>
      <c r="D82" s="402"/>
      <c r="E82" s="385"/>
    </row>
    <row r="83" spans="1:5" s="551" customFormat="1" ht="12" customHeight="1" x14ac:dyDescent="0.2">
      <c r="A83" s="539" t="s">
        <v>201</v>
      </c>
      <c r="B83" s="410" t="s">
        <v>202</v>
      </c>
      <c r="C83" s="402"/>
      <c r="D83" s="402"/>
      <c r="E83" s="385"/>
    </row>
    <row r="84" spans="1:5" s="551" customFormat="1" ht="12" customHeight="1" thickBot="1" x14ac:dyDescent="0.25">
      <c r="A84" s="540" t="s">
        <v>203</v>
      </c>
      <c r="B84" s="411" t="s">
        <v>204</v>
      </c>
      <c r="C84" s="402"/>
      <c r="D84" s="402"/>
      <c r="E84" s="385"/>
    </row>
    <row r="85" spans="1:5" s="551" customFormat="1" ht="12" customHeight="1" thickBot="1" x14ac:dyDescent="0.25">
      <c r="A85" s="537" t="s">
        <v>205</v>
      </c>
      <c r="B85" s="388" t="s">
        <v>206</v>
      </c>
      <c r="C85" s="425"/>
      <c r="D85" s="425"/>
      <c r="E85" s="426"/>
    </row>
    <row r="86" spans="1:5" s="551" customFormat="1" ht="12" customHeight="1" thickBot="1" x14ac:dyDescent="0.25">
      <c r="A86" s="537" t="s">
        <v>207</v>
      </c>
      <c r="B86" s="531" t="s">
        <v>208</v>
      </c>
      <c r="C86" s="404">
        <f>+C64+C68+C73+C76+C80+C85</f>
        <v>0</v>
      </c>
      <c r="D86" s="404">
        <f>+D64+D68+D73+D76+D80+D85</f>
        <v>0</v>
      </c>
      <c r="E86" s="417">
        <f>+E64+E68+E73+E76+E80+E85</f>
        <v>0</v>
      </c>
    </row>
    <row r="87" spans="1:5" s="551" customFormat="1" ht="12" customHeight="1" thickBot="1" x14ac:dyDescent="0.25">
      <c r="A87" s="541" t="s">
        <v>209</v>
      </c>
      <c r="B87" s="532" t="s">
        <v>431</v>
      </c>
      <c r="C87" s="404">
        <f>+C63+C86</f>
        <v>0</v>
      </c>
      <c r="D87" s="404">
        <f>+D63+D86</f>
        <v>0</v>
      </c>
      <c r="E87" s="417">
        <f>+E63+E86</f>
        <v>0</v>
      </c>
    </row>
    <row r="88" spans="1:5" s="551" customFormat="1" ht="15" customHeight="1" x14ac:dyDescent="0.25">
      <c r="A88" s="506"/>
      <c r="B88" s="507"/>
      <c r="C88" s="522"/>
      <c r="D88" s="522"/>
      <c r="E88" s="522"/>
    </row>
    <row r="89" spans="1:5" ht="13.8" thickBot="1" x14ac:dyDescent="0.3">
      <c r="A89" s="508"/>
      <c r="B89" s="509"/>
      <c r="C89" s="523"/>
      <c r="D89" s="523"/>
      <c r="E89" s="523"/>
    </row>
    <row r="90" spans="1:5" s="550" customFormat="1" ht="16.5" customHeight="1" thickBot="1" x14ac:dyDescent="0.3">
      <c r="A90" s="1728" t="s">
        <v>292</v>
      </c>
      <c r="B90" s="1729"/>
      <c r="C90" s="1729"/>
      <c r="D90" s="1729"/>
      <c r="E90" s="1730"/>
    </row>
    <row r="91" spans="1:5" s="333" customFormat="1" ht="12" customHeight="1" thickBot="1" x14ac:dyDescent="0.3">
      <c r="A91" s="529" t="s">
        <v>51</v>
      </c>
      <c r="B91" s="371" t="s">
        <v>288</v>
      </c>
      <c r="C91" s="513">
        <f>SUM(C92:C96)</f>
        <v>0</v>
      </c>
      <c r="D91" s="513">
        <f>SUM(D92:D96)</f>
        <v>0</v>
      </c>
      <c r="E91" s="513">
        <f>SUM(E92:E96)</f>
        <v>0</v>
      </c>
    </row>
    <row r="92" spans="1:5" ht="12" customHeight="1" x14ac:dyDescent="0.25">
      <c r="A92" s="542" t="s">
        <v>53</v>
      </c>
      <c r="B92" s="357" t="s">
        <v>215</v>
      </c>
      <c r="C92" s="514"/>
      <c r="D92" s="514"/>
      <c r="E92" s="514"/>
    </row>
    <row r="93" spans="1:5" ht="12" customHeight="1" x14ac:dyDescent="0.25">
      <c r="A93" s="535" t="s">
        <v>55</v>
      </c>
      <c r="B93" s="355" t="s">
        <v>216</v>
      </c>
      <c r="C93" s="515"/>
      <c r="D93" s="515"/>
      <c r="E93" s="515"/>
    </row>
    <row r="94" spans="1:5" ht="12" customHeight="1" x14ac:dyDescent="0.25">
      <c r="A94" s="535" t="s">
        <v>57</v>
      </c>
      <c r="B94" s="355" t="s">
        <v>217</v>
      </c>
      <c r="C94" s="517"/>
      <c r="D94" s="517"/>
      <c r="E94" s="517"/>
    </row>
    <row r="95" spans="1:5" ht="12" customHeight="1" x14ac:dyDescent="0.25">
      <c r="A95" s="535" t="s">
        <v>59</v>
      </c>
      <c r="B95" s="358" t="s">
        <v>218</v>
      </c>
      <c r="C95" s="517"/>
      <c r="D95" s="517"/>
      <c r="E95" s="517"/>
    </row>
    <row r="96" spans="1:5" ht="12" customHeight="1" x14ac:dyDescent="0.25">
      <c r="A96" s="535" t="s">
        <v>219</v>
      </c>
      <c r="B96" s="366" t="s">
        <v>220</v>
      </c>
      <c r="C96" s="517"/>
      <c r="D96" s="517"/>
      <c r="E96" s="517"/>
    </row>
    <row r="97" spans="1:5" ht="12" customHeight="1" x14ac:dyDescent="0.25">
      <c r="A97" s="535" t="s">
        <v>63</v>
      </c>
      <c r="B97" s="355" t="s">
        <v>221</v>
      </c>
      <c r="C97" s="517"/>
      <c r="D97" s="517"/>
      <c r="E97" s="517"/>
    </row>
    <row r="98" spans="1:5" ht="12" customHeight="1" x14ac:dyDescent="0.2">
      <c r="A98" s="535" t="s">
        <v>222</v>
      </c>
      <c r="B98" s="377" t="s">
        <v>223</v>
      </c>
      <c r="C98" s="517"/>
      <c r="D98" s="517"/>
      <c r="E98" s="517"/>
    </row>
    <row r="99" spans="1:5" ht="12" customHeight="1" x14ac:dyDescent="0.25">
      <c r="A99" s="535" t="s">
        <v>224</v>
      </c>
      <c r="B99" s="378" t="s">
        <v>225</v>
      </c>
      <c r="C99" s="517"/>
      <c r="D99" s="517"/>
      <c r="E99" s="517"/>
    </row>
    <row r="100" spans="1:5" ht="12" customHeight="1" x14ac:dyDescent="0.25">
      <c r="A100" s="535" t="s">
        <v>226</v>
      </c>
      <c r="B100" s="378" t="s">
        <v>227</v>
      </c>
      <c r="C100" s="517"/>
      <c r="D100" s="517"/>
      <c r="E100" s="517"/>
    </row>
    <row r="101" spans="1:5" ht="12" customHeight="1" x14ac:dyDescent="0.2">
      <c r="A101" s="535" t="s">
        <v>228</v>
      </c>
      <c r="B101" s="377" t="s">
        <v>229</v>
      </c>
      <c r="C101" s="517"/>
      <c r="D101" s="517"/>
      <c r="E101" s="517"/>
    </row>
    <row r="102" spans="1:5" ht="12" customHeight="1" x14ac:dyDescent="0.2">
      <c r="A102" s="535" t="s">
        <v>230</v>
      </c>
      <c r="B102" s="377" t="s">
        <v>231</v>
      </c>
      <c r="C102" s="517"/>
      <c r="D102" s="517"/>
      <c r="E102" s="517"/>
    </row>
    <row r="103" spans="1:5" ht="12" customHeight="1" x14ac:dyDescent="0.25">
      <c r="A103" s="535" t="s">
        <v>232</v>
      </c>
      <c r="B103" s="378" t="s">
        <v>233</v>
      </c>
      <c r="C103" s="517"/>
      <c r="D103" s="517"/>
      <c r="E103" s="517"/>
    </row>
    <row r="104" spans="1:5" ht="12" customHeight="1" x14ac:dyDescent="0.25">
      <c r="A104" s="543" t="s">
        <v>234</v>
      </c>
      <c r="B104" s="379" t="s">
        <v>235</v>
      </c>
      <c r="C104" s="517"/>
      <c r="D104" s="517"/>
      <c r="E104" s="517"/>
    </row>
    <row r="105" spans="1:5" ht="12" customHeight="1" x14ac:dyDescent="0.25">
      <c r="A105" s="535" t="s">
        <v>236</v>
      </c>
      <c r="B105" s="379" t="s">
        <v>237</v>
      </c>
      <c r="C105" s="517"/>
      <c r="D105" s="517"/>
      <c r="E105" s="517"/>
    </row>
    <row r="106" spans="1:5" s="333" customFormat="1" ht="12" customHeight="1" thickBot="1" x14ac:dyDescent="0.3">
      <c r="A106" s="544" t="s">
        <v>238</v>
      </c>
      <c r="B106" s="380" t="s">
        <v>239</v>
      </c>
      <c r="C106" s="519"/>
      <c r="D106" s="519"/>
      <c r="E106" s="519"/>
    </row>
    <row r="107" spans="1:5" ht="12" customHeight="1" thickBot="1" x14ac:dyDescent="0.3">
      <c r="A107" s="372" t="s">
        <v>65</v>
      </c>
      <c r="B107" s="370" t="s">
        <v>289</v>
      </c>
      <c r="C107" s="392">
        <f>+C108+C110+C112</f>
        <v>0</v>
      </c>
      <c r="D107" s="392">
        <f>+D108+D110+D112</f>
        <v>0</v>
      </c>
      <c r="E107" s="392">
        <f>+E108+E110+E112</f>
        <v>0</v>
      </c>
    </row>
    <row r="108" spans="1:5" ht="12" customHeight="1" x14ac:dyDescent="0.25">
      <c r="A108" s="534" t="s">
        <v>67</v>
      </c>
      <c r="B108" s="355" t="s">
        <v>241</v>
      </c>
      <c r="C108" s="516"/>
      <c r="D108" s="516"/>
      <c r="E108" s="516"/>
    </row>
    <row r="109" spans="1:5" ht="12" customHeight="1" x14ac:dyDescent="0.25">
      <c r="A109" s="534" t="s">
        <v>69</v>
      </c>
      <c r="B109" s="359" t="s">
        <v>242</v>
      </c>
      <c r="C109" s="516"/>
      <c r="D109" s="516"/>
      <c r="E109" s="516"/>
    </row>
    <row r="110" spans="1:5" ht="12" customHeight="1" x14ac:dyDescent="0.25">
      <c r="A110" s="534" t="s">
        <v>71</v>
      </c>
      <c r="B110" s="359" t="s">
        <v>243</v>
      </c>
      <c r="C110" s="515"/>
      <c r="D110" s="515"/>
      <c r="E110" s="515"/>
    </row>
    <row r="111" spans="1:5" ht="12" customHeight="1" x14ac:dyDescent="0.25">
      <c r="A111" s="534" t="s">
        <v>73</v>
      </c>
      <c r="B111" s="359" t="s">
        <v>244</v>
      </c>
      <c r="C111" s="382"/>
      <c r="D111" s="382"/>
      <c r="E111" s="382"/>
    </row>
    <row r="112" spans="1:5" ht="12" customHeight="1" x14ac:dyDescent="0.25">
      <c r="A112" s="534" t="s">
        <v>75</v>
      </c>
      <c r="B112" s="390" t="s">
        <v>245</v>
      </c>
      <c r="C112" s="382"/>
      <c r="D112" s="382"/>
      <c r="E112" s="382"/>
    </row>
    <row r="113" spans="1:5" ht="12" customHeight="1" x14ac:dyDescent="0.25">
      <c r="A113" s="534" t="s">
        <v>77</v>
      </c>
      <c r="B113" s="389" t="s">
        <v>246</v>
      </c>
      <c r="C113" s="382"/>
      <c r="D113" s="382"/>
      <c r="E113" s="382"/>
    </row>
    <row r="114" spans="1:5" ht="12" customHeight="1" x14ac:dyDescent="0.25">
      <c r="A114" s="534" t="s">
        <v>247</v>
      </c>
      <c r="B114" s="405" t="s">
        <v>248</v>
      </c>
      <c r="C114" s="382"/>
      <c r="D114" s="382"/>
      <c r="E114" s="382"/>
    </row>
    <row r="115" spans="1:5" ht="12" customHeight="1" x14ac:dyDescent="0.25">
      <c r="A115" s="534" t="s">
        <v>249</v>
      </c>
      <c r="B115" s="378" t="s">
        <v>227</v>
      </c>
      <c r="C115" s="382"/>
      <c r="D115" s="382"/>
      <c r="E115" s="382"/>
    </row>
    <row r="116" spans="1:5" ht="12" customHeight="1" x14ac:dyDescent="0.25">
      <c r="A116" s="534" t="s">
        <v>250</v>
      </c>
      <c r="B116" s="378" t="s">
        <v>251</v>
      </c>
      <c r="C116" s="382"/>
      <c r="D116" s="382"/>
      <c r="E116" s="382"/>
    </row>
    <row r="117" spans="1:5" ht="12" customHeight="1" x14ac:dyDescent="0.25">
      <c r="A117" s="534" t="s">
        <v>252</v>
      </c>
      <c r="B117" s="378" t="s">
        <v>253</v>
      </c>
      <c r="C117" s="382"/>
      <c r="D117" s="382"/>
      <c r="E117" s="382"/>
    </row>
    <row r="118" spans="1:5" ht="12" customHeight="1" x14ac:dyDescent="0.25">
      <c r="A118" s="534" t="s">
        <v>254</v>
      </c>
      <c r="B118" s="378" t="s">
        <v>233</v>
      </c>
      <c r="C118" s="382"/>
      <c r="D118" s="382"/>
      <c r="E118" s="382"/>
    </row>
    <row r="119" spans="1:5" ht="12" customHeight="1" x14ac:dyDescent="0.25">
      <c r="A119" s="534" t="s">
        <v>255</v>
      </c>
      <c r="B119" s="378" t="s">
        <v>256</v>
      </c>
      <c r="C119" s="382"/>
      <c r="D119" s="382"/>
      <c r="E119" s="382"/>
    </row>
    <row r="120" spans="1:5" ht="12" customHeight="1" thickBot="1" x14ac:dyDescent="0.3">
      <c r="A120" s="543" t="s">
        <v>257</v>
      </c>
      <c r="B120" s="378" t="s">
        <v>258</v>
      </c>
      <c r="C120" s="384"/>
      <c r="D120" s="384"/>
      <c r="E120" s="384"/>
    </row>
    <row r="121" spans="1:5" ht="12" customHeight="1" thickBot="1" x14ac:dyDescent="0.3">
      <c r="A121" s="372" t="s">
        <v>79</v>
      </c>
      <c r="B121" s="375" t="s">
        <v>259</v>
      </c>
      <c r="C121" s="392">
        <f>+C122+C123</f>
        <v>0</v>
      </c>
      <c r="D121" s="392">
        <f>+D122+D123</f>
        <v>0</v>
      </c>
      <c r="E121" s="392">
        <f>+E122+E123</f>
        <v>0</v>
      </c>
    </row>
    <row r="122" spans="1:5" ht="12" customHeight="1" x14ac:dyDescent="0.25">
      <c r="A122" s="534" t="s">
        <v>81</v>
      </c>
      <c r="B122" s="356" t="s">
        <v>260</v>
      </c>
      <c r="C122" s="516"/>
      <c r="D122" s="516"/>
      <c r="E122" s="516"/>
    </row>
    <row r="123" spans="1:5" ht="12" customHeight="1" thickBot="1" x14ac:dyDescent="0.3">
      <c r="A123" s="536" t="s">
        <v>83</v>
      </c>
      <c r="B123" s="359" t="s">
        <v>261</v>
      </c>
      <c r="C123" s="517"/>
      <c r="D123" s="517"/>
      <c r="E123" s="517"/>
    </row>
    <row r="124" spans="1:5" ht="12" customHeight="1" thickBot="1" x14ac:dyDescent="0.3">
      <c r="A124" s="372" t="s">
        <v>262</v>
      </c>
      <c r="B124" s="375" t="s">
        <v>263</v>
      </c>
      <c r="C124" s="392">
        <f>+C91+C107+C121</f>
        <v>0</v>
      </c>
      <c r="D124" s="392">
        <f>+D91+D107+D121</f>
        <v>0</v>
      </c>
      <c r="E124" s="392">
        <f>+E91+E107+E121</f>
        <v>0</v>
      </c>
    </row>
    <row r="125" spans="1:5" ht="12" customHeight="1" thickBot="1" x14ac:dyDescent="0.3">
      <c r="A125" s="372" t="s">
        <v>107</v>
      </c>
      <c r="B125" s="375" t="s">
        <v>432</v>
      </c>
      <c r="C125" s="392">
        <f>+C126+C127+C128</f>
        <v>0</v>
      </c>
      <c r="D125" s="392">
        <f>+D126+D127+D128</f>
        <v>0</v>
      </c>
      <c r="E125" s="392">
        <f>+E126+E127+E128</f>
        <v>0</v>
      </c>
    </row>
    <row r="126" spans="1:5" ht="12" customHeight="1" x14ac:dyDescent="0.25">
      <c r="A126" s="534" t="s">
        <v>109</v>
      </c>
      <c r="B126" s="356" t="s">
        <v>265</v>
      </c>
      <c r="C126" s="382"/>
      <c r="D126" s="382"/>
      <c r="E126" s="382"/>
    </row>
    <row r="127" spans="1:5" ht="12" customHeight="1" x14ac:dyDescent="0.25">
      <c r="A127" s="534" t="s">
        <v>111</v>
      </c>
      <c r="B127" s="356" t="s">
        <v>266</v>
      </c>
      <c r="C127" s="382"/>
      <c r="D127" s="382"/>
      <c r="E127" s="382"/>
    </row>
    <row r="128" spans="1:5" ht="12" customHeight="1" thickBot="1" x14ac:dyDescent="0.3">
      <c r="A128" s="543" t="s">
        <v>113</v>
      </c>
      <c r="B128" s="354" t="s">
        <v>267</v>
      </c>
      <c r="C128" s="382"/>
      <c r="D128" s="382"/>
      <c r="E128" s="382"/>
    </row>
    <row r="129" spans="1:11" ht="12" customHeight="1" thickBot="1" x14ac:dyDescent="0.3">
      <c r="A129" s="372" t="s">
        <v>129</v>
      </c>
      <c r="B129" s="375" t="s">
        <v>268</v>
      </c>
      <c r="C129" s="392">
        <f>+C130+C131+C132+C133</f>
        <v>0</v>
      </c>
      <c r="D129" s="392">
        <f>+D130+D131+D132+D133</f>
        <v>0</v>
      </c>
      <c r="E129" s="392">
        <f>+E130+E131+E132+E133</f>
        <v>0</v>
      </c>
    </row>
    <row r="130" spans="1:11" ht="12" customHeight="1" x14ac:dyDescent="0.25">
      <c r="A130" s="534" t="s">
        <v>131</v>
      </c>
      <c r="B130" s="356" t="s">
        <v>269</v>
      </c>
      <c r="C130" s="382"/>
      <c r="D130" s="382"/>
      <c r="E130" s="382"/>
    </row>
    <row r="131" spans="1:11" ht="12" customHeight="1" x14ac:dyDescent="0.25">
      <c r="A131" s="534" t="s">
        <v>133</v>
      </c>
      <c r="B131" s="356" t="s">
        <v>270</v>
      </c>
      <c r="C131" s="382"/>
      <c r="D131" s="382"/>
      <c r="E131" s="382"/>
    </row>
    <row r="132" spans="1:11" ht="12" customHeight="1" x14ac:dyDescent="0.25">
      <c r="A132" s="534" t="s">
        <v>135</v>
      </c>
      <c r="B132" s="356" t="s">
        <v>271</v>
      </c>
      <c r="C132" s="382"/>
      <c r="D132" s="382"/>
      <c r="E132" s="382"/>
    </row>
    <row r="133" spans="1:11" s="333" customFormat="1" ht="12" customHeight="1" thickBot="1" x14ac:dyDescent="0.3">
      <c r="A133" s="543" t="s">
        <v>137</v>
      </c>
      <c r="B133" s="354" t="s">
        <v>272</v>
      </c>
      <c r="C133" s="382"/>
      <c r="D133" s="382"/>
      <c r="E133" s="382"/>
    </row>
    <row r="134" spans="1:11" ht="13.8" thickBot="1" x14ac:dyDescent="0.3">
      <c r="A134" s="372" t="s">
        <v>273</v>
      </c>
      <c r="B134" s="375" t="s">
        <v>433</v>
      </c>
      <c r="C134" s="518">
        <f>+C135+C136+C138+C139+C137</f>
        <v>0</v>
      </c>
      <c r="D134" s="518">
        <f>+D135+D136+D138+D139+D137</f>
        <v>0</v>
      </c>
      <c r="E134" s="518">
        <f>+E135+E136+E138+E139+E137</f>
        <v>0</v>
      </c>
      <c r="K134" s="497"/>
    </row>
    <row r="135" spans="1:11" x14ac:dyDescent="0.25">
      <c r="A135" s="534" t="s">
        <v>143</v>
      </c>
      <c r="B135" s="356" t="s">
        <v>275</v>
      </c>
      <c r="C135" s="382"/>
      <c r="D135" s="382"/>
      <c r="E135" s="382"/>
    </row>
    <row r="136" spans="1:11" ht="12" customHeight="1" x14ac:dyDescent="0.25">
      <c r="A136" s="534" t="s">
        <v>145</v>
      </c>
      <c r="B136" s="356" t="s">
        <v>276</v>
      </c>
      <c r="C136" s="382"/>
      <c r="D136" s="382"/>
      <c r="E136" s="382"/>
    </row>
    <row r="137" spans="1:11" ht="12" customHeight="1" x14ac:dyDescent="0.25">
      <c r="A137" s="534" t="s">
        <v>147</v>
      </c>
      <c r="B137" s="356" t="s">
        <v>434</v>
      </c>
      <c r="C137" s="382"/>
      <c r="D137" s="382"/>
      <c r="E137" s="382"/>
    </row>
    <row r="138" spans="1:11" s="333" customFormat="1" ht="12" customHeight="1" x14ac:dyDescent="0.25">
      <c r="A138" s="534" t="s">
        <v>149</v>
      </c>
      <c r="B138" s="356" t="s">
        <v>277</v>
      </c>
      <c r="C138" s="382"/>
      <c r="D138" s="382"/>
      <c r="E138" s="382"/>
    </row>
    <row r="139" spans="1:11" s="333" customFormat="1" ht="12" customHeight="1" thickBot="1" x14ac:dyDescent="0.3">
      <c r="A139" s="543" t="s">
        <v>435</v>
      </c>
      <c r="B139" s="354" t="s">
        <v>278</v>
      </c>
      <c r="C139" s="382"/>
      <c r="D139" s="382"/>
      <c r="E139" s="382"/>
    </row>
    <row r="140" spans="1:11" s="333" customFormat="1" ht="12" customHeight="1" thickBot="1" x14ac:dyDescent="0.3">
      <c r="A140" s="372" t="s">
        <v>151</v>
      </c>
      <c r="B140" s="375" t="s">
        <v>436</v>
      </c>
      <c r="C140" s="520">
        <f>+C141+C142+C143+C144</f>
        <v>0</v>
      </c>
      <c r="D140" s="520">
        <f>+D141+D142+D143+D144</f>
        <v>0</v>
      </c>
      <c r="E140" s="520">
        <f>+E141+E142+E143+E144</f>
        <v>0</v>
      </c>
    </row>
    <row r="141" spans="1:11" s="333" customFormat="1" ht="12" customHeight="1" x14ac:dyDescent="0.25">
      <c r="A141" s="534" t="s">
        <v>153</v>
      </c>
      <c r="B141" s="356" t="s">
        <v>280</v>
      </c>
      <c r="C141" s="382"/>
      <c r="D141" s="382"/>
      <c r="E141" s="382"/>
    </row>
    <row r="142" spans="1:11" s="333" customFormat="1" ht="12" customHeight="1" x14ac:dyDescent="0.25">
      <c r="A142" s="534" t="s">
        <v>155</v>
      </c>
      <c r="B142" s="356" t="s">
        <v>281</v>
      </c>
      <c r="C142" s="382"/>
      <c r="D142" s="382"/>
      <c r="E142" s="382"/>
    </row>
    <row r="143" spans="1:11" s="333" customFormat="1" ht="12" customHeight="1" x14ac:dyDescent="0.25">
      <c r="A143" s="534" t="s">
        <v>157</v>
      </c>
      <c r="B143" s="356" t="s">
        <v>282</v>
      </c>
      <c r="C143" s="382"/>
      <c r="D143" s="382"/>
      <c r="E143" s="382"/>
    </row>
    <row r="144" spans="1:11" ht="12.75" customHeight="1" thickBot="1" x14ac:dyDescent="0.3">
      <c r="A144" s="534" t="s">
        <v>159</v>
      </c>
      <c r="B144" s="356" t="s">
        <v>283</v>
      </c>
      <c r="C144" s="382"/>
      <c r="D144" s="382"/>
      <c r="E144" s="382"/>
    </row>
    <row r="145" spans="1:5" ht="12" customHeight="1" thickBot="1" x14ac:dyDescent="0.3">
      <c r="A145" s="372" t="s">
        <v>161</v>
      </c>
      <c r="B145" s="375" t="s">
        <v>284</v>
      </c>
      <c r="C145" s="533">
        <f>+C125+C129+C134+C140</f>
        <v>0</v>
      </c>
      <c r="D145" s="533">
        <f>+D125+D129+D134+D140</f>
        <v>0</v>
      </c>
      <c r="E145" s="533">
        <f>+E125+E129+E134+E140</f>
        <v>0</v>
      </c>
    </row>
    <row r="146" spans="1:5" ht="15" customHeight="1" thickBot="1" x14ac:dyDescent="0.3">
      <c r="A146" s="545" t="s">
        <v>285</v>
      </c>
      <c r="B146" s="394" t="s">
        <v>286</v>
      </c>
      <c r="C146" s="533">
        <f>+C124+C145</f>
        <v>0</v>
      </c>
      <c r="D146" s="533">
        <f>+D124+D145</f>
        <v>0</v>
      </c>
      <c r="E146" s="533">
        <f>+E124+E145</f>
        <v>0</v>
      </c>
    </row>
    <row r="147" spans="1:5" ht="13.8" thickBot="1" x14ac:dyDescent="0.3">
      <c r="A147" s="667"/>
      <c r="B147" s="668"/>
      <c r="C147" s="669"/>
      <c r="D147" s="669"/>
      <c r="E147" s="669"/>
    </row>
    <row r="148" spans="1:5" ht="15" customHeight="1" thickBot="1" x14ac:dyDescent="0.3">
      <c r="A148" s="510" t="s">
        <v>441</v>
      </c>
      <c r="B148" s="511"/>
      <c r="C148" s="107"/>
      <c r="D148" s="108"/>
      <c r="E148" s="105"/>
    </row>
    <row r="149" spans="1:5" ht="14.25" customHeight="1" thickBot="1" x14ac:dyDescent="0.3">
      <c r="A149" s="510" t="s">
        <v>438</v>
      </c>
      <c r="B149" s="511"/>
      <c r="C149" s="107"/>
      <c r="D149" s="108"/>
      <c r="E149" s="105"/>
    </row>
  </sheetData>
  <sheetProtection sheet="1" objects="1" scenarios="1" formatCells="0"/>
  <mergeCells count="4">
    <mergeCell ref="B2:D2"/>
    <mergeCell ref="B3:D3"/>
    <mergeCell ref="A7:E7"/>
    <mergeCell ref="A90:E90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58" orientation="portrait" verticalDpi="300" r:id="rId1"/>
  <headerFooter alignWithMargins="0"/>
  <rowBreaks count="1" manualBreakCount="1">
    <brk id="87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92D050"/>
  </sheetPr>
  <dimension ref="A1:K149"/>
  <sheetViews>
    <sheetView view="pageBreakPreview" zoomScaleNormal="100" zoomScaleSheetLayoutView="100" workbookViewId="0">
      <selection activeCell="H135" sqref="H135"/>
    </sheetView>
  </sheetViews>
  <sheetFormatPr defaultColWidth="9.33203125" defaultRowHeight="13.2" x14ac:dyDescent="0.25"/>
  <cols>
    <col min="1" max="1" width="14.77734375" style="525" customWidth="1"/>
    <col min="2" max="2" width="65.33203125" style="526" customWidth="1"/>
    <col min="3" max="5" width="17" style="527" customWidth="1"/>
    <col min="6" max="16384" width="9.33203125" style="32"/>
  </cols>
  <sheetData>
    <row r="1" spans="1:5" s="501" customFormat="1" ht="16.5" customHeight="1" thickBot="1" x14ac:dyDescent="0.3">
      <c r="A1" s="500"/>
      <c r="B1" s="502"/>
      <c r="C1" s="547"/>
      <c r="D1" s="512"/>
      <c r="E1" s="547" t="str">
        <f>+CONCATENATE("6.3. melléklet a ……/",LEFT(ÖSSZEFÜGGÉSEK!A4,4)+1,". (……) önkormányzati rendelethez")</f>
        <v>6.3. melléklet a ……/2017. (……) önkormányzati rendelethez</v>
      </c>
    </row>
    <row r="2" spans="1:5" s="548" customFormat="1" ht="15.75" customHeight="1" x14ac:dyDescent="0.25">
      <c r="A2" s="528" t="s">
        <v>293</v>
      </c>
      <c r="B2" s="1731" t="s">
        <v>421</v>
      </c>
      <c r="C2" s="1732"/>
      <c r="D2" s="1733"/>
      <c r="E2" s="521" t="s">
        <v>422</v>
      </c>
    </row>
    <row r="3" spans="1:5" s="548" customFormat="1" ht="23.4" thickBot="1" x14ac:dyDescent="0.3">
      <c r="A3" s="546" t="s">
        <v>423</v>
      </c>
      <c r="B3" s="1734" t="s">
        <v>442</v>
      </c>
      <c r="C3" s="1735"/>
      <c r="D3" s="1736"/>
      <c r="E3" s="496" t="s">
        <v>443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50" customFormat="1" ht="12" customHeight="1" thickBot="1" x14ac:dyDescent="0.3">
      <c r="A8" s="372" t="s">
        <v>51</v>
      </c>
      <c r="B8" s="368" t="s">
        <v>52</v>
      </c>
      <c r="C8" s="398">
        <f>SUM(C9:C14)</f>
        <v>0</v>
      </c>
      <c r="D8" s="398">
        <f>SUM(D9:D14)</f>
        <v>0</v>
      </c>
      <c r="E8" s="381">
        <f>SUM(E9:E14)</f>
        <v>0</v>
      </c>
    </row>
    <row r="9" spans="1:5" s="524" customFormat="1" ht="12" customHeight="1" x14ac:dyDescent="0.2">
      <c r="A9" s="534" t="s">
        <v>53</v>
      </c>
      <c r="B9" s="409" t="s">
        <v>54</v>
      </c>
      <c r="C9" s="400"/>
      <c r="D9" s="400"/>
      <c r="E9" s="383"/>
    </row>
    <row r="10" spans="1:5" s="551" customFormat="1" ht="12" customHeight="1" x14ac:dyDescent="0.2">
      <c r="A10" s="535" t="s">
        <v>55</v>
      </c>
      <c r="B10" s="410" t="s">
        <v>56</v>
      </c>
      <c r="C10" s="399"/>
      <c r="D10" s="399"/>
      <c r="E10" s="382"/>
    </row>
    <row r="11" spans="1:5" s="551" customFormat="1" ht="12" customHeight="1" x14ac:dyDescent="0.2">
      <c r="A11" s="535" t="s">
        <v>57</v>
      </c>
      <c r="B11" s="410" t="s">
        <v>58</v>
      </c>
      <c r="C11" s="399"/>
      <c r="D11" s="399"/>
      <c r="E11" s="382"/>
    </row>
    <row r="12" spans="1:5" s="551" customFormat="1" ht="12" customHeight="1" x14ac:dyDescent="0.2">
      <c r="A12" s="535" t="s">
        <v>59</v>
      </c>
      <c r="B12" s="410" t="s">
        <v>60</v>
      </c>
      <c r="C12" s="399"/>
      <c r="D12" s="399"/>
      <c r="E12" s="382"/>
    </row>
    <row r="13" spans="1:5" s="551" customFormat="1" ht="12" customHeight="1" x14ac:dyDescent="0.2">
      <c r="A13" s="535" t="s">
        <v>61</v>
      </c>
      <c r="B13" s="410" t="s">
        <v>287</v>
      </c>
      <c r="C13" s="399"/>
      <c r="D13" s="399"/>
      <c r="E13" s="382"/>
    </row>
    <row r="14" spans="1:5" s="524" customFormat="1" ht="12" customHeight="1" thickBot="1" x14ac:dyDescent="0.25">
      <c r="A14" s="536" t="s">
        <v>63</v>
      </c>
      <c r="B14" s="411" t="s">
        <v>64</v>
      </c>
      <c r="C14" s="401"/>
      <c r="D14" s="401"/>
      <c r="E14" s="384"/>
    </row>
    <row r="15" spans="1:5" s="524" customFormat="1" ht="12" customHeight="1" thickBot="1" x14ac:dyDescent="0.3">
      <c r="A15" s="372" t="s">
        <v>65</v>
      </c>
      <c r="B15" s="388" t="s">
        <v>66</v>
      </c>
      <c r="C15" s="398">
        <f>SUM(C16:C20)</f>
        <v>0</v>
      </c>
      <c r="D15" s="398">
        <f>SUM(D16:D20)</f>
        <v>0</v>
      </c>
      <c r="E15" s="381">
        <f>SUM(E16:E20)</f>
        <v>0</v>
      </c>
    </row>
    <row r="16" spans="1:5" s="524" customFormat="1" ht="12" customHeight="1" x14ac:dyDescent="0.2">
      <c r="A16" s="534" t="s">
        <v>67</v>
      </c>
      <c r="B16" s="409" t="s">
        <v>68</v>
      </c>
      <c r="C16" s="400"/>
      <c r="D16" s="400"/>
      <c r="E16" s="383"/>
    </row>
    <row r="17" spans="1:5" s="524" customFormat="1" ht="12" customHeight="1" x14ac:dyDescent="0.2">
      <c r="A17" s="535" t="s">
        <v>69</v>
      </c>
      <c r="B17" s="410" t="s">
        <v>70</v>
      </c>
      <c r="C17" s="399"/>
      <c r="D17" s="399"/>
      <c r="E17" s="382"/>
    </row>
    <row r="18" spans="1:5" s="524" customFormat="1" ht="12" customHeight="1" x14ac:dyDescent="0.2">
      <c r="A18" s="535" t="s">
        <v>71</v>
      </c>
      <c r="B18" s="410" t="s">
        <v>72</v>
      </c>
      <c r="C18" s="399"/>
      <c r="D18" s="399"/>
      <c r="E18" s="382"/>
    </row>
    <row r="19" spans="1:5" s="524" customFormat="1" ht="12" customHeight="1" x14ac:dyDescent="0.2">
      <c r="A19" s="535" t="s">
        <v>73</v>
      </c>
      <c r="B19" s="410" t="s">
        <v>74</v>
      </c>
      <c r="C19" s="399"/>
      <c r="D19" s="399"/>
      <c r="E19" s="382"/>
    </row>
    <row r="20" spans="1:5" s="524" customFormat="1" ht="12" customHeight="1" x14ac:dyDescent="0.2">
      <c r="A20" s="535" t="s">
        <v>75</v>
      </c>
      <c r="B20" s="410" t="s">
        <v>76</v>
      </c>
      <c r="C20" s="399"/>
      <c r="D20" s="399"/>
      <c r="E20" s="382"/>
    </row>
    <row r="21" spans="1:5" s="551" customFormat="1" ht="12" customHeight="1" thickBot="1" x14ac:dyDescent="0.25">
      <c r="A21" s="536" t="s">
        <v>77</v>
      </c>
      <c r="B21" s="411" t="s">
        <v>78</v>
      </c>
      <c r="C21" s="401"/>
      <c r="D21" s="401"/>
      <c r="E21" s="384"/>
    </row>
    <row r="22" spans="1:5" s="551" customFormat="1" ht="12" customHeight="1" thickBot="1" x14ac:dyDescent="0.3">
      <c r="A22" s="372" t="s">
        <v>79</v>
      </c>
      <c r="B22" s="368" t="s">
        <v>80</v>
      </c>
      <c r="C22" s="398">
        <f>SUM(C23:C27)</f>
        <v>0</v>
      </c>
      <c r="D22" s="398">
        <f>SUM(D23:D27)</f>
        <v>0</v>
      </c>
      <c r="E22" s="381">
        <f>SUM(E23:E27)</f>
        <v>0</v>
      </c>
    </row>
    <row r="23" spans="1:5" s="551" customFormat="1" ht="12" customHeight="1" x14ac:dyDescent="0.2">
      <c r="A23" s="534" t="s">
        <v>81</v>
      </c>
      <c r="B23" s="409" t="s">
        <v>82</v>
      </c>
      <c r="C23" s="400"/>
      <c r="D23" s="400"/>
      <c r="E23" s="383"/>
    </row>
    <row r="24" spans="1:5" s="524" customFormat="1" ht="12" customHeight="1" x14ac:dyDescent="0.2">
      <c r="A24" s="535" t="s">
        <v>83</v>
      </c>
      <c r="B24" s="410" t="s">
        <v>84</v>
      </c>
      <c r="C24" s="399"/>
      <c r="D24" s="399"/>
      <c r="E24" s="382"/>
    </row>
    <row r="25" spans="1:5" s="551" customFormat="1" ht="12" customHeight="1" x14ac:dyDescent="0.2">
      <c r="A25" s="535" t="s">
        <v>85</v>
      </c>
      <c r="B25" s="410" t="s">
        <v>86</v>
      </c>
      <c r="C25" s="399"/>
      <c r="D25" s="399"/>
      <c r="E25" s="382"/>
    </row>
    <row r="26" spans="1:5" s="551" customFormat="1" ht="12" customHeight="1" x14ac:dyDescent="0.2">
      <c r="A26" s="535" t="s">
        <v>87</v>
      </c>
      <c r="B26" s="410" t="s">
        <v>88</v>
      </c>
      <c r="C26" s="399"/>
      <c r="D26" s="399"/>
      <c r="E26" s="382"/>
    </row>
    <row r="27" spans="1:5" s="551" customFormat="1" ht="12" customHeight="1" x14ac:dyDescent="0.2">
      <c r="A27" s="535" t="s">
        <v>89</v>
      </c>
      <c r="B27" s="410" t="s">
        <v>90</v>
      </c>
      <c r="C27" s="399"/>
      <c r="D27" s="399"/>
      <c r="E27" s="382"/>
    </row>
    <row r="28" spans="1:5" s="551" customFormat="1" ht="12" customHeight="1" thickBot="1" x14ac:dyDescent="0.25">
      <c r="A28" s="536" t="s">
        <v>91</v>
      </c>
      <c r="B28" s="411" t="s">
        <v>92</v>
      </c>
      <c r="C28" s="401"/>
      <c r="D28" s="401"/>
      <c r="E28" s="384"/>
    </row>
    <row r="29" spans="1:5" s="551" customFormat="1" ht="12" customHeight="1" thickBot="1" x14ac:dyDescent="0.3">
      <c r="A29" s="372" t="s">
        <v>93</v>
      </c>
      <c r="B29" s="368" t="s">
        <v>94</v>
      </c>
      <c r="C29" s="404">
        <f>+C30+C33+C34+C35</f>
        <v>0</v>
      </c>
      <c r="D29" s="404">
        <f>+D30+D33+D34+D35</f>
        <v>0</v>
      </c>
      <c r="E29" s="417">
        <f>+E30+E33+E34+E35</f>
        <v>0</v>
      </c>
    </row>
    <row r="30" spans="1:5" s="551" customFormat="1" ht="12" customHeight="1" x14ac:dyDescent="0.2">
      <c r="A30" s="534" t="s">
        <v>95</v>
      </c>
      <c r="B30" s="409" t="s">
        <v>96</v>
      </c>
      <c r="C30" s="419">
        <f>+C31+C32</f>
        <v>0</v>
      </c>
      <c r="D30" s="419">
        <f>+D31+D32</f>
        <v>0</v>
      </c>
      <c r="E30" s="418">
        <f>+E31+E32</f>
        <v>0</v>
      </c>
    </row>
    <row r="31" spans="1:5" s="551" customFormat="1" ht="12" customHeight="1" x14ac:dyDescent="0.2">
      <c r="A31" s="535" t="s">
        <v>97</v>
      </c>
      <c r="B31" s="410" t="s">
        <v>98</v>
      </c>
      <c r="C31" s="399"/>
      <c r="D31" s="399"/>
      <c r="E31" s="382"/>
    </row>
    <row r="32" spans="1:5" s="551" customFormat="1" ht="12" customHeight="1" x14ac:dyDescent="0.2">
      <c r="A32" s="535" t="s">
        <v>99</v>
      </c>
      <c r="B32" s="410" t="s">
        <v>100</v>
      </c>
      <c r="C32" s="399"/>
      <c r="D32" s="399"/>
      <c r="E32" s="382"/>
    </row>
    <row r="33" spans="1:5" s="551" customFormat="1" ht="12" customHeight="1" x14ac:dyDescent="0.2">
      <c r="A33" s="535" t="s">
        <v>101</v>
      </c>
      <c r="B33" s="410" t="s">
        <v>102</v>
      </c>
      <c r="C33" s="399"/>
      <c r="D33" s="399"/>
      <c r="E33" s="382"/>
    </row>
    <row r="34" spans="1:5" s="551" customFormat="1" ht="12" customHeight="1" x14ac:dyDescent="0.2">
      <c r="A34" s="535" t="s">
        <v>103</v>
      </c>
      <c r="B34" s="410" t="s">
        <v>104</v>
      </c>
      <c r="C34" s="399"/>
      <c r="D34" s="399"/>
      <c r="E34" s="382"/>
    </row>
    <row r="35" spans="1:5" s="551" customFormat="1" ht="12" customHeight="1" thickBot="1" x14ac:dyDescent="0.25">
      <c r="A35" s="536" t="s">
        <v>105</v>
      </c>
      <c r="B35" s="411" t="s">
        <v>106</v>
      </c>
      <c r="C35" s="401"/>
      <c r="D35" s="401"/>
      <c r="E35" s="384"/>
    </row>
    <row r="36" spans="1:5" s="551" customFormat="1" ht="12" customHeight="1" thickBot="1" x14ac:dyDescent="0.3">
      <c r="A36" s="372" t="s">
        <v>107</v>
      </c>
      <c r="B36" s="368" t="s">
        <v>108</v>
      </c>
      <c r="C36" s="398">
        <f>SUM(C37:C46)</f>
        <v>0</v>
      </c>
      <c r="D36" s="398">
        <f>SUM(D37:D46)</f>
        <v>0</v>
      </c>
      <c r="E36" s="381">
        <f>SUM(E37:E46)</f>
        <v>0</v>
      </c>
    </row>
    <row r="37" spans="1:5" s="551" customFormat="1" ht="12" customHeight="1" x14ac:dyDescent="0.2">
      <c r="A37" s="534" t="s">
        <v>109</v>
      </c>
      <c r="B37" s="409" t="s">
        <v>110</v>
      </c>
      <c r="C37" s="400"/>
      <c r="D37" s="400"/>
      <c r="E37" s="383"/>
    </row>
    <row r="38" spans="1:5" s="551" customFormat="1" ht="12" customHeight="1" x14ac:dyDescent="0.2">
      <c r="A38" s="535" t="s">
        <v>111</v>
      </c>
      <c r="B38" s="410" t="s">
        <v>112</v>
      </c>
      <c r="C38" s="399"/>
      <c r="D38" s="399"/>
      <c r="E38" s="382"/>
    </row>
    <row r="39" spans="1:5" s="551" customFormat="1" ht="12" customHeight="1" x14ac:dyDescent="0.2">
      <c r="A39" s="535" t="s">
        <v>113</v>
      </c>
      <c r="B39" s="410" t="s">
        <v>114</v>
      </c>
      <c r="C39" s="399"/>
      <c r="D39" s="399"/>
      <c r="E39" s="382"/>
    </row>
    <row r="40" spans="1:5" s="551" customFormat="1" ht="12" customHeight="1" x14ac:dyDescent="0.2">
      <c r="A40" s="535" t="s">
        <v>115</v>
      </c>
      <c r="B40" s="410" t="s">
        <v>116</v>
      </c>
      <c r="C40" s="399"/>
      <c r="D40" s="399"/>
      <c r="E40" s="382"/>
    </row>
    <row r="41" spans="1:5" s="551" customFormat="1" ht="12" customHeight="1" x14ac:dyDescent="0.2">
      <c r="A41" s="535" t="s">
        <v>117</v>
      </c>
      <c r="B41" s="410" t="s">
        <v>118</v>
      </c>
      <c r="C41" s="399"/>
      <c r="D41" s="399"/>
      <c r="E41" s="382"/>
    </row>
    <row r="42" spans="1:5" s="551" customFormat="1" ht="12" customHeight="1" x14ac:dyDescent="0.2">
      <c r="A42" s="535" t="s">
        <v>119</v>
      </c>
      <c r="B42" s="410" t="s">
        <v>120</v>
      </c>
      <c r="C42" s="399"/>
      <c r="D42" s="399"/>
      <c r="E42" s="382"/>
    </row>
    <row r="43" spans="1:5" s="551" customFormat="1" ht="12" customHeight="1" x14ac:dyDescent="0.2">
      <c r="A43" s="535" t="s">
        <v>121</v>
      </c>
      <c r="B43" s="410" t="s">
        <v>122</v>
      </c>
      <c r="C43" s="399"/>
      <c r="D43" s="399"/>
      <c r="E43" s="382"/>
    </row>
    <row r="44" spans="1:5" s="551" customFormat="1" ht="12" customHeight="1" x14ac:dyDescent="0.2">
      <c r="A44" s="535" t="s">
        <v>123</v>
      </c>
      <c r="B44" s="410" t="s">
        <v>124</v>
      </c>
      <c r="C44" s="399"/>
      <c r="D44" s="399"/>
      <c r="E44" s="382"/>
    </row>
    <row r="45" spans="1:5" s="551" customFormat="1" ht="12" customHeight="1" x14ac:dyDescent="0.2">
      <c r="A45" s="535" t="s">
        <v>125</v>
      </c>
      <c r="B45" s="410" t="s">
        <v>126</v>
      </c>
      <c r="C45" s="402"/>
      <c r="D45" s="402"/>
      <c r="E45" s="385"/>
    </row>
    <row r="46" spans="1:5" s="524" customFormat="1" ht="12" customHeight="1" thickBot="1" x14ac:dyDescent="0.25">
      <c r="A46" s="536" t="s">
        <v>127</v>
      </c>
      <c r="B46" s="411" t="s">
        <v>128</v>
      </c>
      <c r="C46" s="403"/>
      <c r="D46" s="403"/>
      <c r="E46" s="386"/>
    </row>
    <row r="47" spans="1:5" s="551" customFormat="1" ht="12" customHeight="1" thickBot="1" x14ac:dyDescent="0.3">
      <c r="A47" s="372" t="s">
        <v>129</v>
      </c>
      <c r="B47" s="368" t="s">
        <v>130</v>
      </c>
      <c r="C47" s="398">
        <f>SUM(C48:C52)</f>
        <v>0</v>
      </c>
      <c r="D47" s="398">
        <f>SUM(D48:D52)</f>
        <v>0</v>
      </c>
      <c r="E47" s="381">
        <f>SUM(E48:E52)</f>
        <v>0</v>
      </c>
    </row>
    <row r="48" spans="1:5" s="551" customFormat="1" ht="12" customHeight="1" x14ac:dyDescent="0.2">
      <c r="A48" s="534" t="s">
        <v>131</v>
      </c>
      <c r="B48" s="409" t="s">
        <v>132</v>
      </c>
      <c r="C48" s="421"/>
      <c r="D48" s="421"/>
      <c r="E48" s="387"/>
    </row>
    <row r="49" spans="1:5" s="551" customFormat="1" ht="12" customHeight="1" x14ac:dyDescent="0.2">
      <c r="A49" s="535" t="s">
        <v>133</v>
      </c>
      <c r="B49" s="410" t="s">
        <v>134</v>
      </c>
      <c r="C49" s="402"/>
      <c r="D49" s="402"/>
      <c r="E49" s="385"/>
    </row>
    <row r="50" spans="1:5" s="551" customFormat="1" ht="12" customHeight="1" x14ac:dyDescent="0.2">
      <c r="A50" s="535" t="s">
        <v>135</v>
      </c>
      <c r="B50" s="410" t="s">
        <v>136</v>
      </c>
      <c r="C50" s="402"/>
      <c r="D50" s="402"/>
      <c r="E50" s="385"/>
    </row>
    <row r="51" spans="1:5" s="551" customFormat="1" ht="12" customHeight="1" x14ac:dyDescent="0.2">
      <c r="A51" s="535" t="s">
        <v>137</v>
      </c>
      <c r="B51" s="410" t="s">
        <v>138</v>
      </c>
      <c r="C51" s="402"/>
      <c r="D51" s="402"/>
      <c r="E51" s="385"/>
    </row>
    <row r="52" spans="1:5" s="551" customFormat="1" ht="12" customHeight="1" thickBot="1" x14ac:dyDescent="0.25">
      <c r="A52" s="536" t="s">
        <v>139</v>
      </c>
      <c r="B52" s="411" t="s">
        <v>140</v>
      </c>
      <c r="C52" s="403"/>
      <c r="D52" s="403"/>
      <c r="E52" s="386"/>
    </row>
    <row r="53" spans="1:5" s="551" customFormat="1" ht="12" customHeight="1" thickBot="1" x14ac:dyDescent="0.3">
      <c r="A53" s="372" t="s">
        <v>141</v>
      </c>
      <c r="B53" s="368" t="s">
        <v>142</v>
      </c>
      <c r="C53" s="398">
        <f>SUM(C54:C56)</f>
        <v>0</v>
      </c>
      <c r="D53" s="398">
        <f>SUM(D54:D56)</f>
        <v>0</v>
      </c>
      <c r="E53" s="381">
        <f>SUM(E54:E56)</f>
        <v>0</v>
      </c>
    </row>
    <row r="54" spans="1:5" s="524" customFormat="1" ht="12" customHeight="1" x14ac:dyDescent="0.2">
      <c r="A54" s="534" t="s">
        <v>143</v>
      </c>
      <c r="B54" s="409" t="s">
        <v>144</v>
      </c>
      <c r="C54" s="400"/>
      <c r="D54" s="400"/>
      <c r="E54" s="383"/>
    </row>
    <row r="55" spans="1:5" s="524" customFormat="1" ht="12" customHeight="1" x14ac:dyDescent="0.2">
      <c r="A55" s="535" t="s">
        <v>145</v>
      </c>
      <c r="B55" s="410" t="s">
        <v>146</v>
      </c>
      <c r="C55" s="399"/>
      <c r="D55" s="399"/>
      <c r="E55" s="382"/>
    </row>
    <row r="56" spans="1:5" s="524" customFormat="1" ht="12" customHeight="1" x14ac:dyDescent="0.2">
      <c r="A56" s="535" t="s">
        <v>147</v>
      </c>
      <c r="B56" s="410" t="s">
        <v>148</v>
      </c>
      <c r="C56" s="399"/>
      <c r="D56" s="399"/>
      <c r="E56" s="382"/>
    </row>
    <row r="57" spans="1:5" s="524" customFormat="1" ht="12" customHeight="1" thickBot="1" x14ac:dyDescent="0.25">
      <c r="A57" s="536" t="s">
        <v>149</v>
      </c>
      <c r="B57" s="411" t="s">
        <v>150</v>
      </c>
      <c r="C57" s="401"/>
      <c r="D57" s="401"/>
      <c r="E57" s="384"/>
    </row>
    <row r="58" spans="1:5" s="551" customFormat="1" ht="12" customHeight="1" thickBot="1" x14ac:dyDescent="0.3">
      <c r="A58" s="372" t="s">
        <v>151</v>
      </c>
      <c r="B58" s="388" t="s">
        <v>152</v>
      </c>
      <c r="C58" s="398">
        <f>SUM(C59:C61)</f>
        <v>0</v>
      </c>
      <c r="D58" s="398">
        <f>SUM(D59:D61)</f>
        <v>0</v>
      </c>
      <c r="E58" s="381">
        <f>SUM(E59:E61)</f>
        <v>0</v>
      </c>
    </row>
    <row r="59" spans="1:5" s="551" customFormat="1" ht="12" customHeight="1" x14ac:dyDescent="0.2">
      <c r="A59" s="534" t="s">
        <v>153</v>
      </c>
      <c r="B59" s="409" t="s">
        <v>154</v>
      </c>
      <c r="C59" s="402"/>
      <c r="D59" s="402"/>
      <c r="E59" s="385"/>
    </row>
    <row r="60" spans="1:5" s="551" customFormat="1" ht="12" customHeight="1" x14ac:dyDescent="0.2">
      <c r="A60" s="535" t="s">
        <v>155</v>
      </c>
      <c r="B60" s="410" t="s">
        <v>428</v>
      </c>
      <c r="C60" s="402"/>
      <c r="D60" s="402"/>
      <c r="E60" s="385"/>
    </row>
    <row r="61" spans="1:5" s="551" customFormat="1" ht="12" customHeight="1" x14ac:dyDescent="0.2">
      <c r="A61" s="535" t="s">
        <v>157</v>
      </c>
      <c r="B61" s="410" t="s">
        <v>158</v>
      </c>
      <c r="C61" s="402"/>
      <c r="D61" s="402"/>
      <c r="E61" s="385"/>
    </row>
    <row r="62" spans="1:5" s="551" customFormat="1" ht="12" customHeight="1" thickBot="1" x14ac:dyDescent="0.25">
      <c r="A62" s="536" t="s">
        <v>159</v>
      </c>
      <c r="B62" s="411" t="s">
        <v>160</v>
      </c>
      <c r="C62" s="402"/>
      <c r="D62" s="402"/>
      <c r="E62" s="385"/>
    </row>
    <row r="63" spans="1:5" s="551" customFormat="1" ht="12" customHeight="1" thickBot="1" x14ac:dyDescent="0.3">
      <c r="A63" s="372" t="s">
        <v>161</v>
      </c>
      <c r="B63" s="368" t="s">
        <v>162</v>
      </c>
      <c r="C63" s="404">
        <f>+C8+C15+C22+C29+C36+C47+C53+C58</f>
        <v>0</v>
      </c>
      <c r="D63" s="404">
        <f>+D8+D15+D22+D29+D36+D47+D53+D58</f>
        <v>0</v>
      </c>
      <c r="E63" s="417">
        <f>+E8+E15+E22+E29+E36+E47+E53+E58</f>
        <v>0</v>
      </c>
    </row>
    <row r="64" spans="1:5" s="551" customFormat="1" ht="12" customHeight="1" thickBot="1" x14ac:dyDescent="0.25">
      <c r="A64" s="537" t="s">
        <v>429</v>
      </c>
      <c r="B64" s="388" t="s">
        <v>164</v>
      </c>
      <c r="C64" s="398">
        <f>SUM(C65:C67)</f>
        <v>0</v>
      </c>
      <c r="D64" s="398">
        <f>SUM(D65:D67)</f>
        <v>0</v>
      </c>
      <c r="E64" s="381">
        <f>SUM(E65:E67)</f>
        <v>0</v>
      </c>
    </row>
    <row r="65" spans="1:5" s="551" customFormat="1" ht="12" customHeight="1" x14ac:dyDescent="0.2">
      <c r="A65" s="534" t="s">
        <v>165</v>
      </c>
      <c r="B65" s="409" t="s">
        <v>166</v>
      </c>
      <c r="C65" s="402"/>
      <c r="D65" s="402"/>
      <c r="E65" s="385"/>
    </row>
    <row r="66" spans="1:5" s="551" customFormat="1" ht="12" customHeight="1" x14ac:dyDescent="0.2">
      <c r="A66" s="535" t="s">
        <v>167</v>
      </c>
      <c r="B66" s="410" t="s">
        <v>168</v>
      </c>
      <c r="C66" s="402"/>
      <c r="D66" s="402"/>
      <c r="E66" s="385"/>
    </row>
    <row r="67" spans="1:5" s="551" customFormat="1" ht="12" customHeight="1" thickBot="1" x14ac:dyDescent="0.25">
      <c r="A67" s="536" t="s">
        <v>169</v>
      </c>
      <c r="B67" s="530" t="s">
        <v>430</v>
      </c>
      <c r="C67" s="402"/>
      <c r="D67" s="402"/>
      <c r="E67" s="385"/>
    </row>
    <row r="68" spans="1:5" s="551" customFormat="1" ht="12" customHeight="1" thickBot="1" x14ac:dyDescent="0.25">
      <c r="A68" s="537" t="s">
        <v>171</v>
      </c>
      <c r="B68" s="388" t="s">
        <v>172</v>
      </c>
      <c r="C68" s="398">
        <f>SUM(C69:C72)</f>
        <v>0</v>
      </c>
      <c r="D68" s="398">
        <f>SUM(D69:D72)</f>
        <v>0</v>
      </c>
      <c r="E68" s="381">
        <f>SUM(E69:E72)</f>
        <v>0</v>
      </c>
    </row>
    <row r="69" spans="1:5" s="551" customFormat="1" ht="12" customHeight="1" x14ac:dyDescent="0.2">
      <c r="A69" s="534" t="s">
        <v>173</v>
      </c>
      <c r="B69" s="409" t="s">
        <v>174</v>
      </c>
      <c r="C69" s="402"/>
      <c r="D69" s="402"/>
      <c r="E69" s="385"/>
    </row>
    <row r="70" spans="1:5" s="551" customFormat="1" ht="12" customHeight="1" x14ac:dyDescent="0.2">
      <c r="A70" s="535" t="s">
        <v>175</v>
      </c>
      <c r="B70" s="410" t="s">
        <v>176</v>
      </c>
      <c r="C70" s="402"/>
      <c r="D70" s="402"/>
      <c r="E70" s="385"/>
    </row>
    <row r="71" spans="1:5" s="551" customFormat="1" ht="12" customHeight="1" x14ac:dyDescent="0.2">
      <c r="A71" s="535" t="s">
        <v>177</v>
      </c>
      <c r="B71" s="410" t="s">
        <v>178</v>
      </c>
      <c r="C71" s="402"/>
      <c r="D71" s="402"/>
      <c r="E71" s="385"/>
    </row>
    <row r="72" spans="1:5" s="551" customFormat="1" ht="12" customHeight="1" thickBot="1" x14ac:dyDescent="0.25">
      <c r="A72" s="536" t="s">
        <v>179</v>
      </c>
      <c r="B72" s="411" t="s">
        <v>180</v>
      </c>
      <c r="C72" s="402"/>
      <c r="D72" s="402"/>
      <c r="E72" s="385"/>
    </row>
    <row r="73" spans="1:5" s="551" customFormat="1" ht="12" customHeight="1" thickBot="1" x14ac:dyDescent="0.25">
      <c r="A73" s="537" t="s">
        <v>181</v>
      </c>
      <c r="B73" s="388" t="s">
        <v>182</v>
      </c>
      <c r="C73" s="398">
        <f>SUM(C74:C75)</f>
        <v>0</v>
      </c>
      <c r="D73" s="398">
        <f>SUM(D74:D75)</f>
        <v>0</v>
      </c>
      <c r="E73" s="381">
        <f>SUM(E74:E75)</f>
        <v>0</v>
      </c>
    </row>
    <row r="74" spans="1:5" s="551" customFormat="1" ht="12" customHeight="1" x14ac:dyDescent="0.2">
      <c r="A74" s="534" t="s">
        <v>183</v>
      </c>
      <c r="B74" s="409" t="s">
        <v>184</v>
      </c>
      <c r="C74" s="402"/>
      <c r="D74" s="402"/>
      <c r="E74" s="385"/>
    </row>
    <row r="75" spans="1:5" s="551" customFormat="1" ht="12" customHeight="1" thickBot="1" x14ac:dyDescent="0.25">
      <c r="A75" s="536" t="s">
        <v>185</v>
      </c>
      <c r="B75" s="411" t="s">
        <v>186</v>
      </c>
      <c r="C75" s="402"/>
      <c r="D75" s="402"/>
      <c r="E75" s="385"/>
    </row>
    <row r="76" spans="1:5" s="551" customFormat="1" ht="12" customHeight="1" thickBot="1" x14ac:dyDescent="0.25">
      <c r="A76" s="537" t="s">
        <v>187</v>
      </c>
      <c r="B76" s="388" t="s">
        <v>188</v>
      </c>
      <c r="C76" s="398">
        <f>SUM(C77:C79)</f>
        <v>0</v>
      </c>
      <c r="D76" s="398">
        <f>SUM(D77:D79)</f>
        <v>0</v>
      </c>
      <c r="E76" s="381">
        <f>SUM(E77:E79)</f>
        <v>0</v>
      </c>
    </row>
    <row r="77" spans="1:5" s="551" customFormat="1" ht="12" customHeight="1" x14ac:dyDescent="0.2">
      <c r="A77" s="534" t="s">
        <v>189</v>
      </c>
      <c r="B77" s="409" t="s">
        <v>190</v>
      </c>
      <c r="C77" s="402"/>
      <c r="D77" s="402"/>
      <c r="E77" s="385"/>
    </row>
    <row r="78" spans="1:5" s="551" customFormat="1" ht="12" customHeight="1" x14ac:dyDescent="0.2">
      <c r="A78" s="535" t="s">
        <v>191</v>
      </c>
      <c r="B78" s="410" t="s">
        <v>192</v>
      </c>
      <c r="C78" s="402"/>
      <c r="D78" s="402"/>
      <c r="E78" s="385"/>
    </row>
    <row r="79" spans="1:5" s="551" customFormat="1" ht="12" customHeight="1" thickBot="1" x14ac:dyDescent="0.25">
      <c r="A79" s="536" t="s">
        <v>193</v>
      </c>
      <c r="B79" s="411" t="s">
        <v>194</v>
      </c>
      <c r="C79" s="402"/>
      <c r="D79" s="402"/>
      <c r="E79" s="385"/>
    </row>
    <row r="80" spans="1:5" s="551" customFormat="1" ht="12" customHeight="1" thickBot="1" x14ac:dyDescent="0.25">
      <c r="A80" s="537" t="s">
        <v>195</v>
      </c>
      <c r="B80" s="388" t="s">
        <v>196</v>
      </c>
      <c r="C80" s="398">
        <f>SUM(C81:C84)</f>
        <v>0</v>
      </c>
      <c r="D80" s="398">
        <f>SUM(D81:D84)</f>
        <v>0</v>
      </c>
      <c r="E80" s="381">
        <f>SUM(E81:E84)</f>
        <v>0</v>
      </c>
    </row>
    <row r="81" spans="1:5" s="551" customFormat="1" ht="12" customHeight="1" x14ac:dyDescent="0.2">
      <c r="A81" s="538" t="s">
        <v>197</v>
      </c>
      <c r="B81" s="409" t="s">
        <v>198</v>
      </c>
      <c r="C81" s="402"/>
      <c r="D81" s="402"/>
      <c r="E81" s="385"/>
    </row>
    <row r="82" spans="1:5" s="551" customFormat="1" ht="12" customHeight="1" x14ac:dyDescent="0.2">
      <c r="A82" s="539" t="s">
        <v>199</v>
      </c>
      <c r="B82" s="410" t="s">
        <v>200</v>
      </c>
      <c r="C82" s="402"/>
      <c r="D82" s="402"/>
      <c r="E82" s="385"/>
    </row>
    <row r="83" spans="1:5" s="551" customFormat="1" ht="12" customHeight="1" x14ac:dyDescent="0.2">
      <c r="A83" s="539" t="s">
        <v>201</v>
      </c>
      <c r="B83" s="410" t="s">
        <v>202</v>
      </c>
      <c r="C83" s="402"/>
      <c r="D83" s="402"/>
      <c r="E83" s="385"/>
    </row>
    <row r="84" spans="1:5" s="551" customFormat="1" ht="12" customHeight="1" thickBot="1" x14ac:dyDescent="0.25">
      <c r="A84" s="540" t="s">
        <v>203</v>
      </c>
      <c r="B84" s="411" t="s">
        <v>204</v>
      </c>
      <c r="C84" s="402"/>
      <c r="D84" s="402"/>
      <c r="E84" s="385"/>
    </row>
    <row r="85" spans="1:5" s="551" customFormat="1" ht="12" customHeight="1" thickBot="1" x14ac:dyDescent="0.25">
      <c r="A85" s="537" t="s">
        <v>205</v>
      </c>
      <c r="B85" s="388" t="s">
        <v>206</v>
      </c>
      <c r="C85" s="425"/>
      <c r="D85" s="425"/>
      <c r="E85" s="426"/>
    </row>
    <row r="86" spans="1:5" s="551" customFormat="1" ht="12" customHeight="1" thickBot="1" x14ac:dyDescent="0.25">
      <c r="A86" s="537" t="s">
        <v>207</v>
      </c>
      <c r="B86" s="531" t="s">
        <v>208</v>
      </c>
      <c r="C86" s="404">
        <f>+C64+C68+C73+C76+C80+C85</f>
        <v>0</v>
      </c>
      <c r="D86" s="404">
        <f>+D64+D68+D73+D76+D80+D85</f>
        <v>0</v>
      </c>
      <c r="E86" s="417">
        <f>+E64+E68+E73+E76+E80+E85</f>
        <v>0</v>
      </c>
    </row>
    <row r="87" spans="1:5" s="551" customFormat="1" ht="12" customHeight="1" thickBot="1" x14ac:dyDescent="0.25">
      <c r="A87" s="541" t="s">
        <v>209</v>
      </c>
      <c r="B87" s="532" t="s">
        <v>431</v>
      </c>
      <c r="C87" s="404">
        <f>+C63+C86</f>
        <v>0</v>
      </c>
      <c r="D87" s="404">
        <f>+D63+D86</f>
        <v>0</v>
      </c>
      <c r="E87" s="417">
        <f>+E63+E86</f>
        <v>0</v>
      </c>
    </row>
    <row r="88" spans="1:5" s="551" customFormat="1" ht="15" customHeight="1" x14ac:dyDescent="0.25">
      <c r="A88" s="506"/>
      <c r="B88" s="507"/>
      <c r="C88" s="522"/>
      <c r="D88" s="522"/>
      <c r="E88" s="522"/>
    </row>
    <row r="89" spans="1:5" ht="13.8" thickBot="1" x14ac:dyDescent="0.3">
      <c r="A89" s="508"/>
      <c r="B89" s="509"/>
      <c r="C89" s="523"/>
      <c r="D89" s="523"/>
      <c r="E89" s="523"/>
    </row>
    <row r="90" spans="1:5" s="550" customFormat="1" ht="16.5" customHeight="1" thickBot="1" x14ac:dyDescent="0.3">
      <c r="A90" s="1728" t="s">
        <v>292</v>
      </c>
      <c r="B90" s="1729"/>
      <c r="C90" s="1729"/>
      <c r="D90" s="1729"/>
      <c r="E90" s="1730"/>
    </row>
    <row r="91" spans="1:5" s="333" customFormat="1" ht="12" customHeight="1" thickBot="1" x14ac:dyDescent="0.3">
      <c r="A91" s="529" t="s">
        <v>51</v>
      </c>
      <c r="B91" s="371" t="s">
        <v>288</v>
      </c>
      <c r="C91" s="513">
        <f>SUM(C92:C96)</f>
        <v>0</v>
      </c>
      <c r="D91" s="513">
        <f>SUM(D92:D96)</f>
        <v>0</v>
      </c>
      <c r="E91" s="513">
        <f>SUM(E92:E96)</f>
        <v>0</v>
      </c>
    </row>
    <row r="92" spans="1:5" ht="12" customHeight="1" x14ac:dyDescent="0.25">
      <c r="A92" s="542" t="s">
        <v>53</v>
      </c>
      <c r="B92" s="357" t="s">
        <v>215</v>
      </c>
      <c r="C92" s="514"/>
      <c r="D92" s="514"/>
      <c r="E92" s="514"/>
    </row>
    <row r="93" spans="1:5" ht="12" customHeight="1" x14ac:dyDescent="0.25">
      <c r="A93" s="535" t="s">
        <v>55</v>
      </c>
      <c r="B93" s="355" t="s">
        <v>216</v>
      </c>
      <c r="C93" s="515"/>
      <c r="D93" s="515"/>
      <c r="E93" s="515"/>
    </row>
    <row r="94" spans="1:5" ht="12" customHeight="1" x14ac:dyDescent="0.25">
      <c r="A94" s="535" t="s">
        <v>57</v>
      </c>
      <c r="B94" s="355" t="s">
        <v>217</v>
      </c>
      <c r="C94" s="517"/>
      <c r="D94" s="517"/>
      <c r="E94" s="517"/>
    </row>
    <row r="95" spans="1:5" ht="12" customHeight="1" x14ac:dyDescent="0.25">
      <c r="A95" s="535" t="s">
        <v>59</v>
      </c>
      <c r="B95" s="358" t="s">
        <v>218</v>
      </c>
      <c r="C95" s="517"/>
      <c r="D95" s="517"/>
      <c r="E95" s="517"/>
    </row>
    <row r="96" spans="1:5" ht="12" customHeight="1" x14ac:dyDescent="0.25">
      <c r="A96" s="535" t="s">
        <v>219</v>
      </c>
      <c r="B96" s="366" t="s">
        <v>220</v>
      </c>
      <c r="C96" s="517"/>
      <c r="D96" s="517"/>
      <c r="E96" s="517"/>
    </row>
    <row r="97" spans="1:5" ht="12" customHeight="1" x14ac:dyDescent="0.25">
      <c r="A97" s="535" t="s">
        <v>63</v>
      </c>
      <c r="B97" s="355" t="s">
        <v>221</v>
      </c>
      <c r="C97" s="517"/>
      <c r="D97" s="517"/>
      <c r="E97" s="517"/>
    </row>
    <row r="98" spans="1:5" ht="12" customHeight="1" x14ac:dyDescent="0.2">
      <c r="A98" s="535" t="s">
        <v>222</v>
      </c>
      <c r="B98" s="377" t="s">
        <v>223</v>
      </c>
      <c r="C98" s="517"/>
      <c r="D98" s="517"/>
      <c r="E98" s="517"/>
    </row>
    <row r="99" spans="1:5" ht="12" customHeight="1" x14ac:dyDescent="0.25">
      <c r="A99" s="535" t="s">
        <v>224</v>
      </c>
      <c r="B99" s="378" t="s">
        <v>225</v>
      </c>
      <c r="C99" s="517"/>
      <c r="D99" s="517"/>
      <c r="E99" s="517"/>
    </row>
    <row r="100" spans="1:5" ht="12" customHeight="1" x14ac:dyDescent="0.25">
      <c r="A100" s="535" t="s">
        <v>226</v>
      </c>
      <c r="B100" s="378" t="s">
        <v>227</v>
      </c>
      <c r="C100" s="517"/>
      <c r="D100" s="517"/>
      <c r="E100" s="517"/>
    </row>
    <row r="101" spans="1:5" ht="12" customHeight="1" x14ac:dyDescent="0.2">
      <c r="A101" s="535" t="s">
        <v>228</v>
      </c>
      <c r="B101" s="377" t="s">
        <v>229</v>
      </c>
      <c r="C101" s="517"/>
      <c r="D101" s="517"/>
      <c r="E101" s="517"/>
    </row>
    <row r="102" spans="1:5" ht="12" customHeight="1" x14ac:dyDescent="0.2">
      <c r="A102" s="535" t="s">
        <v>230</v>
      </c>
      <c r="B102" s="377" t="s">
        <v>231</v>
      </c>
      <c r="C102" s="517"/>
      <c r="D102" s="517"/>
      <c r="E102" s="517"/>
    </row>
    <row r="103" spans="1:5" ht="12" customHeight="1" x14ac:dyDescent="0.25">
      <c r="A103" s="535" t="s">
        <v>232</v>
      </c>
      <c r="B103" s="378" t="s">
        <v>233</v>
      </c>
      <c r="C103" s="517"/>
      <c r="D103" s="517"/>
      <c r="E103" s="517"/>
    </row>
    <row r="104" spans="1:5" ht="12" customHeight="1" x14ac:dyDescent="0.25">
      <c r="A104" s="543" t="s">
        <v>234</v>
      </c>
      <c r="B104" s="379" t="s">
        <v>235</v>
      </c>
      <c r="C104" s="517"/>
      <c r="D104" s="517"/>
      <c r="E104" s="517"/>
    </row>
    <row r="105" spans="1:5" ht="12" customHeight="1" x14ac:dyDescent="0.25">
      <c r="A105" s="535" t="s">
        <v>236</v>
      </c>
      <c r="B105" s="379" t="s">
        <v>237</v>
      </c>
      <c r="C105" s="517"/>
      <c r="D105" s="517"/>
      <c r="E105" s="517"/>
    </row>
    <row r="106" spans="1:5" s="333" customFormat="1" ht="12" customHeight="1" thickBot="1" x14ac:dyDescent="0.3">
      <c r="A106" s="544" t="s">
        <v>238</v>
      </c>
      <c r="B106" s="380" t="s">
        <v>239</v>
      </c>
      <c r="C106" s="519"/>
      <c r="D106" s="519"/>
      <c r="E106" s="519"/>
    </row>
    <row r="107" spans="1:5" ht="12" customHeight="1" thickBot="1" x14ac:dyDescent="0.3">
      <c r="A107" s="372" t="s">
        <v>65</v>
      </c>
      <c r="B107" s="370" t="s">
        <v>289</v>
      </c>
      <c r="C107" s="392">
        <f>+C108+C110+C112</f>
        <v>0</v>
      </c>
      <c r="D107" s="392">
        <f>+D108+D110+D112</f>
        <v>0</v>
      </c>
      <c r="E107" s="392">
        <f>+E108+E110+E112</f>
        <v>0</v>
      </c>
    </row>
    <row r="108" spans="1:5" ht="12" customHeight="1" x14ac:dyDescent="0.25">
      <c r="A108" s="534" t="s">
        <v>67</v>
      </c>
      <c r="B108" s="355" t="s">
        <v>241</v>
      </c>
      <c r="C108" s="516"/>
      <c r="D108" s="516"/>
      <c r="E108" s="516"/>
    </row>
    <row r="109" spans="1:5" ht="12" customHeight="1" x14ac:dyDescent="0.25">
      <c r="A109" s="534" t="s">
        <v>69</v>
      </c>
      <c r="B109" s="359" t="s">
        <v>242</v>
      </c>
      <c r="C109" s="516"/>
      <c r="D109" s="516"/>
      <c r="E109" s="516"/>
    </row>
    <row r="110" spans="1:5" ht="12" customHeight="1" x14ac:dyDescent="0.25">
      <c r="A110" s="534" t="s">
        <v>71</v>
      </c>
      <c r="B110" s="359" t="s">
        <v>243</v>
      </c>
      <c r="C110" s="515"/>
      <c r="D110" s="515"/>
      <c r="E110" s="515"/>
    </row>
    <row r="111" spans="1:5" ht="12" customHeight="1" x14ac:dyDescent="0.25">
      <c r="A111" s="534" t="s">
        <v>73</v>
      </c>
      <c r="B111" s="359" t="s">
        <v>244</v>
      </c>
      <c r="C111" s="382"/>
      <c r="D111" s="382"/>
      <c r="E111" s="382"/>
    </row>
    <row r="112" spans="1:5" ht="12" customHeight="1" x14ac:dyDescent="0.25">
      <c r="A112" s="534" t="s">
        <v>75</v>
      </c>
      <c r="B112" s="390" t="s">
        <v>245</v>
      </c>
      <c r="C112" s="382"/>
      <c r="D112" s="382"/>
      <c r="E112" s="382"/>
    </row>
    <row r="113" spans="1:5" ht="12" customHeight="1" x14ac:dyDescent="0.25">
      <c r="A113" s="534" t="s">
        <v>77</v>
      </c>
      <c r="B113" s="389" t="s">
        <v>246</v>
      </c>
      <c r="C113" s="382"/>
      <c r="D113" s="382"/>
      <c r="E113" s="382"/>
    </row>
    <row r="114" spans="1:5" ht="12" customHeight="1" x14ac:dyDescent="0.25">
      <c r="A114" s="534" t="s">
        <v>247</v>
      </c>
      <c r="B114" s="405" t="s">
        <v>248</v>
      </c>
      <c r="C114" s="382"/>
      <c r="D114" s="382"/>
      <c r="E114" s="382"/>
    </row>
    <row r="115" spans="1:5" ht="12" customHeight="1" x14ac:dyDescent="0.25">
      <c r="A115" s="534" t="s">
        <v>249</v>
      </c>
      <c r="B115" s="378" t="s">
        <v>227</v>
      </c>
      <c r="C115" s="382"/>
      <c r="D115" s="382"/>
      <c r="E115" s="382"/>
    </row>
    <row r="116" spans="1:5" ht="12" customHeight="1" x14ac:dyDescent="0.25">
      <c r="A116" s="534" t="s">
        <v>250</v>
      </c>
      <c r="B116" s="378" t="s">
        <v>251</v>
      </c>
      <c r="C116" s="382"/>
      <c r="D116" s="382"/>
      <c r="E116" s="382"/>
    </row>
    <row r="117" spans="1:5" ht="12" customHeight="1" x14ac:dyDescent="0.25">
      <c r="A117" s="534" t="s">
        <v>252</v>
      </c>
      <c r="B117" s="378" t="s">
        <v>253</v>
      </c>
      <c r="C117" s="382"/>
      <c r="D117" s="382"/>
      <c r="E117" s="382"/>
    </row>
    <row r="118" spans="1:5" ht="12" customHeight="1" x14ac:dyDescent="0.25">
      <c r="A118" s="534" t="s">
        <v>254</v>
      </c>
      <c r="B118" s="378" t="s">
        <v>233</v>
      </c>
      <c r="C118" s="382"/>
      <c r="D118" s="382"/>
      <c r="E118" s="382"/>
    </row>
    <row r="119" spans="1:5" ht="12" customHeight="1" x14ac:dyDescent="0.25">
      <c r="A119" s="534" t="s">
        <v>255</v>
      </c>
      <c r="B119" s="378" t="s">
        <v>256</v>
      </c>
      <c r="C119" s="382"/>
      <c r="D119" s="382"/>
      <c r="E119" s="382"/>
    </row>
    <row r="120" spans="1:5" ht="12" customHeight="1" thickBot="1" x14ac:dyDescent="0.3">
      <c r="A120" s="543" t="s">
        <v>257</v>
      </c>
      <c r="B120" s="378" t="s">
        <v>258</v>
      </c>
      <c r="C120" s="384"/>
      <c r="D120" s="384"/>
      <c r="E120" s="384"/>
    </row>
    <row r="121" spans="1:5" ht="12" customHeight="1" thickBot="1" x14ac:dyDescent="0.3">
      <c r="A121" s="372" t="s">
        <v>79</v>
      </c>
      <c r="B121" s="375" t="s">
        <v>259</v>
      </c>
      <c r="C121" s="392">
        <f>+C122+C123</f>
        <v>0</v>
      </c>
      <c r="D121" s="392">
        <f>+D122+D123</f>
        <v>0</v>
      </c>
      <c r="E121" s="392">
        <f>+E122+E123</f>
        <v>0</v>
      </c>
    </row>
    <row r="122" spans="1:5" ht="12" customHeight="1" x14ac:dyDescent="0.25">
      <c r="A122" s="534" t="s">
        <v>81</v>
      </c>
      <c r="B122" s="356" t="s">
        <v>260</v>
      </c>
      <c r="C122" s="516"/>
      <c r="D122" s="516"/>
      <c r="E122" s="516"/>
    </row>
    <row r="123" spans="1:5" ht="12" customHeight="1" thickBot="1" x14ac:dyDescent="0.3">
      <c r="A123" s="536" t="s">
        <v>83</v>
      </c>
      <c r="B123" s="359" t="s">
        <v>261</v>
      </c>
      <c r="C123" s="517"/>
      <c r="D123" s="517"/>
      <c r="E123" s="517"/>
    </row>
    <row r="124" spans="1:5" ht="12" customHeight="1" thickBot="1" x14ac:dyDescent="0.3">
      <c r="A124" s="372" t="s">
        <v>262</v>
      </c>
      <c r="B124" s="375" t="s">
        <v>263</v>
      </c>
      <c r="C124" s="392">
        <f>+C91+C107+C121</f>
        <v>0</v>
      </c>
      <c r="D124" s="392">
        <f>+D91+D107+D121</f>
        <v>0</v>
      </c>
      <c r="E124" s="392">
        <f>+E91+E107+E121</f>
        <v>0</v>
      </c>
    </row>
    <row r="125" spans="1:5" ht="12" customHeight="1" thickBot="1" x14ac:dyDescent="0.3">
      <c r="A125" s="372" t="s">
        <v>107</v>
      </c>
      <c r="B125" s="375" t="s">
        <v>432</v>
      </c>
      <c r="C125" s="392">
        <f>+C126+C127+C128</f>
        <v>0</v>
      </c>
      <c r="D125" s="392">
        <f>+D126+D127+D128</f>
        <v>0</v>
      </c>
      <c r="E125" s="392">
        <f>+E126+E127+E128</f>
        <v>0</v>
      </c>
    </row>
    <row r="126" spans="1:5" ht="12" customHeight="1" x14ac:dyDescent="0.25">
      <c r="A126" s="534" t="s">
        <v>109</v>
      </c>
      <c r="B126" s="356" t="s">
        <v>265</v>
      </c>
      <c r="C126" s="382"/>
      <c r="D126" s="382"/>
      <c r="E126" s="382"/>
    </row>
    <row r="127" spans="1:5" ht="12" customHeight="1" x14ac:dyDescent="0.25">
      <c r="A127" s="534" t="s">
        <v>111</v>
      </c>
      <c r="B127" s="356" t="s">
        <v>266</v>
      </c>
      <c r="C127" s="382"/>
      <c r="D127" s="382"/>
      <c r="E127" s="382"/>
    </row>
    <row r="128" spans="1:5" ht="12" customHeight="1" thickBot="1" x14ac:dyDescent="0.3">
      <c r="A128" s="543" t="s">
        <v>113</v>
      </c>
      <c r="B128" s="354" t="s">
        <v>267</v>
      </c>
      <c r="C128" s="382"/>
      <c r="D128" s="382"/>
      <c r="E128" s="382"/>
    </row>
    <row r="129" spans="1:11" ht="12" customHeight="1" thickBot="1" x14ac:dyDescent="0.3">
      <c r="A129" s="372" t="s">
        <v>129</v>
      </c>
      <c r="B129" s="375" t="s">
        <v>268</v>
      </c>
      <c r="C129" s="392">
        <f>+C130+C131+C132+C133</f>
        <v>0</v>
      </c>
      <c r="D129" s="392">
        <f>+D130+D131+D132+D133</f>
        <v>0</v>
      </c>
      <c r="E129" s="392">
        <f>+E130+E131+E132+E133</f>
        <v>0</v>
      </c>
    </row>
    <row r="130" spans="1:11" ht="12" customHeight="1" x14ac:dyDescent="0.25">
      <c r="A130" s="534" t="s">
        <v>131</v>
      </c>
      <c r="B130" s="356" t="s">
        <v>269</v>
      </c>
      <c r="C130" s="382"/>
      <c r="D130" s="382"/>
      <c r="E130" s="382"/>
    </row>
    <row r="131" spans="1:11" ht="12" customHeight="1" x14ac:dyDescent="0.25">
      <c r="A131" s="534" t="s">
        <v>133</v>
      </c>
      <c r="B131" s="356" t="s">
        <v>270</v>
      </c>
      <c r="C131" s="382"/>
      <c r="D131" s="382"/>
      <c r="E131" s="382"/>
    </row>
    <row r="132" spans="1:11" ht="12" customHeight="1" x14ac:dyDescent="0.25">
      <c r="A132" s="534" t="s">
        <v>135</v>
      </c>
      <c r="B132" s="356" t="s">
        <v>271</v>
      </c>
      <c r="C132" s="382"/>
      <c r="D132" s="382"/>
      <c r="E132" s="382"/>
    </row>
    <row r="133" spans="1:11" s="333" customFormat="1" ht="12" customHeight="1" thickBot="1" x14ac:dyDescent="0.3">
      <c r="A133" s="543" t="s">
        <v>137</v>
      </c>
      <c r="B133" s="354" t="s">
        <v>272</v>
      </c>
      <c r="C133" s="382"/>
      <c r="D133" s="382"/>
      <c r="E133" s="382"/>
    </row>
    <row r="134" spans="1:11" ht="13.8" thickBot="1" x14ac:dyDescent="0.3">
      <c r="A134" s="372" t="s">
        <v>273</v>
      </c>
      <c r="B134" s="375" t="s">
        <v>433</v>
      </c>
      <c r="C134" s="518">
        <f>+C135+C136+C138+C139+C137</f>
        <v>0</v>
      </c>
      <c r="D134" s="518">
        <f>+D135+D136+D138+D139+D137</f>
        <v>0</v>
      </c>
      <c r="E134" s="518">
        <f>+E135+E136+E138+E139+E137</f>
        <v>0</v>
      </c>
      <c r="K134" s="497"/>
    </row>
    <row r="135" spans="1:11" x14ac:dyDescent="0.25">
      <c r="A135" s="534" t="s">
        <v>143</v>
      </c>
      <c r="B135" s="356" t="s">
        <v>275</v>
      </c>
      <c r="C135" s="382"/>
      <c r="D135" s="382"/>
      <c r="E135" s="382"/>
    </row>
    <row r="136" spans="1:11" ht="12" customHeight="1" x14ac:dyDescent="0.25">
      <c r="A136" s="534" t="s">
        <v>145</v>
      </c>
      <c r="B136" s="356" t="s">
        <v>276</v>
      </c>
      <c r="C136" s="382"/>
      <c r="D136" s="382"/>
      <c r="E136" s="382"/>
    </row>
    <row r="137" spans="1:11" ht="12" customHeight="1" x14ac:dyDescent="0.25">
      <c r="A137" s="534" t="s">
        <v>147</v>
      </c>
      <c r="B137" s="356" t="s">
        <v>434</v>
      </c>
      <c r="C137" s="382"/>
      <c r="D137" s="382"/>
      <c r="E137" s="382"/>
    </row>
    <row r="138" spans="1:11" s="333" customFormat="1" ht="12" customHeight="1" x14ac:dyDescent="0.25">
      <c r="A138" s="534" t="s">
        <v>149</v>
      </c>
      <c r="B138" s="356" t="s">
        <v>277</v>
      </c>
      <c r="C138" s="382"/>
      <c r="D138" s="382"/>
      <c r="E138" s="382"/>
    </row>
    <row r="139" spans="1:11" s="333" customFormat="1" ht="12" customHeight="1" thickBot="1" x14ac:dyDescent="0.3">
      <c r="A139" s="543" t="s">
        <v>435</v>
      </c>
      <c r="B139" s="354" t="s">
        <v>278</v>
      </c>
      <c r="C139" s="382"/>
      <c r="D139" s="382"/>
      <c r="E139" s="382"/>
    </row>
    <row r="140" spans="1:11" s="333" customFormat="1" ht="12" customHeight="1" thickBot="1" x14ac:dyDescent="0.3">
      <c r="A140" s="372" t="s">
        <v>151</v>
      </c>
      <c r="B140" s="375" t="s">
        <v>436</v>
      </c>
      <c r="C140" s="520">
        <f>+C141+C142+C143+C144</f>
        <v>0</v>
      </c>
      <c r="D140" s="520">
        <f>+D141+D142+D143+D144</f>
        <v>0</v>
      </c>
      <c r="E140" s="520">
        <f>+E141+E142+E143+E144</f>
        <v>0</v>
      </c>
    </row>
    <row r="141" spans="1:11" s="333" customFormat="1" ht="12" customHeight="1" x14ac:dyDescent="0.25">
      <c r="A141" s="534" t="s">
        <v>153</v>
      </c>
      <c r="B141" s="356" t="s">
        <v>280</v>
      </c>
      <c r="C141" s="382"/>
      <c r="D141" s="382"/>
      <c r="E141" s="382"/>
    </row>
    <row r="142" spans="1:11" s="333" customFormat="1" ht="12" customHeight="1" x14ac:dyDescent="0.25">
      <c r="A142" s="534" t="s">
        <v>155</v>
      </c>
      <c r="B142" s="356" t="s">
        <v>281</v>
      </c>
      <c r="C142" s="382"/>
      <c r="D142" s="382"/>
      <c r="E142" s="382"/>
    </row>
    <row r="143" spans="1:11" s="333" customFormat="1" ht="12" customHeight="1" x14ac:dyDescent="0.25">
      <c r="A143" s="534" t="s">
        <v>157</v>
      </c>
      <c r="B143" s="356" t="s">
        <v>282</v>
      </c>
      <c r="C143" s="382"/>
      <c r="D143" s="382"/>
      <c r="E143" s="382"/>
    </row>
    <row r="144" spans="1:11" ht="12.75" customHeight="1" thickBot="1" x14ac:dyDescent="0.3">
      <c r="A144" s="534" t="s">
        <v>159</v>
      </c>
      <c r="B144" s="356" t="s">
        <v>283</v>
      </c>
      <c r="C144" s="382"/>
      <c r="D144" s="382"/>
      <c r="E144" s="382"/>
    </row>
    <row r="145" spans="1:5" ht="12" customHeight="1" thickBot="1" x14ac:dyDescent="0.3">
      <c r="A145" s="372" t="s">
        <v>161</v>
      </c>
      <c r="B145" s="375" t="s">
        <v>284</v>
      </c>
      <c r="C145" s="533">
        <f>+C125+C129+C134+C140</f>
        <v>0</v>
      </c>
      <c r="D145" s="533">
        <f>+D125+D129+D134+D140</f>
        <v>0</v>
      </c>
      <c r="E145" s="533">
        <f>+E125+E129+E134+E140</f>
        <v>0</v>
      </c>
    </row>
    <row r="146" spans="1:5" ht="15" customHeight="1" thickBot="1" x14ac:dyDescent="0.3">
      <c r="A146" s="545" t="s">
        <v>285</v>
      </c>
      <c r="B146" s="394" t="s">
        <v>286</v>
      </c>
      <c r="C146" s="533">
        <f>+C124+C145</f>
        <v>0</v>
      </c>
      <c r="D146" s="533">
        <f>+D124+D145</f>
        <v>0</v>
      </c>
      <c r="E146" s="533">
        <f>+E124+E145</f>
        <v>0</v>
      </c>
    </row>
    <row r="147" spans="1:5" ht="13.8" thickBot="1" x14ac:dyDescent="0.3">
      <c r="A147" s="667"/>
      <c r="B147" s="668"/>
      <c r="C147" s="669"/>
      <c r="D147" s="669"/>
      <c r="E147" s="669"/>
    </row>
    <row r="148" spans="1:5" ht="15" customHeight="1" thickBot="1" x14ac:dyDescent="0.3">
      <c r="A148" s="510" t="s">
        <v>437</v>
      </c>
      <c r="B148" s="511"/>
      <c r="C148" s="107"/>
      <c r="D148" s="108"/>
      <c r="E148" s="105"/>
    </row>
    <row r="149" spans="1:5" ht="14.25" customHeight="1" thickBot="1" x14ac:dyDescent="0.3">
      <c r="A149" s="510" t="s">
        <v>438</v>
      </c>
      <c r="B149" s="511"/>
      <c r="C149" s="107"/>
      <c r="D149" s="108"/>
      <c r="E149" s="105"/>
    </row>
  </sheetData>
  <sheetProtection sheet="1" objects="1" scenarios="1" formatCells="0"/>
  <mergeCells count="4">
    <mergeCell ref="B2:D2"/>
    <mergeCell ref="B3:D3"/>
    <mergeCell ref="A7:E7"/>
    <mergeCell ref="A90:E90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58" orientation="portrait" verticalDpi="300" r:id="rId1"/>
  <headerFooter alignWithMargins="0"/>
  <rowBreaks count="1" manualBreakCount="1">
    <brk id="87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92D050"/>
  </sheetPr>
  <dimension ref="A1:K149"/>
  <sheetViews>
    <sheetView view="pageBreakPreview" zoomScaleNormal="100" zoomScaleSheetLayoutView="100" workbookViewId="0">
      <selection activeCell="E134" sqref="E134"/>
    </sheetView>
  </sheetViews>
  <sheetFormatPr defaultColWidth="9.33203125" defaultRowHeight="13.2" x14ac:dyDescent="0.25"/>
  <cols>
    <col min="1" max="1" width="14.77734375" style="525" customWidth="1"/>
    <col min="2" max="2" width="65.33203125" style="526" customWidth="1"/>
    <col min="3" max="5" width="17" style="527" customWidth="1"/>
    <col min="6" max="16384" width="9.33203125" style="32"/>
  </cols>
  <sheetData>
    <row r="1" spans="1:5" s="501" customFormat="1" ht="16.5" customHeight="1" thickBot="1" x14ac:dyDescent="0.3">
      <c r="A1" s="500"/>
      <c r="B1" s="502"/>
      <c r="C1" s="547"/>
      <c r="D1" s="512"/>
      <c r="E1" s="547" t="str">
        <f>+CONCATENATE("6.4. melléklet a ……/",LEFT(ÖSSZEFÜGGÉSEK!A4,4)+1,". (……) önkormányzati rendelethez")</f>
        <v>6.4. melléklet a ……/2017. (……) önkormányzati rendelethez</v>
      </c>
    </row>
    <row r="2" spans="1:5" s="548" customFormat="1" ht="15.75" customHeight="1" x14ac:dyDescent="0.25">
      <c r="A2" s="528" t="s">
        <v>293</v>
      </c>
      <c r="B2" s="1731" t="s">
        <v>421</v>
      </c>
      <c r="C2" s="1732"/>
      <c r="D2" s="1733"/>
      <c r="E2" s="521" t="s">
        <v>422</v>
      </c>
    </row>
    <row r="3" spans="1:5" s="548" customFormat="1" ht="23.4" thickBot="1" x14ac:dyDescent="0.3">
      <c r="A3" s="546" t="s">
        <v>423</v>
      </c>
      <c r="B3" s="1734" t="s">
        <v>444</v>
      </c>
      <c r="C3" s="1735"/>
      <c r="D3" s="1736"/>
      <c r="E3" s="496" t="s">
        <v>445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50" customFormat="1" ht="12" customHeight="1" thickBot="1" x14ac:dyDescent="0.3">
      <c r="A8" s="372" t="s">
        <v>51</v>
      </c>
      <c r="B8" s="368" t="s">
        <v>52</v>
      </c>
      <c r="C8" s="398">
        <f>SUM(C9:C14)</f>
        <v>0</v>
      </c>
      <c r="D8" s="398">
        <f>SUM(D9:D14)</f>
        <v>0</v>
      </c>
      <c r="E8" s="381">
        <f>SUM(E9:E14)</f>
        <v>0</v>
      </c>
    </row>
    <row r="9" spans="1:5" s="524" customFormat="1" ht="12" customHeight="1" x14ac:dyDescent="0.2">
      <c r="A9" s="534" t="s">
        <v>53</v>
      </c>
      <c r="B9" s="409" t="s">
        <v>54</v>
      </c>
      <c r="C9" s="400"/>
      <c r="D9" s="400"/>
      <c r="E9" s="383"/>
    </row>
    <row r="10" spans="1:5" s="551" customFormat="1" ht="12" customHeight="1" x14ac:dyDescent="0.2">
      <c r="A10" s="535" t="s">
        <v>55</v>
      </c>
      <c r="B10" s="410" t="s">
        <v>56</v>
      </c>
      <c r="C10" s="399"/>
      <c r="D10" s="399"/>
      <c r="E10" s="382"/>
    </row>
    <row r="11" spans="1:5" s="551" customFormat="1" ht="12" customHeight="1" x14ac:dyDescent="0.2">
      <c r="A11" s="535" t="s">
        <v>57</v>
      </c>
      <c r="B11" s="410" t="s">
        <v>58</v>
      </c>
      <c r="C11" s="399"/>
      <c r="D11" s="399"/>
      <c r="E11" s="382"/>
    </row>
    <row r="12" spans="1:5" s="551" customFormat="1" ht="12" customHeight="1" x14ac:dyDescent="0.2">
      <c r="A12" s="535" t="s">
        <v>59</v>
      </c>
      <c r="B12" s="410" t="s">
        <v>60</v>
      </c>
      <c r="C12" s="399"/>
      <c r="D12" s="399"/>
      <c r="E12" s="382"/>
    </row>
    <row r="13" spans="1:5" s="551" customFormat="1" ht="12" customHeight="1" x14ac:dyDescent="0.2">
      <c r="A13" s="535" t="s">
        <v>61</v>
      </c>
      <c r="B13" s="410" t="s">
        <v>287</v>
      </c>
      <c r="C13" s="399"/>
      <c r="D13" s="399"/>
      <c r="E13" s="382"/>
    </row>
    <row r="14" spans="1:5" s="524" customFormat="1" ht="12" customHeight="1" thickBot="1" x14ac:dyDescent="0.25">
      <c r="A14" s="536" t="s">
        <v>63</v>
      </c>
      <c r="B14" s="411" t="s">
        <v>64</v>
      </c>
      <c r="C14" s="401"/>
      <c r="D14" s="401"/>
      <c r="E14" s="384"/>
    </row>
    <row r="15" spans="1:5" s="524" customFormat="1" ht="12" customHeight="1" thickBot="1" x14ac:dyDescent="0.3">
      <c r="A15" s="372" t="s">
        <v>65</v>
      </c>
      <c r="B15" s="388" t="s">
        <v>66</v>
      </c>
      <c r="C15" s="398">
        <f>SUM(C16:C20)</f>
        <v>0</v>
      </c>
      <c r="D15" s="398">
        <f>SUM(D16:D20)</f>
        <v>0</v>
      </c>
      <c r="E15" s="381">
        <f>SUM(E16:E20)</f>
        <v>0</v>
      </c>
    </row>
    <row r="16" spans="1:5" s="524" customFormat="1" ht="12" customHeight="1" x14ac:dyDescent="0.2">
      <c r="A16" s="534" t="s">
        <v>67</v>
      </c>
      <c r="B16" s="409" t="s">
        <v>68</v>
      </c>
      <c r="C16" s="400"/>
      <c r="D16" s="400"/>
      <c r="E16" s="383"/>
    </row>
    <row r="17" spans="1:5" s="524" customFormat="1" ht="12" customHeight="1" x14ac:dyDescent="0.2">
      <c r="A17" s="535" t="s">
        <v>69</v>
      </c>
      <c r="B17" s="410" t="s">
        <v>70</v>
      </c>
      <c r="C17" s="399"/>
      <c r="D17" s="399"/>
      <c r="E17" s="382"/>
    </row>
    <row r="18" spans="1:5" s="524" customFormat="1" ht="12" customHeight="1" x14ac:dyDescent="0.2">
      <c r="A18" s="535" t="s">
        <v>71</v>
      </c>
      <c r="B18" s="410" t="s">
        <v>72</v>
      </c>
      <c r="C18" s="399"/>
      <c r="D18" s="399"/>
      <c r="E18" s="382"/>
    </row>
    <row r="19" spans="1:5" s="524" customFormat="1" ht="12" customHeight="1" x14ac:dyDescent="0.2">
      <c r="A19" s="535" t="s">
        <v>73</v>
      </c>
      <c r="B19" s="410" t="s">
        <v>74</v>
      </c>
      <c r="C19" s="399"/>
      <c r="D19" s="399"/>
      <c r="E19" s="382"/>
    </row>
    <row r="20" spans="1:5" s="524" customFormat="1" ht="12" customHeight="1" x14ac:dyDescent="0.2">
      <c r="A20" s="535" t="s">
        <v>75</v>
      </c>
      <c r="B20" s="410" t="s">
        <v>76</v>
      </c>
      <c r="C20" s="399"/>
      <c r="D20" s="399"/>
      <c r="E20" s="382"/>
    </row>
    <row r="21" spans="1:5" s="551" customFormat="1" ht="12" customHeight="1" thickBot="1" x14ac:dyDescent="0.25">
      <c r="A21" s="536" t="s">
        <v>77</v>
      </c>
      <c r="B21" s="411" t="s">
        <v>78</v>
      </c>
      <c r="C21" s="401"/>
      <c r="D21" s="401"/>
      <c r="E21" s="384"/>
    </row>
    <row r="22" spans="1:5" s="551" customFormat="1" ht="12" customHeight="1" thickBot="1" x14ac:dyDescent="0.3">
      <c r="A22" s="372" t="s">
        <v>79</v>
      </c>
      <c r="B22" s="368" t="s">
        <v>80</v>
      </c>
      <c r="C22" s="398">
        <f>SUM(C23:C27)</f>
        <v>0</v>
      </c>
      <c r="D22" s="398">
        <f>SUM(D23:D27)</f>
        <v>0</v>
      </c>
      <c r="E22" s="381">
        <f>SUM(E23:E27)</f>
        <v>0</v>
      </c>
    </row>
    <row r="23" spans="1:5" s="551" customFormat="1" ht="12" customHeight="1" x14ac:dyDescent="0.2">
      <c r="A23" s="534" t="s">
        <v>81</v>
      </c>
      <c r="B23" s="409" t="s">
        <v>82</v>
      </c>
      <c r="C23" s="400"/>
      <c r="D23" s="400"/>
      <c r="E23" s="383"/>
    </row>
    <row r="24" spans="1:5" s="524" customFormat="1" ht="12" customHeight="1" x14ac:dyDescent="0.2">
      <c r="A24" s="535" t="s">
        <v>83</v>
      </c>
      <c r="B24" s="410" t="s">
        <v>84</v>
      </c>
      <c r="C24" s="399"/>
      <c r="D24" s="399"/>
      <c r="E24" s="382"/>
    </row>
    <row r="25" spans="1:5" s="551" customFormat="1" ht="12" customHeight="1" x14ac:dyDescent="0.2">
      <c r="A25" s="535" t="s">
        <v>85</v>
      </c>
      <c r="B25" s="410" t="s">
        <v>86</v>
      </c>
      <c r="C25" s="399"/>
      <c r="D25" s="399"/>
      <c r="E25" s="382"/>
    </row>
    <row r="26" spans="1:5" s="551" customFormat="1" ht="12" customHeight="1" x14ac:dyDescent="0.2">
      <c r="A26" s="535" t="s">
        <v>87</v>
      </c>
      <c r="B26" s="410" t="s">
        <v>88</v>
      </c>
      <c r="C26" s="399"/>
      <c r="D26" s="399"/>
      <c r="E26" s="382"/>
    </row>
    <row r="27" spans="1:5" s="551" customFormat="1" ht="12" customHeight="1" x14ac:dyDescent="0.2">
      <c r="A27" s="535" t="s">
        <v>89</v>
      </c>
      <c r="B27" s="410" t="s">
        <v>90</v>
      </c>
      <c r="C27" s="399"/>
      <c r="D27" s="399"/>
      <c r="E27" s="382"/>
    </row>
    <row r="28" spans="1:5" s="551" customFormat="1" ht="12" customHeight="1" thickBot="1" x14ac:dyDescent="0.25">
      <c r="A28" s="536" t="s">
        <v>91</v>
      </c>
      <c r="B28" s="411" t="s">
        <v>92</v>
      </c>
      <c r="C28" s="401"/>
      <c r="D28" s="401"/>
      <c r="E28" s="384"/>
    </row>
    <row r="29" spans="1:5" s="551" customFormat="1" ht="12" customHeight="1" thickBot="1" x14ac:dyDescent="0.3">
      <c r="A29" s="372" t="s">
        <v>93</v>
      </c>
      <c r="B29" s="368" t="s">
        <v>94</v>
      </c>
      <c r="C29" s="404">
        <f>+C30+C33+C34+C35</f>
        <v>0</v>
      </c>
      <c r="D29" s="404">
        <f>+D30+D33+D34+D35</f>
        <v>0</v>
      </c>
      <c r="E29" s="417">
        <f>+E30+E33+E34+E35</f>
        <v>0</v>
      </c>
    </row>
    <row r="30" spans="1:5" s="551" customFormat="1" ht="12" customHeight="1" x14ac:dyDescent="0.2">
      <c r="A30" s="534" t="s">
        <v>95</v>
      </c>
      <c r="B30" s="409" t="s">
        <v>96</v>
      </c>
      <c r="C30" s="419">
        <f>+C31+C32</f>
        <v>0</v>
      </c>
      <c r="D30" s="419">
        <f>+D31+D32</f>
        <v>0</v>
      </c>
      <c r="E30" s="418">
        <f>+E31+E32</f>
        <v>0</v>
      </c>
    </row>
    <row r="31" spans="1:5" s="551" customFormat="1" ht="12" customHeight="1" x14ac:dyDescent="0.2">
      <c r="A31" s="535" t="s">
        <v>97</v>
      </c>
      <c r="B31" s="410" t="s">
        <v>98</v>
      </c>
      <c r="C31" s="399"/>
      <c r="D31" s="399"/>
      <c r="E31" s="382"/>
    </row>
    <row r="32" spans="1:5" s="551" customFormat="1" ht="12" customHeight="1" x14ac:dyDescent="0.2">
      <c r="A32" s="535" t="s">
        <v>99</v>
      </c>
      <c r="B32" s="410" t="s">
        <v>100</v>
      </c>
      <c r="C32" s="399"/>
      <c r="D32" s="399"/>
      <c r="E32" s="382"/>
    </row>
    <row r="33" spans="1:5" s="551" customFormat="1" ht="12" customHeight="1" x14ac:dyDescent="0.2">
      <c r="A33" s="535" t="s">
        <v>101</v>
      </c>
      <c r="B33" s="410" t="s">
        <v>102</v>
      </c>
      <c r="C33" s="399"/>
      <c r="D33" s="399"/>
      <c r="E33" s="382"/>
    </row>
    <row r="34" spans="1:5" s="551" customFormat="1" ht="12" customHeight="1" x14ac:dyDescent="0.2">
      <c r="A34" s="535" t="s">
        <v>103</v>
      </c>
      <c r="B34" s="410" t="s">
        <v>104</v>
      </c>
      <c r="C34" s="399"/>
      <c r="D34" s="399"/>
      <c r="E34" s="382"/>
    </row>
    <row r="35" spans="1:5" s="551" customFormat="1" ht="12" customHeight="1" thickBot="1" x14ac:dyDescent="0.25">
      <c r="A35" s="536" t="s">
        <v>105</v>
      </c>
      <c r="B35" s="411" t="s">
        <v>106</v>
      </c>
      <c r="C35" s="401"/>
      <c r="D35" s="401"/>
      <c r="E35" s="384"/>
    </row>
    <row r="36" spans="1:5" s="551" customFormat="1" ht="12" customHeight="1" thickBot="1" x14ac:dyDescent="0.3">
      <c r="A36" s="372" t="s">
        <v>107</v>
      </c>
      <c r="B36" s="368" t="s">
        <v>108</v>
      </c>
      <c r="C36" s="398">
        <f>SUM(C37:C46)</f>
        <v>0</v>
      </c>
      <c r="D36" s="398">
        <f>SUM(D37:D46)</f>
        <v>0</v>
      </c>
      <c r="E36" s="381">
        <f>SUM(E37:E46)</f>
        <v>0</v>
      </c>
    </row>
    <row r="37" spans="1:5" s="551" customFormat="1" ht="12" customHeight="1" x14ac:dyDescent="0.2">
      <c r="A37" s="534" t="s">
        <v>109</v>
      </c>
      <c r="B37" s="409" t="s">
        <v>110</v>
      </c>
      <c r="C37" s="400"/>
      <c r="D37" s="400"/>
      <c r="E37" s="383"/>
    </row>
    <row r="38" spans="1:5" s="551" customFormat="1" ht="12" customHeight="1" x14ac:dyDescent="0.2">
      <c r="A38" s="535" t="s">
        <v>111</v>
      </c>
      <c r="B38" s="410" t="s">
        <v>112</v>
      </c>
      <c r="C38" s="399"/>
      <c r="D38" s="399"/>
      <c r="E38" s="382"/>
    </row>
    <row r="39" spans="1:5" s="551" customFormat="1" ht="12" customHeight="1" x14ac:dyDescent="0.2">
      <c r="A39" s="535" t="s">
        <v>113</v>
      </c>
      <c r="B39" s="410" t="s">
        <v>114</v>
      </c>
      <c r="C39" s="399"/>
      <c r="D39" s="399"/>
      <c r="E39" s="382"/>
    </row>
    <row r="40" spans="1:5" s="551" customFormat="1" ht="12" customHeight="1" x14ac:dyDescent="0.2">
      <c r="A40" s="535" t="s">
        <v>115</v>
      </c>
      <c r="B40" s="410" t="s">
        <v>116</v>
      </c>
      <c r="C40" s="399"/>
      <c r="D40" s="399"/>
      <c r="E40" s="382"/>
    </row>
    <row r="41" spans="1:5" s="551" customFormat="1" ht="12" customHeight="1" x14ac:dyDescent="0.2">
      <c r="A41" s="535" t="s">
        <v>117</v>
      </c>
      <c r="B41" s="410" t="s">
        <v>118</v>
      </c>
      <c r="C41" s="399"/>
      <c r="D41" s="399"/>
      <c r="E41" s="382"/>
    </row>
    <row r="42" spans="1:5" s="551" customFormat="1" ht="12" customHeight="1" x14ac:dyDescent="0.2">
      <c r="A42" s="535" t="s">
        <v>119</v>
      </c>
      <c r="B42" s="410" t="s">
        <v>120</v>
      </c>
      <c r="C42" s="399"/>
      <c r="D42" s="399"/>
      <c r="E42" s="382"/>
    </row>
    <row r="43" spans="1:5" s="551" customFormat="1" ht="12" customHeight="1" x14ac:dyDescent="0.2">
      <c r="A43" s="535" t="s">
        <v>121</v>
      </c>
      <c r="B43" s="410" t="s">
        <v>122</v>
      </c>
      <c r="C43" s="399"/>
      <c r="D43" s="399"/>
      <c r="E43" s="382"/>
    </row>
    <row r="44" spans="1:5" s="551" customFormat="1" ht="12" customHeight="1" x14ac:dyDescent="0.2">
      <c r="A44" s="535" t="s">
        <v>123</v>
      </c>
      <c r="B44" s="410" t="s">
        <v>124</v>
      </c>
      <c r="C44" s="399"/>
      <c r="D44" s="399"/>
      <c r="E44" s="382"/>
    </row>
    <row r="45" spans="1:5" s="551" customFormat="1" ht="12" customHeight="1" x14ac:dyDescent="0.2">
      <c r="A45" s="535" t="s">
        <v>125</v>
      </c>
      <c r="B45" s="410" t="s">
        <v>126</v>
      </c>
      <c r="C45" s="402"/>
      <c r="D45" s="402"/>
      <c r="E45" s="385"/>
    </row>
    <row r="46" spans="1:5" s="524" customFormat="1" ht="12" customHeight="1" thickBot="1" x14ac:dyDescent="0.25">
      <c r="A46" s="536" t="s">
        <v>127</v>
      </c>
      <c r="B46" s="411" t="s">
        <v>128</v>
      </c>
      <c r="C46" s="403"/>
      <c r="D46" s="403"/>
      <c r="E46" s="386"/>
    </row>
    <row r="47" spans="1:5" s="551" customFormat="1" ht="12" customHeight="1" thickBot="1" x14ac:dyDescent="0.3">
      <c r="A47" s="372" t="s">
        <v>129</v>
      </c>
      <c r="B47" s="368" t="s">
        <v>130</v>
      </c>
      <c r="C47" s="398">
        <f>SUM(C48:C52)</f>
        <v>0</v>
      </c>
      <c r="D47" s="398">
        <f>SUM(D48:D52)</f>
        <v>0</v>
      </c>
      <c r="E47" s="381">
        <f>SUM(E48:E52)</f>
        <v>0</v>
      </c>
    </row>
    <row r="48" spans="1:5" s="551" customFormat="1" ht="12" customHeight="1" x14ac:dyDescent="0.2">
      <c r="A48" s="534" t="s">
        <v>131</v>
      </c>
      <c r="B48" s="409" t="s">
        <v>132</v>
      </c>
      <c r="C48" s="421"/>
      <c r="D48" s="421"/>
      <c r="E48" s="387"/>
    </row>
    <row r="49" spans="1:5" s="551" customFormat="1" ht="12" customHeight="1" x14ac:dyDescent="0.2">
      <c r="A49" s="535" t="s">
        <v>133</v>
      </c>
      <c r="B49" s="410" t="s">
        <v>134</v>
      </c>
      <c r="C49" s="402"/>
      <c r="D49" s="402"/>
      <c r="E49" s="385"/>
    </row>
    <row r="50" spans="1:5" s="551" customFormat="1" ht="12" customHeight="1" x14ac:dyDescent="0.2">
      <c r="A50" s="535" t="s">
        <v>135</v>
      </c>
      <c r="B50" s="410" t="s">
        <v>136</v>
      </c>
      <c r="C50" s="402"/>
      <c r="D50" s="402"/>
      <c r="E50" s="385"/>
    </row>
    <row r="51" spans="1:5" s="551" customFormat="1" ht="12" customHeight="1" x14ac:dyDescent="0.2">
      <c r="A51" s="535" t="s">
        <v>137</v>
      </c>
      <c r="B51" s="410" t="s">
        <v>138</v>
      </c>
      <c r="C51" s="402"/>
      <c r="D51" s="402"/>
      <c r="E51" s="385"/>
    </row>
    <row r="52" spans="1:5" s="551" customFormat="1" ht="12" customHeight="1" thickBot="1" x14ac:dyDescent="0.25">
      <c r="A52" s="536" t="s">
        <v>139</v>
      </c>
      <c r="B52" s="411" t="s">
        <v>140</v>
      </c>
      <c r="C52" s="403"/>
      <c r="D52" s="403"/>
      <c r="E52" s="386"/>
    </row>
    <row r="53" spans="1:5" s="551" customFormat="1" ht="12" customHeight="1" thickBot="1" x14ac:dyDescent="0.3">
      <c r="A53" s="372" t="s">
        <v>141</v>
      </c>
      <c r="B53" s="368" t="s">
        <v>142</v>
      </c>
      <c r="C53" s="398">
        <f>SUM(C54:C56)</f>
        <v>0</v>
      </c>
      <c r="D53" s="398">
        <f>SUM(D54:D56)</f>
        <v>0</v>
      </c>
      <c r="E53" s="381">
        <f>SUM(E54:E56)</f>
        <v>0</v>
      </c>
    </row>
    <row r="54" spans="1:5" s="524" customFormat="1" ht="12" customHeight="1" x14ac:dyDescent="0.2">
      <c r="A54" s="534" t="s">
        <v>143</v>
      </c>
      <c r="B54" s="409" t="s">
        <v>144</v>
      </c>
      <c r="C54" s="400"/>
      <c r="D54" s="400"/>
      <c r="E54" s="383"/>
    </row>
    <row r="55" spans="1:5" s="524" customFormat="1" ht="12" customHeight="1" x14ac:dyDescent="0.2">
      <c r="A55" s="535" t="s">
        <v>145</v>
      </c>
      <c r="B55" s="410" t="s">
        <v>146</v>
      </c>
      <c r="C55" s="399"/>
      <c r="D55" s="399"/>
      <c r="E55" s="382"/>
    </row>
    <row r="56" spans="1:5" s="524" customFormat="1" ht="12" customHeight="1" x14ac:dyDescent="0.2">
      <c r="A56" s="535" t="s">
        <v>147</v>
      </c>
      <c r="B56" s="410" t="s">
        <v>148</v>
      </c>
      <c r="C56" s="399"/>
      <c r="D56" s="399"/>
      <c r="E56" s="382"/>
    </row>
    <row r="57" spans="1:5" s="524" customFormat="1" ht="12" customHeight="1" thickBot="1" x14ac:dyDescent="0.25">
      <c r="A57" s="536" t="s">
        <v>149</v>
      </c>
      <c r="B57" s="411" t="s">
        <v>150</v>
      </c>
      <c r="C57" s="401"/>
      <c r="D57" s="401"/>
      <c r="E57" s="384"/>
    </row>
    <row r="58" spans="1:5" s="551" customFormat="1" ht="12" customHeight="1" thickBot="1" x14ac:dyDescent="0.3">
      <c r="A58" s="372" t="s">
        <v>151</v>
      </c>
      <c r="B58" s="388" t="s">
        <v>152</v>
      </c>
      <c r="C58" s="398">
        <f>SUM(C59:C61)</f>
        <v>0</v>
      </c>
      <c r="D58" s="398">
        <f>SUM(D59:D61)</f>
        <v>0</v>
      </c>
      <c r="E58" s="381">
        <f>SUM(E59:E61)</f>
        <v>0</v>
      </c>
    </row>
    <row r="59" spans="1:5" s="551" customFormat="1" ht="12" customHeight="1" x14ac:dyDescent="0.2">
      <c r="A59" s="534" t="s">
        <v>153</v>
      </c>
      <c r="B59" s="409" t="s">
        <v>154</v>
      </c>
      <c r="C59" s="402"/>
      <c r="D59" s="402"/>
      <c r="E59" s="385"/>
    </row>
    <row r="60" spans="1:5" s="551" customFormat="1" ht="12" customHeight="1" x14ac:dyDescent="0.2">
      <c r="A60" s="535" t="s">
        <v>155</v>
      </c>
      <c r="B60" s="410" t="s">
        <v>428</v>
      </c>
      <c r="C60" s="402"/>
      <c r="D60" s="402"/>
      <c r="E60" s="385"/>
    </row>
    <row r="61" spans="1:5" s="551" customFormat="1" ht="12" customHeight="1" x14ac:dyDescent="0.2">
      <c r="A61" s="535" t="s">
        <v>157</v>
      </c>
      <c r="B61" s="410" t="s">
        <v>158</v>
      </c>
      <c r="C61" s="402"/>
      <c r="D61" s="402"/>
      <c r="E61" s="385"/>
    </row>
    <row r="62" spans="1:5" s="551" customFormat="1" ht="12" customHeight="1" thickBot="1" x14ac:dyDescent="0.25">
      <c r="A62" s="536" t="s">
        <v>159</v>
      </c>
      <c r="B62" s="411" t="s">
        <v>160</v>
      </c>
      <c r="C62" s="402"/>
      <c r="D62" s="402"/>
      <c r="E62" s="385"/>
    </row>
    <row r="63" spans="1:5" s="551" customFormat="1" ht="12" customHeight="1" thickBot="1" x14ac:dyDescent="0.3">
      <c r="A63" s="372" t="s">
        <v>161</v>
      </c>
      <c r="B63" s="368" t="s">
        <v>162</v>
      </c>
      <c r="C63" s="404">
        <f>+C8+C15+C22+C29+C36+C47+C53+C58</f>
        <v>0</v>
      </c>
      <c r="D63" s="404">
        <f>+D8+D15+D22+D29+D36+D47+D53+D58</f>
        <v>0</v>
      </c>
      <c r="E63" s="417">
        <f>+E8+E15+E22+E29+E36+E47+E53+E58</f>
        <v>0</v>
      </c>
    </row>
    <row r="64" spans="1:5" s="551" customFormat="1" ht="12" customHeight="1" thickBot="1" x14ac:dyDescent="0.25">
      <c r="A64" s="537" t="s">
        <v>429</v>
      </c>
      <c r="B64" s="388" t="s">
        <v>164</v>
      </c>
      <c r="C64" s="398">
        <f>SUM(C65:C67)</f>
        <v>0</v>
      </c>
      <c r="D64" s="398">
        <f>SUM(D65:D67)</f>
        <v>0</v>
      </c>
      <c r="E64" s="381">
        <f>SUM(E65:E67)</f>
        <v>0</v>
      </c>
    </row>
    <row r="65" spans="1:5" s="551" customFormat="1" ht="12" customHeight="1" x14ac:dyDescent="0.2">
      <c r="A65" s="534" t="s">
        <v>165</v>
      </c>
      <c r="B65" s="409" t="s">
        <v>166</v>
      </c>
      <c r="C65" s="402"/>
      <c r="D65" s="402"/>
      <c r="E65" s="385"/>
    </row>
    <row r="66" spans="1:5" s="551" customFormat="1" ht="12" customHeight="1" x14ac:dyDescent="0.2">
      <c r="A66" s="535" t="s">
        <v>167</v>
      </c>
      <c r="B66" s="410" t="s">
        <v>168</v>
      </c>
      <c r="C66" s="402"/>
      <c r="D66" s="402"/>
      <c r="E66" s="385"/>
    </row>
    <row r="67" spans="1:5" s="551" customFormat="1" ht="12" customHeight="1" thickBot="1" x14ac:dyDescent="0.25">
      <c r="A67" s="536" t="s">
        <v>169</v>
      </c>
      <c r="B67" s="530" t="s">
        <v>430</v>
      </c>
      <c r="C67" s="402"/>
      <c r="D67" s="402"/>
      <c r="E67" s="385"/>
    </row>
    <row r="68" spans="1:5" s="551" customFormat="1" ht="12" customHeight="1" thickBot="1" x14ac:dyDescent="0.25">
      <c r="A68" s="537" t="s">
        <v>171</v>
      </c>
      <c r="B68" s="388" t="s">
        <v>172</v>
      </c>
      <c r="C68" s="398">
        <f>SUM(C69:C72)</f>
        <v>0</v>
      </c>
      <c r="D68" s="398">
        <f>SUM(D69:D72)</f>
        <v>0</v>
      </c>
      <c r="E68" s="381">
        <f>SUM(E69:E72)</f>
        <v>0</v>
      </c>
    </row>
    <row r="69" spans="1:5" s="551" customFormat="1" ht="12" customHeight="1" x14ac:dyDescent="0.2">
      <c r="A69" s="534" t="s">
        <v>173</v>
      </c>
      <c r="B69" s="409" t="s">
        <v>174</v>
      </c>
      <c r="C69" s="402"/>
      <c r="D69" s="402"/>
      <c r="E69" s="385"/>
    </row>
    <row r="70" spans="1:5" s="551" customFormat="1" ht="12" customHeight="1" x14ac:dyDescent="0.2">
      <c r="A70" s="535" t="s">
        <v>175</v>
      </c>
      <c r="B70" s="410" t="s">
        <v>176</v>
      </c>
      <c r="C70" s="402"/>
      <c r="D70" s="402"/>
      <c r="E70" s="385"/>
    </row>
    <row r="71" spans="1:5" s="551" customFormat="1" ht="12" customHeight="1" x14ac:dyDescent="0.2">
      <c r="A71" s="535" t="s">
        <v>177</v>
      </c>
      <c r="B71" s="410" t="s">
        <v>178</v>
      </c>
      <c r="C71" s="402"/>
      <c r="D71" s="402"/>
      <c r="E71" s="385"/>
    </row>
    <row r="72" spans="1:5" s="551" customFormat="1" ht="12" customHeight="1" thickBot="1" x14ac:dyDescent="0.25">
      <c r="A72" s="536" t="s">
        <v>179</v>
      </c>
      <c r="B72" s="411" t="s">
        <v>180</v>
      </c>
      <c r="C72" s="402"/>
      <c r="D72" s="402"/>
      <c r="E72" s="385"/>
    </row>
    <row r="73" spans="1:5" s="551" customFormat="1" ht="12" customHeight="1" thickBot="1" x14ac:dyDescent="0.25">
      <c r="A73" s="537" t="s">
        <v>181</v>
      </c>
      <c r="B73" s="388" t="s">
        <v>182</v>
      </c>
      <c r="C73" s="398">
        <f>SUM(C74:C75)</f>
        <v>0</v>
      </c>
      <c r="D73" s="398">
        <f>SUM(D74:D75)</f>
        <v>0</v>
      </c>
      <c r="E73" s="381">
        <f>SUM(E74:E75)</f>
        <v>0</v>
      </c>
    </row>
    <row r="74" spans="1:5" s="551" customFormat="1" ht="12" customHeight="1" x14ac:dyDescent="0.2">
      <c r="A74" s="534" t="s">
        <v>183</v>
      </c>
      <c r="B74" s="409" t="s">
        <v>184</v>
      </c>
      <c r="C74" s="402"/>
      <c r="D74" s="402"/>
      <c r="E74" s="385"/>
    </row>
    <row r="75" spans="1:5" s="551" customFormat="1" ht="12" customHeight="1" thickBot="1" x14ac:dyDescent="0.25">
      <c r="A75" s="536" t="s">
        <v>185</v>
      </c>
      <c r="B75" s="411" t="s">
        <v>186</v>
      </c>
      <c r="C75" s="402"/>
      <c r="D75" s="402"/>
      <c r="E75" s="385"/>
    </row>
    <row r="76" spans="1:5" s="551" customFormat="1" ht="12" customHeight="1" thickBot="1" x14ac:dyDescent="0.25">
      <c r="A76" s="537" t="s">
        <v>187</v>
      </c>
      <c r="B76" s="388" t="s">
        <v>188</v>
      </c>
      <c r="C76" s="398">
        <f>SUM(C77:C79)</f>
        <v>0</v>
      </c>
      <c r="D76" s="398">
        <f>SUM(D77:D79)</f>
        <v>0</v>
      </c>
      <c r="E76" s="381">
        <f>SUM(E77:E79)</f>
        <v>0</v>
      </c>
    </row>
    <row r="77" spans="1:5" s="551" customFormat="1" ht="12" customHeight="1" x14ac:dyDescent="0.2">
      <c r="A77" s="534" t="s">
        <v>189</v>
      </c>
      <c r="B77" s="409" t="s">
        <v>190</v>
      </c>
      <c r="C77" s="402"/>
      <c r="D77" s="402"/>
      <c r="E77" s="385"/>
    </row>
    <row r="78" spans="1:5" s="551" customFormat="1" ht="12" customHeight="1" x14ac:dyDescent="0.2">
      <c r="A78" s="535" t="s">
        <v>191</v>
      </c>
      <c r="B78" s="410" t="s">
        <v>192</v>
      </c>
      <c r="C78" s="402"/>
      <c r="D78" s="402"/>
      <c r="E78" s="385"/>
    </row>
    <row r="79" spans="1:5" s="551" customFormat="1" ht="12" customHeight="1" thickBot="1" x14ac:dyDescent="0.25">
      <c r="A79" s="536" t="s">
        <v>193</v>
      </c>
      <c r="B79" s="411" t="s">
        <v>194</v>
      </c>
      <c r="C79" s="402"/>
      <c r="D79" s="402"/>
      <c r="E79" s="385"/>
    </row>
    <row r="80" spans="1:5" s="551" customFormat="1" ht="12" customHeight="1" thickBot="1" x14ac:dyDescent="0.25">
      <c r="A80" s="537" t="s">
        <v>195</v>
      </c>
      <c r="B80" s="388" t="s">
        <v>196</v>
      </c>
      <c r="C80" s="398">
        <f>SUM(C81:C84)</f>
        <v>0</v>
      </c>
      <c r="D80" s="398">
        <f>SUM(D81:D84)</f>
        <v>0</v>
      </c>
      <c r="E80" s="381">
        <f>SUM(E81:E84)</f>
        <v>0</v>
      </c>
    </row>
    <row r="81" spans="1:5" s="551" customFormat="1" ht="12" customHeight="1" x14ac:dyDescent="0.2">
      <c r="A81" s="538" t="s">
        <v>197</v>
      </c>
      <c r="B81" s="409" t="s">
        <v>198</v>
      </c>
      <c r="C81" s="402"/>
      <c r="D81" s="402"/>
      <c r="E81" s="385"/>
    </row>
    <row r="82" spans="1:5" s="551" customFormat="1" ht="12" customHeight="1" x14ac:dyDescent="0.2">
      <c r="A82" s="539" t="s">
        <v>199</v>
      </c>
      <c r="B82" s="410" t="s">
        <v>200</v>
      </c>
      <c r="C82" s="402"/>
      <c r="D82" s="402"/>
      <c r="E82" s="385"/>
    </row>
    <row r="83" spans="1:5" s="551" customFormat="1" ht="12" customHeight="1" x14ac:dyDescent="0.2">
      <c r="A83" s="539" t="s">
        <v>201</v>
      </c>
      <c r="B83" s="410" t="s">
        <v>202</v>
      </c>
      <c r="C83" s="402"/>
      <c r="D83" s="402"/>
      <c r="E83" s="385"/>
    </row>
    <row r="84" spans="1:5" s="551" customFormat="1" ht="12" customHeight="1" thickBot="1" x14ac:dyDescent="0.25">
      <c r="A84" s="540" t="s">
        <v>203</v>
      </c>
      <c r="B84" s="411" t="s">
        <v>204</v>
      </c>
      <c r="C84" s="402"/>
      <c r="D84" s="402"/>
      <c r="E84" s="385"/>
    </row>
    <row r="85" spans="1:5" s="551" customFormat="1" ht="12" customHeight="1" thickBot="1" x14ac:dyDescent="0.25">
      <c r="A85" s="537" t="s">
        <v>205</v>
      </c>
      <c r="B85" s="388" t="s">
        <v>206</v>
      </c>
      <c r="C85" s="425"/>
      <c r="D85" s="425"/>
      <c r="E85" s="426"/>
    </row>
    <row r="86" spans="1:5" s="551" customFormat="1" ht="12" customHeight="1" thickBot="1" x14ac:dyDescent="0.25">
      <c r="A86" s="537" t="s">
        <v>207</v>
      </c>
      <c r="B86" s="531" t="s">
        <v>208</v>
      </c>
      <c r="C86" s="404">
        <f>+C64+C68+C73+C76+C80+C85</f>
        <v>0</v>
      </c>
      <c r="D86" s="404">
        <f>+D64+D68+D73+D76+D80+D85</f>
        <v>0</v>
      </c>
      <c r="E86" s="417">
        <f>+E64+E68+E73+E76+E80+E85</f>
        <v>0</v>
      </c>
    </row>
    <row r="87" spans="1:5" s="551" customFormat="1" ht="12" customHeight="1" thickBot="1" x14ac:dyDescent="0.25">
      <c r="A87" s="541" t="s">
        <v>209</v>
      </c>
      <c r="B87" s="532" t="s">
        <v>431</v>
      </c>
      <c r="C87" s="404">
        <f>+C63+C86</f>
        <v>0</v>
      </c>
      <c r="D87" s="404">
        <f>+D63+D86</f>
        <v>0</v>
      </c>
      <c r="E87" s="417">
        <f>+E63+E86</f>
        <v>0</v>
      </c>
    </row>
    <row r="88" spans="1:5" s="551" customFormat="1" ht="15" customHeight="1" x14ac:dyDescent="0.25">
      <c r="A88" s="506"/>
      <c r="B88" s="507"/>
      <c r="C88" s="522"/>
      <c r="D88" s="522"/>
      <c r="E88" s="522"/>
    </row>
    <row r="89" spans="1:5" ht="13.8" thickBot="1" x14ac:dyDescent="0.3">
      <c r="A89" s="508"/>
      <c r="B89" s="509"/>
      <c r="C89" s="523"/>
      <c r="D89" s="523"/>
      <c r="E89" s="523"/>
    </row>
    <row r="90" spans="1:5" s="550" customFormat="1" ht="16.5" customHeight="1" thickBot="1" x14ac:dyDescent="0.3">
      <c r="A90" s="1728" t="s">
        <v>292</v>
      </c>
      <c r="B90" s="1729"/>
      <c r="C90" s="1729"/>
      <c r="D90" s="1729"/>
      <c r="E90" s="1730"/>
    </row>
    <row r="91" spans="1:5" s="333" customFormat="1" ht="12" customHeight="1" thickBot="1" x14ac:dyDescent="0.3">
      <c r="A91" s="529" t="s">
        <v>51</v>
      </c>
      <c r="B91" s="371" t="s">
        <v>288</v>
      </c>
      <c r="C91" s="397">
        <f>SUM(C92:C96)</f>
        <v>0</v>
      </c>
      <c r="D91" s="397">
        <f>SUM(D92:D96)</f>
        <v>0</v>
      </c>
      <c r="E91" s="353">
        <f>SUM(E92:E96)</f>
        <v>0</v>
      </c>
    </row>
    <row r="92" spans="1:5" ht="12" customHeight="1" x14ac:dyDescent="0.25">
      <c r="A92" s="542" t="s">
        <v>53</v>
      </c>
      <c r="B92" s="357" t="s">
        <v>215</v>
      </c>
      <c r="C92" s="92"/>
      <c r="D92" s="92"/>
      <c r="E92" s="352"/>
    </row>
    <row r="93" spans="1:5" ht="12" customHeight="1" x14ac:dyDescent="0.25">
      <c r="A93" s="535" t="s">
        <v>55</v>
      </c>
      <c r="B93" s="355" t="s">
        <v>216</v>
      </c>
      <c r="C93" s="399"/>
      <c r="D93" s="399"/>
      <c r="E93" s="382"/>
    </row>
    <row r="94" spans="1:5" ht="12" customHeight="1" x14ac:dyDescent="0.25">
      <c r="A94" s="535" t="s">
        <v>57</v>
      </c>
      <c r="B94" s="355" t="s">
        <v>217</v>
      </c>
      <c r="C94" s="401"/>
      <c r="D94" s="401"/>
      <c r="E94" s="384"/>
    </row>
    <row r="95" spans="1:5" ht="12" customHeight="1" x14ac:dyDescent="0.25">
      <c r="A95" s="535" t="s">
        <v>59</v>
      </c>
      <c r="B95" s="358" t="s">
        <v>218</v>
      </c>
      <c r="C95" s="401"/>
      <c r="D95" s="401"/>
      <c r="E95" s="384"/>
    </row>
    <row r="96" spans="1:5" ht="12" customHeight="1" x14ac:dyDescent="0.25">
      <c r="A96" s="535" t="s">
        <v>219</v>
      </c>
      <c r="B96" s="366" t="s">
        <v>220</v>
      </c>
      <c r="C96" s="401"/>
      <c r="D96" s="401"/>
      <c r="E96" s="384"/>
    </row>
    <row r="97" spans="1:5" ht="12" customHeight="1" x14ac:dyDescent="0.25">
      <c r="A97" s="535" t="s">
        <v>63</v>
      </c>
      <c r="B97" s="355" t="s">
        <v>221</v>
      </c>
      <c r="C97" s="401"/>
      <c r="D97" s="401"/>
      <c r="E97" s="384"/>
    </row>
    <row r="98" spans="1:5" ht="12" customHeight="1" x14ac:dyDescent="0.2">
      <c r="A98" s="535" t="s">
        <v>222</v>
      </c>
      <c r="B98" s="377" t="s">
        <v>223</v>
      </c>
      <c r="C98" s="401"/>
      <c r="D98" s="401"/>
      <c r="E98" s="384"/>
    </row>
    <row r="99" spans="1:5" ht="12" customHeight="1" x14ac:dyDescent="0.25">
      <c r="A99" s="535" t="s">
        <v>224</v>
      </c>
      <c r="B99" s="378" t="s">
        <v>225</v>
      </c>
      <c r="C99" s="401"/>
      <c r="D99" s="401"/>
      <c r="E99" s="384"/>
    </row>
    <row r="100" spans="1:5" ht="12" customHeight="1" x14ac:dyDescent="0.25">
      <c r="A100" s="535" t="s">
        <v>226</v>
      </c>
      <c r="B100" s="378" t="s">
        <v>227</v>
      </c>
      <c r="C100" s="401"/>
      <c r="D100" s="401"/>
      <c r="E100" s="384"/>
    </row>
    <row r="101" spans="1:5" ht="12" customHeight="1" x14ac:dyDescent="0.2">
      <c r="A101" s="535" t="s">
        <v>228</v>
      </c>
      <c r="B101" s="377" t="s">
        <v>229</v>
      </c>
      <c r="C101" s="401"/>
      <c r="D101" s="401"/>
      <c r="E101" s="384"/>
    </row>
    <row r="102" spans="1:5" ht="12" customHeight="1" x14ac:dyDescent="0.2">
      <c r="A102" s="535" t="s">
        <v>230</v>
      </c>
      <c r="B102" s="377" t="s">
        <v>231</v>
      </c>
      <c r="C102" s="401"/>
      <c r="D102" s="401"/>
      <c r="E102" s="384"/>
    </row>
    <row r="103" spans="1:5" ht="12" customHeight="1" x14ac:dyDescent="0.25">
      <c r="A103" s="535" t="s">
        <v>232</v>
      </c>
      <c r="B103" s="378" t="s">
        <v>233</v>
      </c>
      <c r="C103" s="401"/>
      <c r="D103" s="401"/>
      <c r="E103" s="384"/>
    </row>
    <row r="104" spans="1:5" ht="12" customHeight="1" x14ac:dyDescent="0.25">
      <c r="A104" s="543" t="s">
        <v>234</v>
      </c>
      <c r="B104" s="379" t="s">
        <v>235</v>
      </c>
      <c r="C104" s="401"/>
      <c r="D104" s="401"/>
      <c r="E104" s="384"/>
    </row>
    <row r="105" spans="1:5" ht="12" customHeight="1" x14ac:dyDescent="0.25">
      <c r="A105" s="535" t="s">
        <v>236</v>
      </c>
      <c r="B105" s="379" t="s">
        <v>237</v>
      </c>
      <c r="C105" s="401"/>
      <c r="D105" s="401"/>
      <c r="E105" s="384"/>
    </row>
    <row r="106" spans="1:5" s="333" customFormat="1" ht="12" customHeight="1" thickBot="1" x14ac:dyDescent="0.3">
      <c r="A106" s="544" t="s">
        <v>238</v>
      </c>
      <c r="B106" s="380" t="s">
        <v>239</v>
      </c>
      <c r="C106" s="93"/>
      <c r="D106" s="93"/>
      <c r="E106" s="346"/>
    </row>
    <row r="107" spans="1:5" ht="12" customHeight="1" thickBot="1" x14ac:dyDescent="0.3">
      <c r="A107" s="372" t="s">
        <v>65</v>
      </c>
      <c r="B107" s="370" t="s">
        <v>289</v>
      </c>
      <c r="C107" s="398">
        <f>+C108+C110+C112</f>
        <v>0</v>
      </c>
      <c r="D107" s="398">
        <f>+D108+D110+D112</f>
        <v>0</v>
      </c>
      <c r="E107" s="381">
        <f>+E108+E110+E112</f>
        <v>0</v>
      </c>
    </row>
    <row r="108" spans="1:5" ht="12" customHeight="1" x14ac:dyDescent="0.25">
      <c r="A108" s="534" t="s">
        <v>67</v>
      </c>
      <c r="B108" s="355" t="s">
        <v>241</v>
      </c>
      <c r="C108" s="400"/>
      <c r="D108" s="400"/>
      <c r="E108" s="383"/>
    </row>
    <row r="109" spans="1:5" ht="12" customHeight="1" x14ac:dyDescent="0.25">
      <c r="A109" s="534" t="s">
        <v>69</v>
      </c>
      <c r="B109" s="359" t="s">
        <v>242</v>
      </c>
      <c r="C109" s="400"/>
      <c r="D109" s="400"/>
      <c r="E109" s="383"/>
    </row>
    <row r="110" spans="1:5" ht="12" customHeight="1" x14ac:dyDescent="0.25">
      <c r="A110" s="534" t="s">
        <v>71</v>
      </c>
      <c r="B110" s="359" t="s">
        <v>243</v>
      </c>
      <c r="C110" s="399"/>
      <c r="D110" s="399"/>
      <c r="E110" s="382"/>
    </row>
    <row r="111" spans="1:5" ht="12" customHeight="1" x14ac:dyDescent="0.25">
      <c r="A111" s="534" t="s">
        <v>73</v>
      </c>
      <c r="B111" s="359" t="s">
        <v>244</v>
      </c>
      <c r="C111" s="399"/>
      <c r="D111" s="399"/>
      <c r="E111" s="382"/>
    </row>
    <row r="112" spans="1:5" ht="12" customHeight="1" x14ac:dyDescent="0.25">
      <c r="A112" s="534" t="s">
        <v>75</v>
      </c>
      <c r="B112" s="390" t="s">
        <v>245</v>
      </c>
      <c r="C112" s="399"/>
      <c r="D112" s="399"/>
      <c r="E112" s="382"/>
    </row>
    <row r="113" spans="1:5" ht="12" customHeight="1" x14ac:dyDescent="0.25">
      <c r="A113" s="534" t="s">
        <v>77</v>
      </c>
      <c r="B113" s="389" t="s">
        <v>246</v>
      </c>
      <c r="C113" s="399"/>
      <c r="D113" s="399"/>
      <c r="E113" s="382"/>
    </row>
    <row r="114" spans="1:5" ht="12" customHeight="1" x14ac:dyDescent="0.25">
      <c r="A114" s="534" t="s">
        <v>247</v>
      </c>
      <c r="B114" s="405" t="s">
        <v>248</v>
      </c>
      <c r="C114" s="399"/>
      <c r="D114" s="399"/>
      <c r="E114" s="382"/>
    </row>
    <row r="115" spans="1:5" ht="12" customHeight="1" x14ac:dyDescent="0.25">
      <c r="A115" s="534" t="s">
        <v>249</v>
      </c>
      <c r="B115" s="378" t="s">
        <v>227</v>
      </c>
      <c r="C115" s="399"/>
      <c r="D115" s="399"/>
      <c r="E115" s="382"/>
    </row>
    <row r="116" spans="1:5" ht="12" customHeight="1" x14ac:dyDescent="0.25">
      <c r="A116" s="534" t="s">
        <v>250</v>
      </c>
      <c r="B116" s="378" t="s">
        <v>251</v>
      </c>
      <c r="C116" s="399"/>
      <c r="D116" s="399"/>
      <c r="E116" s="382"/>
    </row>
    <row r="117" spans="1:5" ht="12" customHeight="1" x14ac:dyDescent="0.25">
      <c r="A117" s="534" t="s">
        <v>252</v>
      </c>
      <c r="B117" s="378" t="s">
        <v>253</v>
      </c>
      <c r="C117" s="399"/>
      <c r="D117" s="399"/>
      <c r="E117" s="382"/>
    </row>
    <row r="118" spans="1:5" ht="12" customHeight="1" x14ac:dyDescent="0.25">
      <c r="A118" s="534" t="s">
        <v>254</v>
      </c>
      <c r="B118" s="378" t="s">
        <v>233</v>
      </c>
      <c r="C118" s="399"/>
      <c r="D118" s="399"/>
      <c r="E118" s="382"/>
    </row>
    <row r="119" spans="1:5" ht="12" customHeight="1" x14ac:dyDescent="0.25">
      <c r="A119" s="534" t="s">
        <v>255</v>
      </c>
      <c r="B119" s="378" t="s">
        <v>256</v>
      </c>
      <c r="C119" s="399"/>
      <c r="D119" s="399"/>
      <c r="E119" s="382"/>
    </row>
    <row r="120" spans="1:5" ht="12" customHeight="1" thickBot="1" x14ac:dyDescent="0.3">
      <c r="A120" s="543" t="s">
        <v>257</v>
      </c>
      <c r="B120" s="378" t="s">
        <v>258</v>
      </c>
      <c r="C120" s="401"/>
      <c r="D120" s="401"/>
      <c r="E120" s="384"/>
    </row>
    <row r="121" spans="1:5" ht="12" customHeight="1" thickBot="1" x14ac:dyDescent="0.3">
      <c r="A121" s="372" t="s">
        <v>79</v>
      </c>
      <c r="B121" s="375" t="s">
        <v>259</v>
      </c>
      <c r="C121" s="398">
        <f>+C122+C123</f>
        <v>0</v>
      </c>
      <c r="D121" s="398">
        <f>+D122+D123</f>
        <v>0</v>
      </c>
      <c r="E121" s="381">
        <f>+E122+E123</f>
        <v>0</v>
      </c>
    </row>
    <row r="122" spans="1:5" ht="12" customHeight="1" x14ac:dyDescent="0.25">
      <c r="A122" s="534" t="s">
        <v>81</v>
      </c>
      <c r="B122" s="356" t="s">
        <v>260</v>
      </c>
      <c r="C122" s="400"/>
      <c r="D122" s="400"/>
      <c r="E122" s="383"/>
    </row>
    <row r="123" spans="1:5" ht="12" customHeight="1" thickBot="1" x14ac:dyDescent="0.3">
      <c r="A123" s="536" t="s">
        <v>83</v>
      </c>
      <c r="B123" s="359" t="s">
        <v>261</v>
      </c>
      <c r="C123" s="401"/>
      <c r="D123" s="401"/>
      <c r="E123" s="384"/>
    </row>
    <row r="124" spans="1:5" ht="12" customHeight="1" thickBot="1" x14ac:dyDescent="0.3">
      <c r="A124" s="372" t="s">
        <v>262</v>
      </c>
      <c r="B124" s="375" t="s">
        <v>263</v>
      </c>
      <c r="C124" s="398">
        <f>+C91+C107+C121</f>
        <v>0</v>
      </c>
      <c r="D124" s="398">
        <f>+D91+D107+D121</f>
        <v>0</v>
      </c>
      <c r="E124" s="381">
        <f>+E91+E107+E121</f>
        <v>0</v>
      </c>
    </row>
    <row r="125" spans="1:5" ht="12" customHeight="1" thickBot="1" x14ac:dyDescent="0.3">
      <c r="A125" s="372" t="s">
        <v>107</v>
      </c>
      <c r="B125" s="375" t="s">
        <v>432</v>
      </c>
      <c r="C125" s="398">
        <f>+C126+C127+C128</f>
        <v>0</v>
      </c>
      <c r="D125" s="398">
        <f>+D126+D127+D128</f>
        <v>0</v>
      </c>
      <c r="E125" s="381">
        <f>+E126+E127+E128</f>
        <v>0</v>
      </c>
    </row>
    <row r="126" spans="1:5" ht="12" customHeight="1" x14ac:dyDescent="0.25">
      <c r="A126" s="534" t="s">
        <v>109</v>
      </c>
      <c r="B126" s="356" t="s">
        <v>265</v>
      </c>
      <c r="C126" s="399"/>
      <c r="D126" s="399"/>
      <c r="E126" s="382"/>
    </row>
    <row r="127" spans="1:5" ht="12" customHeight="1" x14ac:dyDescent="0.25">
      <c r="A127" s="534" t="s">
        <v>111</v>
      </c>
      <c r="B127" s="356" t="s">
        <v>266</v>
      </c>
      <c r="C127" s="399"/>
      <c r="D127" s="399"/>
      <c r="E127" s="382"/>
    </row>
    <row r="128" spans="1:5" ht="12" customHeight="1" thickBot="1" x14ac:dyDescent="0.3">
      <c r="A128" s="543" t="s">
        <v>113</v>
      </c>
      <c r="B128" s="354" t="s">
        <v>267</v>
      </c>
      <c r="C128" s="399"/>
      <c r="D128" s="399"/>
      <c r="E128" s="382"/>
    </row>
    <row r="129" spans="1:11" ht="12" customHeight="1" thickBot="1" x14ac:dyDescent="0.3">
      <c r="A129" s="372" t="s">
        <v>129</v>
      </c>
      <c r="B129" s="375" t="s">
        <v>268</v>
      </c>
      <c r="C129" s="398">
        <f>+C130+C131+C132+C133</f>
        <v>0</v>
      </c>
      <c r="D129" s="398">
        <f>+D130+D131+D132+D133</f>
        <v>0</v>
      </c>
      <c r="E129" s="381">
        <f>+E130+E131+E132+E133</f>
        <v>0</v>
      </c>
    </row>
    <row r="130" spans="1:11" ht="12" customHeight="1" x14ac:dyDescent="0.25">
      <c r="A130" s="534" t="s">
        <v>131</v>
      </c>
      <c r="B130" s="356" t="s">
        <v>269</v>
      </c>
      <c r="C130" s="399"/>
      <c r="D130" s="399"/>
      <c r="E130" s="382"/>
    </row>
    <row r="131" spans="1:11" ht="12" customHeight="1" x14ac:dyDescent="0.25">
      <c r="A131" s="534" t="s">
        <v>133</v>
      </c>
      <c r="B131" s="356" t="s">
        <v>270</v>
      </c>
      <c r="C131" s="399"/>
      <c r="D131" s="399"/>
      <c r="E131" s="382"/>
    </row>
    <row r="132" spans="1:11" ht="12" customHeight="1" x14ac:dyDescent="0.25">
      <c r="A132" s="534" t="s">
        <v>135</v>
      </c>
      <c r="B132" s="356" t="s">
        <v>271</v>
      </c>
      <c r="C132" s="399"/>
      <c r="D132" s="399"/>
      <c r="E132" s="382"/>
    </row>
    <row r="133" spans="1:11" s="333" customFormat="1" ht="12" customHeight="1" thickBot="1" x14ac:dyDescent="0.3">
      <c r="A133" s="543" t="s">
        <v>137</v>
      </c>
      <c r="B133" s="354" t="s">
        <v>272</v>
      </c>
      <c r="C133" s="399"/>
      <c r="D133" s="399"/>
      <c r="E133" s="382"/>
    </row>
    <row r="134" spans="1:11" ht="13.8" thickBot="1" x14ac:dyDescent="0.3">
      <c r="A134" s="372" t="s">
        <v>273</v>
      </c>
      <c r="B134" s="375" t="s">
        <v>433</v>
      </c>
      <c r="C134" s="404">
        <f>+C135+C136+C138+C139+C137</f>
        <v>0</v>
      </c>
      <c r="D134" s="404">
        <f>+D135+D136+D138+D139+D137</f>
        <v>0</v>
      </c>
      <c r="E134" s="417">
        <f>+E135+E136+E138+E139+E137</f>
        <v>0</v>
      </c>
      <c r="K134" s="497"/>
    </row>
    <row r="135" spans="1:11" x14ac:dyDescent="0.25">
      <c r="A135" s="534" t="s">
        <v>143</v>
      </c>
      <c r="B135" s="356" t="s">
        <v>275</v>
      </c>
      <c r="C135" s="399"/>
      <c r="D135" s="399"/>
      <c r="E135" s="382"/>
    </row>
    <row r="136" spans="1:11" ht="12" customHeight="1" x14ac:dyDescent="0.25">
      <c r="A136" s="534" t="s">
        <v>145</v>
      </c>
      <c r="B136" s="356" t="s">
        <v>276</v>
      </c>
      <c r="C136" s="399"/>
      <c r="D136" s="399"/>
      <c r="E136" s="382"/>
    </row>
    <row r="137" spans="1:11" ht="12" customHeight="1" x14ac:dyDescent="0.25">
      <c r="A137" s="534" t="s">
        <v>147</v>
      </c>
      <c r="B137" s="356" t="s">
        <v>434</v>
      </c>
      <c r="C137" s="399"/>
      <c r="D137" s="399"/>
      <c r="E137" s="382"/>
    </row>
    <row r="138" spans="1:11" s="333" customFormat="1" ht="12" customHeight="1" x14ac:dyDescent="0.25">
      <c r="A138" s="534" t="s">
        <v>149</v>
      </c>
      <c r="B138" s="356" t="s">
        <v>277</v>
      </c>
      <c r="C138" s="399"/>
      <c r="D138" s="399"/>
      <c r="E138" s="382"/>
    </row>
    <row r="139" spans="1:11" s="333" customFormat="1" ht="12" customHeight="1" thickBot="1" x14ac:dyDescent="0.3">
      <c r="A139" s="543" t="s">
        <v>435</v>
      </c>
      <c r="B139" s="354" t="s">
        <v>278</v>
      </c>
      <c r="C139" s="399"/>
      <c r="D139" s="399"/>
      <c r="E139" s="382"/>
    </row>
    <row r="140" spans="1:11" s="333" customFormat="1" ht="12" customHeight="1" thickBot="1" x14ac:dyDescent="0.3">
      <c r="A140" s="372" t="s">
        <v>151</v>
      </c>
      <c r="B140" s="375" t="s">
        <v>436</v>
      </c>
      <c r="C140" s="94">
        <f>+C141+C142+C143+C144</f>
        <v>0</v>
      </c>
      <c r="D140" s="94">
        <f>+D141+D142+D143+D144</f>
        <v>0</v>
      </c>
      <c r="E140" s="351">
        <f>+E141+E142+E143+E144</f>
        <v>0</v>
      </c>
    </row>
    <row r="141" spans="1:11" s="333" customFormat="1" ht="12" customHeight="1" x14ac:dyDescent="0.25">
      <c r="A141" s="534" t="s">
        <v>153</v>
      </c>
      <c r="B141" s="356" t="s">
        <v>280</v>
      </c>
      <c r="C141" s="399"/>
      <c r="D141" s="399"/>
      <c r="E141" s="382"/>
    </row>
    <row r="142" spans="1:11" s="333" customFormat="1" ht="12" customHeight="1" x14ac:dyDescent="0.25">
      <c r="A142" s="534" t="s">
        <v>155</v>
      </c>
      <c r="B142" s="356" t="s">
        <v>281</v>
      </c>
      <c r="C142" s="399"/>
      <c r="D142" s="399"/>
      <c r="E142" s="382"/>
    </row>
    <row r="143" spans="1:11" s="333" customFormat="1" ht="12" customHeight="1" x14ac:dyDescent="0.25">
      <c r="A143" s="534" t="s">
        <v>157</v>
      </c>
      <c r="B143" s="356" t="s">
        <v>282</v>
      </c>
      <c r="C143" s="399"/>
      <c r="D143" s="399"/>
      <c r="E143" s="382"/>
    </row>
    <row r="144" spans="1:11" ht="12.75" customHeight="1" thickBot="1" x14ac:dyDescent="0.3">
      <c r="A144" s="534" t="s">
        <v>159</v>
      </c>
      <c r="B144" s="356" t="s">
        <v>283</v>
      </c>
      <c r="C144" s="399"/>
      <c r="D144" s="399"/>
      <c r="E144" s="382"/>
    </row>
    <row r="145" spans="1:5" ht="12" customHeight="1" thickBot="1" x14ac:dyDescent="0.3">
      <c r="A145" s="372" t="s">
        <v>161</v>
      </c>
      <c r="B145" s="375" t="s">
        <v>284</v>
      </c>
      <c r="C145" s="349">
        <f>+C125+C129+C134+C140</f>
        <v>0</v>
      </c>
      <c r="D145" s="349">
        <f>+D125+D129+D134+D140</f>
        <v>0</v>
      </c>
      <c r="E145" s="350">
        <f>+E125+E129+E134+E140</f>
        <v>0</v>
      </c>
    </row>
    <row r="146" spans="1:5" ht="15" customHeight="1" thickBot="1" x14ac:dyDescent="0.3">
      <c r="A146" s="545" t="s">
        <v>285</v>
      </c>
      <c r="B146" s="394" t="s">
        <v>286</v>
      </c>
      <c r="C146" s="349">
        <f>+C124+C145</f>
        <v>0</v>
      </c>
      <c r="D146" s="349">
        <f>+D124+D145</f>
        <v>0</v>
      </c>
      <c r="E146" s="350">
        <f>+E124+E145</f>
        <v>0</v>
      </c>
    </row>
    <row r="147" spans="1:5" ht="13.8" thickBot="1" x14ac:dyDescent="0.3">
      <c r="A147" s="667"/>
      <c r="B147" s="668"/>
      <c r="C147" s="669"/>
      <c r="D147" s="669"/>
      <c r="E147" s="669"/>
    </row>
    <row r="148" spans="1:5" ht="15" customHeight="1" thickBot="1" x14ac:dyDescent="0.3">
      <c r="A148" s="510" t="s">
        <v>437</v>
      </c>
      <c r="B148" s="511"/>
      <c r="C148" s="107"/>
      <c r="D148" s="108"/>
      <c r="E148" s="105"/>
    </row>
    <row r="149" spans="1:5" ht="14.25" customHeight="1" thickBot="1" x14ac:dyDescent="0.3">
      <c r="A149" s="510" t="s">
        <v>438</v>
      </c>
      <c r="B149" s="511"/>
      <c r="C149" s="107"/>
      <c r="D149" s="108"/>
      <c r="E149" s="105"/>
    </row>
  </sheetData>
  <sheetProtection formatCells="0"/>
  <mergeCells count="4">
    <mergeCell ref="B2:D2"/>
    <mergeCell ref="B3:D3"/>
    <mergeCell ref="A7:E7"/>
    <mergeCell ref="A90:E90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58" orientation="portrait" verticalDpi="300" r:id="rId1"/>
  <headerFooter alignWithMargins="0"/>
  <rowBreaks count="1" manualBreakCount="1">
    <brk id="87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92D050"/>
  </sheetPr>
  <dimension ref="A1:E58"/>
  <sheetViews>
    <sheetView view="pageBreakPreview" zoomScale="115" zoomScaleNormal="100" zoomScaleSheetLayoutView="115" workbookViewId="0">
      <selection activeCell="B62" sqref="B62"/>
    </sheetView>
  </sheetViews>
  <sheetFormatPr defaultColWidth="9.33203125" defaultRowHeight="13.2" x14ac:dyDescent="0.25"/>
  <cols>
    <col min="1" max="1" width="16" style="566" customWidth="1"/>
    <col min="2" max="2" width="59.33203125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+CONCATENATE("7.1. melléklet a ……/",LEFT(ÖSSZEFÜGGÉSEK!A4,4)+1,". (……) önkormányzati rendelethez")</f>
        <v>7.1.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447</v>
      </c>
      <c r="C2" s="1732"/>
      <c r="D2" s="1733"/>
      <c r="E2" s="571" t="s">
        <v>440</v>
      </c>
    </row>
    <row r="3" spans="1:5" s="548" customFormat="1" ht="23.4" thickBot="1" x14ac:dyDescent="0.3">
      <c r="A3" s="546" t="s">
        <v>448</v>
      </c>
      <c r="B3" s="1734" t="s">
        <v>424</v>
      </c>
      <c r="C3" s="1737"/>
      <c r="D3" s="1738"/>
      <c r="E3" s="572" t="s">
        <v>422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434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100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431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431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431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431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431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431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101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431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433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434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431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431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431"/>
      <c r="E22" s="109"/>
    </row>
    <row r="23" spans="1:5" s="551" customFormat="1" ht="12" customHeight="1" thickBot="1" x14ac:dyDescent="0.3">
      <c r="A23" s="574" t="s">
        <v>73</v>
      </c>
      <c r="B23" s="355" t="s">
        <v>455</v>
      </c>
      <c r="C23" s="431"/>
      <c r="D23" s="431"/>
      <c r="E23" s="109"/>
    </row>
    <row r="24" spans="1:5" s="551" customFormat="1" ht="12" customHeight="1" thickBot="1" x14ac:dyDescent="0.3">
      <c r="A24" s="561" t="s">
        <v>79</v>
      </c>
      <c r="B24" s="375" t="s">
        <v>303</v>
      </c>
      <c r="C24" s="41"/>
      <c r="D24" s="41"/>
      <c r="E24" s="567"/>
    </row>
    <row r="25" spans="1:5" s="551" customFormat="1" ht="12" customHeight="1" thickBot="1" x14ac:dyDescent="0.3">
      <c r="A25" s="561" t="s">
        <v>262</v>
      </c>
      <c r="B25" s="375" t="s">
        <v>456</v>
      </c>
      <c r="C25" s="434">
        <f>SUM(C26:C27)</f>
        <v>0</v>
      </c>
      <c r="D25" s="434">
        <f>SUM(D26:D27)</f>
        <v>0</v>
      </c>
      <c r="E25" s="568">
        <f>SUM(E26:E27)</f>
        <v>0</v>
      </c>
    </row>
    <row r="26" spans="1:5" s="551" customFormat="1" ht="12" customHeight="1" x14ac:dyDescent="0.25">
      <c r="A26" s="575" t="s">
        <v>95</v>
      </c>
      <c r="B26" s="576" t="s">
        <v>453</v>
      </c>
      <c r="C26" s="97"/>
      <c r="D26" s="97"/>
      <c r="E26" s="555"/>
    </row>
    <row r="27" spans="1:5" s="551" customFormat="1" ht="12" customHeight="1" x14ac:dyDescent="0.25">
      <c r="A27" s="575" t="s">
        <v>101</v>
      </c>
      <c r="B27" s="577" t="s">
        <v>457</v>
      </c>
      <c r="C27" s="435"/>
      <c r="D27" s="435"/>
      <c r="E27" s="554"/>
    </row>
    <row r="28" spans="1:5" s="551" customFormat="1" ht="12" customHeight="1" thickBot="1" x14ac:dyDescent="0.3">
      <c r="A28" s="574" t="s">
        <v>103</v>
      </c>
      <c r="B28" s="578" t="s">
        <v>458</v>
      </c>
      <c r="C28" s="558"/>
      <c r="D28" s="558"/>
      <c r="E28" s="553"/>
    </row>
    <row r="29" spans="1:5" s="551" customFormat="1" ht="12" customHeight="1" thickBot="1" x14ac:dyDescent="0.3">
      <c r="A29" s="561" t="s">
        <v>107</v>
      </c>
      <c r="B29" s="375" t="s">
        <v>459</v>
      </c>
      <c r="C29" s="434">
        <f>SUM(C30:C32)</f>
        <v>0</v>
      </c>
      <c r="D29" s="434">
        <f>SUM(D30:D32)</f>
        <v>0</v>
      </c>
      <c r="E29" s="568">
        <f>SUM(E30:E32)</f>
        <v>0</v>
      </c>
    </row>
    <row r="30" spans="1:5" s="551" customFormat="1" ht="12" customHeight="1" x14ac:dyDescent="0.25">
      <c r="A30" s="575" t="s">
        <v>109</v>
      </c>
      <c r="B30" s="576" t="s">
        <v>132</v>
      </c>
      <c r="C30" s="97"/>
      <c r="D30" s="97"/>
      <c r="E30" s="555"/>
    </row>
    <row r="31" spans="1:5" s="551" customFormat="1" ht="12" customHeight="1" x14ac:dyDescent="0.25">
      <c r="A31" s="575" t="s">
        <v>111</v>
      </c>
      <c r="B31" s="577" t="s">
        <v>134</v>
      </c>
      <c r="C31" s="435"/>
      <c r="D31" s="435"/>
      <c r="E31" s="554"/>
    </row>
    <row r="32" spans="1:5" s="551" customFormat="1" ht="12" customHeight="1" thickBot="1" x14ac:dyDescent="0.3">
      <c r="A32" s="574" t="s">
        <v>113</v>
      </c>
      <c r="B32" s="560" t="s">
        <v>136</v>
      </c>
      <c r="C32" s="558"/>
      <c r="D32" s="558"/>
      <c r="E32" s="553"/>
    </row>
    <row r="33" spans="1:5" s="551" customFormat="1" ht="12" customHeight="1" thickBot="1" x14ac:dyDescent="0.3">
      <c r="A33" s="561" t="s">
        <v>129</v>
      </c>
      <c r="B33" s="375" t="s">
        <v>304</v>
      </c>
      <c r="C33" s="41"/>
      <c r="D33" s="41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41"/>
      <c r="E34" s="567"/>
    </row>
    <row r="35" spans="1:5" s="524" customFormat="1" ht="12" customHeight="1" thickBot="1" x14ac:dyDescent="0.3">
      <c r="A35" s="498" t="s">
        <v>151</v>
      </c>
      <c r="B35" s="375" t="s">
        <v>461</v>
      </c>
      <c r="C35" s="434">
        <f>+C8+C19+C24+C25+C29+C33+C34</f>
        <v>0</v>
      </c>
      <c r="D35" s="434">
        <f>+D8+D19+D24+D25+D29+D33+D34</f>
        <v>0</v>
      </c>
      <c r="E35" s="568">
        <f>+E8+E19+E24+E25+E29+E33+E34</f>
        <v>0</v>
      </c>
    </row>
    <row r="36" spans="1:5" s="524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434">
        <f>+D37+D38+D39</f>
        <v>0</v>
      </c>
      <c r="E36" s="568">
        <f>+E37+E38+E39</f>
        <v>0</v>
      </c>
    </row>
    <row r="37" spans="1:5" s="524" customFormat="1" ht="12" customHeight="1" x14ac:dyDescent="0.25">
      <c r="A37" s="575" t="s">
        <v>463</v>
      </c>
      <c r="B37" s="576" t="s">
        <v>359</v>
      </c>
      <c r="C37" s="97"/>
      <c r="D37" s="97"/>
      <c r="E37" s="555"/>
    </row>
    <row r="38" spans="1:5" s="551" customFormat="1" ht="12" customHeight="1" x14ac:dyDescent="0.25">
      <c r="A38" s="575" t="s">
        <v>464</v>
      </c>
      <c r="B38" s="577" t="s">
        <v>465</v>
      </c>
      <c r="C38" s="435"/>
      <c r="D38" s="435"/>
      <c r="E38" s="554"/>
    </row>
    <row r="39" spans="1:5" s="551" customFormat="1" ht="12" customHeight="1" thickBot="1" x14ac:dyDescent="0.3">
      <c r="A39" s="574" t="s">
        <v>466</v>
      </c>
      <c r="B39" s="560" t="s">
        <v>467</v>
      </c>
      <c r="C39" s="558"/>
      <c r="D39" s="558"/>
      <c r="E39" s="553"/>
    </row>
    <row r="40" spans="1:5" s="551" customFormat="1" ht="15" customHeight="1" thickBot="1" x14ac:dyDescent="0.25">
      <c r="A40" s="563" t="s">
        <v>285</v>
      </c>
      <c r="B40" s="564" t="s">
        <v>468</v>
      </c>
      <c r="C40" s="103">
        <f>+C35+C36</f>
        <v>0</v>
      </c>
      <c r="D40" s="103">
        <f>+D35+D36</f>
        <v>0</v>
      </c>
      <c r="E40" s="569">
        <f>+E35+E36</f>
        <v>0</v>
      </c>
    </row>
    <row r="41" spans="1:5" s="551" customFormat="1" ht="15" customHeight="1" x14ac:dyDescent="0.25">
      <c r="A41" s="506"/>
      <c r="B41" s="507"/>
      <c r="C41" s="522"/>
      <c r="D41" s="522"/>
      <c r="E41" s="522"/>
    </row>
    <row r="42" spans="1:5" ht="13.8" thickBot="1" x14ac:dyDescent="0.3">
      <c r="A42" s="508"/>
      <c r="B42" s="509"/>
      <c r="C42" s="523"/>
      <c r="D42" s="523"/>
      <c r="E42" s="523"/>
    </row>
    <row r="43" spans="1:5" s="550" customFormat="1" ht="16.5" customHeight="1" thickBot="1" x14ac:dyDescent="0.3">
      <c r="A43" s="1728" t="s">
        <v>292</v>
      </c>
      <c r="B43" s="1729"/>
      <c r="C43" s="1729"/>
      <c r="D43" s="1729"/>
      <c r="E43" s="1730"/>
    </row>
    <row r="44" spans="1:5" s="333" customFormat="1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461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456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457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457"/>
    </row>
    <row r="48" spans="1:5" ht="12" customHeight="1" x14ac:dyDescent="0.25">
      <c r="A48" s="574" t="s">
        <v>59</v>
      </c>
      <c r="B48" s="355" t="s">
        <v>218</v>
      </c>
      <c r="C48" s="428"/>
      <c r="D48" s="428"/>
      <c r="E48" s="457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457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461">
        <f>SUM(E51:E53)</f>
        <v>0</v>
      </c>
    </row>
    <row r="51" spans="1:5" s="333" customFormat="1" ht="12" customHeight="1" x14ac:dyDescent="0.25">
      <c r="A51" s="574" t="s">
        <v>67</v>
      </c>
      <c r="B51" s="356" t="s">
        <v>241</v>
      </c>
      <c r="C51" s="97"/>
      <c r="D51" s="97"/>
      <c r="E51" s="456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457"/>
    </row>
    <row r="53" spans="1:5" ht="12" customHeight="1" x14ac:dyDescent="0.25">
      <c r="A53" s="574" t="s">
        <v>71</v>
      </c>
      <c r="B53" s="355" t="s">
        <v>471</v>
      </c>
      <c r="C53" s="428"/>
      <c r="D53" s="428"/>
      <c r="E53" s="457"/>
    </row>
    <row r="54" spans="1:5" ht="12" customHeight="1" thickBot="1" x14ac:dyDescent="0.3">
      <c r="A54" s="574" t="s">
        <v>73</v>
      </c>
      <c r="B54" s="355" t="s">
        <v>472</v>
      </c>
      <c r="C54" s="428"/>
      <c r="D54" s="428"/>
      <c r="E54" s="457"/>
    </row>
    <row r="55" spans="1:5" ht="12" customHeight="1" thickBot="1" x14ac:dyDescent="0.3">
      <c r="A55" s="561" t="s">
        <v>79</v>
      </c>
      <c r="B55" s="565" t="s">
        <v>473</v>
      </c>
      <c r="C55" s="434">
        <f>+C44+C50</f>
        <v>0</v>
      </c>
      <c r="D55" s="434">
        <f>+D44+D50</f>
        <v>0</v>
      </c>
      <c r="E55" s="461">
        <f>+E44+E50</f>
        <v>0</v>
      </c>
    </row>
    <row r="56" spans="1:5" ht="13.8" thickBot="1" x14ac:dyDescent="0.3">
      <c r="C56" s="570"/>
      <c r="D56" s="570"/>
      <c r="E56" s="570"/>
    </row>
    <row r="57" spans="1:5" ht="15" customHeight="1" thickBot="1" x14ac:dyDescent="0.3">
      <c r="A57" s="510" t="s">
        <v>437</v>
      </c>
      <c r="B57" s="511"/>
      <c r="C57" s="107"/>
      <c r="D57" s="107"/>
      <c r="E57" s="559"/>
    </row>
    <row r="58" spans="1:5" ht="14.25" customHeight="1" thickBot="1" x14ac:dyDescent="0.3">
      <c r="A58" s="510" t="s">
        <v>438</v>
      </c>
      <c r="B58" s="511"/>
      <c r="C58" s="107"/>
      <c r="D58" s="107"/>
      <c r="E58" s="559"/>
    </row>
  </sheetData>
  <sheetProtection sheet="1" formatCells="0"/>
  <mergeCells count="4">
    <mergeCell ref="A7:E7"/>
    <mergeCell ref="A43:E43"/>
    <mergeCell ref="B2:D2"/>
    <mergeCell ref="B3:D3"/>
  </mergeCells>
  <phoneticPr fontId="33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92D050"/>
  </sheetPr>
  <dimension ref="A1:E58"/>
  <sheetViews>
    <sheetView view="pageBreakPreview" zoomScale="115" zoomScaleNormal="100" zoomScaleSheetLayoutView="115" workbookViewId="0">
      <selection activeCell="H20" sqref="H20"/>
    </sheetView>
  </sheetViews>
  <sheetFormatPr defaultColWidth="9.33203125" defaultRowHeight="13.2" x14ac:dyDescent="0.25"/>
  <cols>
    <col min="1" max="1" width="16" style="566" customWidth="1"/>
    <col min="2" max="2" width="59.33203125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+CONCATENATE("7.2. melléklet a ……/",LEFT(ÖSSZEFÜGGÉSEK!A4,4)+1,". (……) önkormányzati rendelethez")</f>
        <v>7.2.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447</v>
      </c>
      <c r="C2" s="1732"/>
      <c r="D2" s="1733"/>
      <c r="E2" s="571" t="s">
        <v>440</v>
      </c>
    </row>
    <row r="3" spans="1:5" s="548" customFormat="1" ht="23.4" thickBot="1" x14ac:dyDescent="0.3">
      <c r="A3" s="546" t="s">
        <v>448</v>
      </c>
      <c r="B3" s="1734" t="s">
        <v>439</v>
      </c>
      <c r="C3" s="1737"/>
      <c r="D3" s="1738"/>
      <c r="E3" s="572" t="s">
        <v>440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434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100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431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431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431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431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431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431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101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431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433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434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431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431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431"/>
      <c r="E22" s="109"/>
    </row>
    <row r="23" spans="1:5" s="551" customFormat="1" ht="12" customHeight="1" thickBot="1" x14ac:dyDescent="0.3">
      <c r="A23" s="574" t="s">
        <v>73</v>
      </c>
      <c r="B23" s="355" t="s">
        <v>455</v>
      </c>
      <c r="C23" s="431"/>
      <c r="D23" s="431"/>
      <c r="E23" s="109"/>
    </row>
    <row r="24" spans="1:5" s="551" customFormat="1" ht="12" customHeight="1" thickBot="1" x14ac:dyDescent="0.3">
      <c r="A24" s="561" t="s">
        <v>79</v>
      </c>
      <c r="B24" s="375" t="s">
        <v>303</v>
      </c>
      <c r="C24" s="41"/>
      <c r="D24" s="41"/>
      <c r="E24" s="567"/>
    </row>
    <row r="25" spans="1:5" s="551" customFormat="1" ht="12" customHeight="1" thickBot="1" x14ac:dyDescent="0.3">
      <c r="A25" s="561" t="s">
        <v>262</v>
      </c>
      <c r="B25" s="375" t="s">
        <v>456</v>
      </c>
      <c r="C25" s="434">
        <f>SUM(C26:C27)</f>
        <v>0</v>
      </c>
      <c r="D25" s="434">
        <f>SUM(D26:D27)</f>
        <v>0</v>
      </c>
      <c r="E25" s="568">
        <f>SUM(E26:E27)</f>
        <v>0</v>
      </c>
    </row>
    <row r="26" spans="1:5" s="551" customFormat="1" ht="12" customHeight="1" x14ac:dyDescent="0.25">
      <c r="A26" s="575" t="s">
        <v>95</v>
      </c>
      <c r="B26" s="576" t="s">
        <v>453</v>
      </c>
      <c r="C26" s="97"/>
      <c r="D26" s="97"/>
      <c r="E26" s="555"/>
    </row>
    <row r="27" spans="1:5" s="551" customFormat="1" ht="12" customHeight="1" x14ac:dyDescent="0.25">
      <c r="A27" s="575" t="s">
        <v>101</v>
      </c>
      <c r="B27" s="577" t="s">
        <v>457</v>
      </c>
      <c r="C27" s="435"/>
      <c r="D27" s="435"/>
      <c r="E27" s="554"/>
    </row>
    <row r="28" spans="1:5" s="551" customFormat="1" ht="12" customHeight="1" thickBot="1" x14ac:dyDescent="0.3">
      <c r="A28" s="574" t="s">
        <v>103</v>
      </c>
      <c r="B28" s="578" t="s">
        <v>458</v>
      </c>
      <c r="C28" s="558"/>
      <c r="D28" s="558"/>
      <c r="E28" s="553"/>
    </row>
    <row r="29" spans="1:5" s="551" customFormat="1" ht="12" customHeight="1" thickBot="1" x14ac:dyDescent="0.3">
      <c r="A29" s="561" t="s">
        <v>107</v>
      </c>
      <c r="B29" s="375" t="s">
        <v>459</v>
      </c>
      <c r="C29" s="434">
        <f>SUM(C30:C32)</f>
        <v>0</v>
      </c>
      <c r="D29" s="434">
        <f>SUM(D30:D32)</f>
        <v>0</v>
      </c>
      <c r="E29" s="568">
        <f>SUM(E30:E32)</f>
        <v>0</v>
      </c>
    </row>
    <row r="30" spans="1:5" s="551" customFormat="1" ht="12" customHeight="1" x14ac:dyDescent="0.25">
      <c r="A30" s="575" t="s">
        <v>109</v>
      </c>
      <c r="B30" s="576" t="s">
        <v>132</v>
      </c>
      <c r="C30" s="97"/>
      <c r="D30" s="97"/>
      <c r="E30" s="555"/>
    </row>
    <row r="31" spans="1:5" s="551" customFormat="1" ht="12" customHeight="1" x14ac:dyDescent="0.25">
      <c r="A31" s="575" t="s">
        <v>111</v>
      </c>
      <c r="B31" s="577" t="s">
        <v>134</v>
      </c>
      <c r="C31" s="435"/>
      <c r="D31" s="435"/>
      <c r="E31" s="554"/>
    </row>
    <row r="32" spans="1:5" s="551" customFormat="1" ht="12" customHeight="1" thickBot="1" x14ac:dyDescent="0.3">
      <c r="A32" s="574" t="s">
        <v>113</v>
      </c>
      <c r="B32" s="560" t="s">
        <v>136</v>
      </c>
      <c r="C32" s="558"/>
      <c r="D32" s="558"/>
      <c r="E32" s="553"/>
    </row>
    <row r="33" spans="1:5" s="551" customFormat="1" ht="12" customHeight="1" thickBot="1" x14ac:dyDescent="0.3">
      <c r="A33" s="561" t="s">
        <v>129</v>
      </c>
      <c r="B33" s="375" t="s">
        <v>304</v>
      </c>
      <c r="C33" s="41"/>
      <c r="D33" s="41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41"/>
      <c r="E34" s="567"/>
    </row>
    <row r="35" spans="1:5" s="524" customFormat="1" ht="12" customHeight="1" thickBot="1" x14ac:dyDescent="0.3">
      <c r="A35" s="498" t="s">
        <v>151</v>
      </c>
      <c r="B35" s="375" t="s">
        <v>461</v>
      </c>
      <c r="C35" s="434">
        <f>+C8+C19+C24+C25+C29+C33+C34</f>
        <v>0</v>
      </c>
      <c r="D35" s="434">
        <f>+D8+D19+D24+D25+D29+D33+D34</f>
        <v>0</v>
      </c>
      <c r="E35" s="568">
        <f>+E8+E19+E24+E25+E29+E33+E34</f>
        <v>0</v>
      </c>
    </row>
    <row r="36" spans="1:5" s="524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434">
        <f>+D37+D38+D39</f>
        <v>0</v>
      </c>
      <c r="E36" s="568">
        <f>+E37+E38+E39</f>
        <v>0</v>
      </c>
    </row>
    <row r="37" spans="1:5" s="524" customFormat="1" ht="12" customHeight="1" x14ac:dyDescent="0.25">
      <c r="A37" s="575" t="s">
        <v>463</v>
      </c>
      <c r="B37" s="576" t="s">
        <v>359</v>
      </c>
      <c r="C37" s="97"/>
      <c r="D37" s="97"/>
      <c r="E37" s="555"/>
    </row>
    <row r="38" spans="1:5" s="551" customFormat="1" ht="12" customHeight="1" x14ac:dyDescent="0.25">
      <c r="A38" s="575" t="s">
        <v>464</v>
      </c>
      <c r="B38" s="577" t="s">
        <v>465</v>
      </c>
      <c r="C38" s="435"/>
      <c r="D38" s="435"/>
      <c r="E38" s="554"/>
    </row>
    <row r="39" spans="1:5" s="551" customFormat="1" ht="12" customHeight="1" thickBot="1" x14ac:dyDescent="0.3">
      <c r="A39" s="574" t="s">
        <v>466</v>
      </c>
      <c r="B39" s="560" t="s">
        <v>467</v>
      </c>
      <c r="C39" s="558"/>
      <c r="D39" s="558"/>
      <c r="E39" s="553"/>
    </row>
    <row r="40" spans="1:5" s="551" customFormat="1" ht="15" customHeight="1" thickBot="1" x14ac:dyDescent="0.25">
      <c r="A40" s="563" t="s">
        <v>285</v>
      </c>
      <c r="B40" s="564" t="s">
        <v>468</v>
      </c>
      <c r="C40" s="103">
        <f>+C35+C36</f>
        <v>0</v>
      </c>
      <c r="D40" s="103">
        <f>+D35+D36</f>
        <v>0</v>
      </c>
      <c r="E40" s="569">
        <f>+E35+E36</f>
        <v>0</v>
      </c>
    </row>
    <row r="41" spans="1:5" s="551" customFormat="1" ht="15" customHeight="1" x14ac:dyDescent="0.25">
      <c r="A41" s="506"/>
      <c r="B41" s="507"/>
      <c r="C41" s="522"/>
      <c r="D41" s="522"/>
      <c r="E41" s="522"/>
    </row>
    <row r="42" spans="1:5" ht="13.8" thickBot="1" x14ac:dyDescent="0.3">
      <c r="A42" s="508"/>
      <c r="B42" s="509"/>
      <c r="C42" s="523"/>
      <c r="D42" s="523"/>
      <c r="E42" s="523"/>
    </row>
    <row r="43" spans="1:5" s="550" customFormat="1" ht="16.5" customHeight="1" thickBot="1" x14ac:dyDescent="0.3">
      <c r="A43" s="1728" t="s">
        <v>292</v>
      </c>
      <c r="B43" s="1729"/>
      <c r="C43" s="1729"/>
      <c r="D43" s="1729"/>
      <c r="E43" s="1730"/>
    </row>
    <row r="44" spans="1:5" s="333" customFormat="1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461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456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457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457"/>
    </row>
    <row r="48" spans="1:5" ht="12" customHeight="1" x14ac:dyDescent="0.25">
      <c r="A48" s="574" t="s">
        <v>59</v>
      </c>
      <c r="B48" s="355" t="s">
        <v>218</v>
      </c>
      <c r="C48" s="428"/>
      <c r="D48" s="428"/>
      <c r="E48" s="457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457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461">
        <f>SUM(E51:E53)</f>
        <v>0</v>
      </c>
    </row>
    <row r="51" spans="1:5" s="333" customFormat="1" ht="12" customHeight="1" x14ac:dyDescent="0.25">
      <c r="A51" s="574" t="s">
        <v>67</v>
      </c>
      <c r="B51" s="356" t="s">
        <v>241</v>
      </c>
      <c r="C51" s="97"/>
      <c r="D51" s="97"/>
      <c r="E51" s="456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457"/>
    </row>
    <row r="53" spans="1:5" ht="12" customHeight="1" x14ac:dyDescent="0.25">
      <c r="A53" s="574" t="s">
        <v>71</v>
      </c>
      <c r="B53" s="355" t="s">
        <v>471</v>
      </c>
      <c r="C53" s="428"/>
      <c r="D53" s="428"/>
      <c r="E53" s="457"/>
    </row>
    <row r="54" spans="1:5" ht="12" customHeight="1" thickBot="1" x14ac:dyDescent="0.3">
      <c r="A54" s="574" t="s">
        <v>73</v>
      </c>
      <c r="B54" s="355" t="s">
        <v>472</v>
      </c>
      <c r="C54" s="428"/>
      <c r="D54" s="428"/>
      <c r="E54" s="457"/>
    </row>
    <row r="55" spans="1:5" ht="12" customHeight="1" thickBot="1" x14ac:dyDescent="0.3">
      <c r="A55" s="561" t="s">
        <v>79</v>
      </c>
      <c r="B55" s="565" t="s">
        <v>473</v>
      </c>
      <c r="C55" s="434">
        <f>+C44+C50</f>
        <v>0</v>
      </c>
      <c r="D55" s="434">
        <f>+D44+D50</f>
        <v>0</v>
      </c>
      <c r="E55" s="461">
        <f>+E44+E50</f>
        <v>0</v>
      </c>
    </row>
    <row r="56" spans="1:5" ht="13.8" thickBot="1" x14ac:dyDescent="0.3">
      <c r="C56" s="570"/>
      <c r="D56" s="570"/>
      <c r="E56" s="570"/>
    </row>
    <row r="57" spans="1:5" ht="15" customHeight="1" thickBot="1" x14ac:dyDescent="0.3">
      <c r="A57" s="510" t="s">
        <v>437</v>
      </c>
      <c r="B57" s="511"/>
      <c r="C57" s="107"/>
      <c r="D57" s="107"/>
      <c r="E57" s="559"/>
    </row>
    <row r="58" spans="1:5" ht="14.25" customHeight="1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92D050"/>
  </sheetPr>
  <dimension ref="A1:E58"/>
  <sheetViews>
    <sheetView view="pageBreakPreview" zoomScale="115" zoomScaleNormal="100" zoomScaleSheetLayoutView="115" workbookViewId="0">
      <selection activeCell="B4" sqref="B4"/>
    </sheetView>
  </sheetViews>
  <sheetFormatPr defaultColWidth="9.33203125" defaultRowHeight="13.2" x14ac:dyDescent="0.25"/>
  <cols>
    <col min="1" max="1" width="16" style="566" customWidth="1"/>
    <col min="2" max="2" width="59.33203125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+CONCATENATE("7.3. melléklet a ……/",LEFT(ÖSSZEFÜGGÉSEK!A4,4)+1,". (……) önkormányzati rendelethez")</f>
        <v>7.3.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447</v>
      </c>
      <c r="C2" s="1732"/>
      <c r="D2" s="1733"/>
      <c r="E2" s="571" t="s">
        <v>440</v>
      </c>
    </row>
    <row r="3" spans="1:5" s="548" customFormat="1" ht="23.4" thickBot="1" x14ac:dyDescent="0.3">
      <c r="A3" s="546" t="s">
        <v>448</v>
      </c>
      <c r="B3" s="1734" t="s">
        <v>474</v>
      </c>
      <c r="C3" s="1737"/>
      <c r="D3" s="1738"/>
      <c r="E3" s="572" t="s">
        <v>443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434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100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431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431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431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431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431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431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101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431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433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434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431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431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431"/>
      <c r="E22" s="109"/>
    </row>
    <row r="23" spans="1:5" s="551" customFormat="1" ht="12" customHeight="1" thickBot="1" x14ac:dyDescent="0.3">
      <c r="A23" s="574" t="s">
        <v>73</v>
      </c>
      <c r="B23" s="355" t="s">
        <v>455</v>
      </c>
      <c r="C23" s="431"/>
      <c r="D23" s="431"/>
      <c r="E23" s="109"/>
    </row>
    <row r="24" spans="1:5" s="551" customFormat="1" ht="12" customHeight="1" thickBot="1" x14ac:dyDescent="0.3">
      <c r="A24" s="561" t="s">
        <v>79</v>
      </c>
      <c r="B24" s="375" t="s">
        <v>303</v>
      </c>
      <c r="C24" s="41"/>
      <c r="D24" s="41"/>
      <c r="E24" s="567"/>
    </row>
    <row r="25" spans="1:5" s="551" customFormat="1" ht="12" customHeight="1" thickBot="1" x14ac:dyDescent="0.3">
      <c r="A25" s="561" t="s">
        <v>262</v>
      </c>
      <c r="B25" s="375" t="s">
        <v>456</v>
      </c>
      <c r="C25" s="434">
        <f>SUM(C26:C27)</f>
        <v>0</v>
      </c>
      <c r="D25" s="434">
        <f>SUM(D26:D27)</f>
        <v>0</v>
      </c>
      <c r="E25" s="568">
        <f>SUM(E26:E27)</f>
        <v>0</v>
      </c>
    </row>
    <row r="26" spans="1:5" s="551" customFormat="1" ht="12" customHeight="1" x14ac:dyDescent="0.25">
      <c r="A26" s="575" t="s">
        <v>95</v>
      </c>
      <c r="B26" s="576" t="s">
        <v>453</v>
      </c>
      <c r="C26" s="97"/>
      <c r="D26" s="97"/>
      <c r="E26" s="555"/>
    </row>
    <row r="27" spans="1:5" s="551" customFormat="1" ht="12" customHeight="1" x14ac:dyDescent="0.25">
      <c r="A27" s="575" t="s">
        <v>101</v>
      </c>
      <c r="B27" s="577" t="s">
        <v>457</v>
      </c>
      <c r="C27" s="435"/>
      <c r="D27" s="435"/>
      <c r="E27" s="554"/>
    </row>
    <row r="28" spans="1:5" s="551" customFormat="1" ht="12" customHeight="1" thickBot="1" x14ac:dyDescent="0.3">
      <c r="A28" s="574" t="s">
        <v>103</v>
      </c>
      <c r="B28" s="578" t="s">
        <v>458</v>
      </c>
      <c r="C28" s="558"/>
      <c r="D28" s="558"/>
      <c r="E28" s="553"/>
    </row>
    <row r="29" spans="1:5" s="551" customFormat="1" ht="12" customHeight="1" thickBot="1" x14ac:dyDescent="0.3">
      <c r="A29" s="561" t="s">
        <v>107</v>
      </c>
      <c r="B29" s="375" t="s">
        <v>459</v>
      </c>
      <c r="C29" s="434">
        <f>SUM(C30:C32)</f>
        <v>0</v>
      </c>
      <c r="D29" s="434">
        <f>SUM(D30:D32)</f>
        <v>0</v>
      </c>
      <c r="E29" s="568">
        <f>SUM(E30:E32)</f>
        <v>0</v>
      </c>
    </row>
    <row r="30" spans="1:5" s="551" customFormat="1" ht="12" customHeight="1" x14ac:dyDescent="0.25">
      <c r="A30" s="575" t="s">
        <v>109</v>
      </c>
      <c r="B30" s="576" t="s">
        <v>132</v>
      </c>
      <c r="C30" s="97"/>
      <c r="D30" s="97"/>
      <c r="E30" s="555"/>
    </row>
    <row r="31" spans="1:5" s="551" customFormat="1" ht="12" customHeight="1" x14ac:dyDescent="0.25">
      <c r="A31" s="575" t="s">
        <v>111</v>
      </c>
      <c r="B31" s="577" t="s">
        <v>134</v>
      </c>
      <c r="C31" s="435"/>
      <c r="D31" s="435"/>
      <c r="E31" s="554"/>
    </row>
    <row r="32" spans="1:5" s="551" customFormat="1" ht="12" customHeight="1" thickBot="1" x14ac:dyDescent="0.3">
      <c r="A32" s="574" t="s">
        <v>113</v>
      </c>
      <c r="B32" s="560" t="s">
        <v>136</v>
      </c>
      <c r="C32" s="558"/>
      <c r="D32" s="558"/>
      <c r="E32" s="553"/>
    </row>
    <row r="33" spans="1:5" s="551" customFormat="1" ht="12" customHeight="1" thickBot="1" x14ac:dyDescent="0.3">
      <c r="A33" s="561" t="s">
        <v>129</v>
      </c>
      <c r="B33" s="375" t="s">
        <v>304</v>
      </c>
      <c r="C33" s="41"/>
      <c r="D33" s="41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41"/>
      <c r="E34" s="567"/>
    </row>
    <row r="35" spans="1:5" s="524" customFormat="1" ht="12" customHeight="1" thickBot="1" x14ac:dyDescent="0.3">
      <c r="A35" s="498" t="s">
        <v>151</v>
      </c>
      <c r="B35" s="375" t="s">
        <v>461</v>
      </c>
      <c r="C35" s="434">
        <f>+C8+C19+C24+C25+C29+C33+C34</f>
        <v>0</v>
      </c>
      <c r="D35" s="434">
        <f>+D8+D19+D24+D25+D29+D33+D34</f>
        <v>0</v>
      </c>
      <c r="E35" s="568">
        <f>+E8+E19+E24+E25+E29+E33+E34</f>
        <v>0</v>
      </c>
    </row>
    <row r="36" spans="1:5" s="524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434">
        <f>+D37+D38+D39</f>
        <v>0</v>
      </c>
      <c r="E36" s="568">
        <f>+E37+E38+E39</f>
        <v>0</v>
      </c>
    </row>
    <row r="37" spans="1:5" s="524" customFormat="1" ht="12" customHeight="1" x14ac:dyDescent="0.25">
      <c r="A37" s="575" t="s">
        <v>463</v>
      </c>
      <c r="B37" s="576" t="s">
        <v>359</v>
      </c>
      <c r="C37" s="97"/>
      <c r="D37" s="97"/>
      <c r="E37" s="555"/>
    </row>
    <row r="38" spans="1:5" s="551" customFormat="1" ht="12" customHeight="1" x14ac:dyDescent="0.25">
      <c r="A38" s="575" t="s">
        <v>464</v>
      </c>
      <c r="B38" s="577" t="s">
        <v>465</v>
      </c>
      <c r="C38" s="435"/>
      <c r="D38" s="435"/>
      <c r="E38" s="554"/>
    </row>
    <row r="39" spans="1:5" s="551" customFormat="1" ht="12" customHeight="1" thickBot="1" x14ac:dyDescent="0.3">
      <c r="A39" s="574" t="s">
        <v>466</v>
      </c>
      <c r="B39" s="560" t="s">
        <v>467</v>
      </c>
      <c r="C39" s="558"/>
      <c r="D39" s="558"/>
      <c r="E39" s="553"/>
    </row>
    <row r="40" spans="1:5" s="551" customFormat="1" ht="15" customHeight="1" thickBot="1" x14ac:dyDescent="0.25">
      <c r="A40" s="563" t="s">
        <v>285</v>
      </c>
      <c r="B40" s="564" t="s">
        <v>468</v>
      </c>
      <c r="C40" s="103">
        <f>+C35+C36</f>
        <v>0</v>
      </c>
      <c r="D40" s="103">
        <f>+D35+D36</f>
        <v>0</v>
      </c>
      <c r="E40" s="569">
        <f>+E35+E36</f>
        <v>0</v>
      </c>
    </row>
    <row r="41" spans="1:5" s="551" customFormat="1" ht="15" customHeight="1" x14ac:dyDescent="0.25">
      <c r="A41" s="506"/>
      <c r="B41" s="507"/>
      <c r="C41" s="522"/>
      <c r="D41" s="522"/>
      <c r="E41" s="522"/>
    </row>
    <row r="42" spans="1:5" ht="13.8" thickBot="1" x14ac:dyDescent="0.3">
      <c r="A42" s="508"/>
      <c r="B42" s="509"/>
      <c r="C42" s="523"/>
      <c r="D42" s="523"/>
      <c r="E42" s="523"/>
    </row>
    <row r="43" spans="1:5" s="550" customFormat="1" ht="16.5" customHeight="1" thickBot="1" x14ac:dyDescent="0.3">
      <c r="A43" s="1728" t="s">
        <v>292</v>
      </c>
      <c r="B43" s="1729"/>
      <c r="C43" s="1729"/>
      <c r="D43" s="1729"/>
      <c r="E43" s="1730"/>
    </row>
    <row r="44" spans="1:5" s="333" customFormat="1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461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456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457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457"/>
    </row>
    <row r="48" spans="1:5" ht="12" customHeight="1" x14ac:dyDescent="0.25">
      <c r="A48" s="574" t="s">
        <v>59</v>
      </c>
      <c r="B48" s="355" t="s">
        <v>218</v>
      </c>
      <c r="C48" s="428"/>
      <c r="D48" s="428"/>
      <c r="E48" s="457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457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461">
        <f>SUM(E51:E53)</f>
        <v>0</v>
      </c>
    </row>
    <row r="51" spans="1:5" s="333" customFormat="1" ht="12" customHeight="1" x14ac:dyDescent="0.25">
      <c r="A51" s="574" t="s">
        <v>67</v>
      </c>
      <c r="B51" s="356" t="s">
        <v>241</v>
      </c>
      <c r="C51" s="97"/>
      <c r="D51" s="97"/>
      <c r="E51" s="456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457"/>
    </row>
    <row r="53" spans="1:5" ht="12" customHeight="1" x14ac:dyDescent="0.25">
      <c r="A53" s="574" t="s">
        <v>71</v>
      </c>
      <c r="B53" s="355" t="s">
        <v>471</v>
      </c>
      <c r="C53" s="428"/>
      <c r="D53" s="428"/>
      <c r="E53" s="457"/>
    </row>
    <row r="54" spans="1:5" ht="12" customHeight="1" thickBot="1" x14ac:dyDescent="0.3">
      <c r="A54" s="574" t="s">
        <v>73</v>
      </c>
      <c r="B54" s="355" t="s">
        <v>472</v>
      </c>
      <c r="C54" s="428"/>
      <c r="D54" s="428"/>
      <c r="E54" s="457"/>
    </row>
    <row r="55" spans="1:5" ht="12" customHeight="1" thickBot="1" x14ac:dyDescent="0.3">
      <c r="A55" s="561" t="s">
        <v>79</v>
      </c>
      <c r="B55" s="565" t="s">
        <v>473</v>
      </c>
      <c r="C55" s="434">
        <f>+C44+C50</f>
        <v>0</v>
      </c>
      <c r="D55" s="434">
        <f>+D44+D50</f>
        <v>0</v>
      </c>
      <c r="E55" s="461">
        <f>+E44+E50</f>
        <v>0</v>
      </c>
    </row>
    <row r="56" spans="1:5" ht="13.8" thickBot="1" x14ac:dyDescent="0.3">
      <c r="C56" s="570"/>
      <c r="D56" s="570"/>
      <c r="E56" s="570"/>
    </row>
    <row r="57" spans="1:5" ht="15" customHeight="1" thickBot="1" x14ac:dyDescent="0.3">
      <c r="A57" s="510" t="s">
        <v>437</v>
      </c>
      <c r="B57" s="511"/>
      <c r="C57" s="107"/>
      <c r="D57" s="107"/>
      <c r="E57" s="559"/>
    </row>
    <row r="58" spans="1:5" ht="14.25" customHeight="1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92D050"/>
  </sheetPr>
  <dimension ref="A1:E58"/>
  <sheetViews>
    <sheetView view="pageBreakPreview" zoomScale="115" zoomScaleNormal="100" zoomScaleSheetLayoutView="115" workbookViewId="0">
      <selection activeCell="H8" sqref="H8"/>
    </sheetView>
  </sheetViews>
  <sheetFormatPr defaultColWidth="9.33203125" defaultRowHeight="13.2" x14ac:dyDescent="0.25"/>
  <cols>
    <col min="1" max="1" width="16" style="566" customWidth="1"/>
    <col min="2" max="2" width="59.33203125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+CONCATENATE("7.4. melléklet a ……/",LEFT(ÖSSZEFÜGGÉSEK!A4,4)+1,". (……) önkormányzati rendelethez")</f>
        <v>7.4.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447</v>
      </c>
      <c r="C2" s="1732"/>
      <c r="D2" s="1733"/>
      <c r="E2" s="571" t="s">
        <v>440</v>
      </c>
    </row>
    <row r="3" spans="1:5" s="548" customFormat="1" ht="23.4" thickBot="1" x14ac:dyDescent="0.3">
      <c r="A3" s="546" t="s">
        <v>448</v>
      </c>
      <c r="B3" s="1734" t="s">
        <v>444</v>
      </c>
      <c r="C3" s="1737"/>
      <c r="D3" s="1738"/>
      <c r="E3" s="572" t="s">
        <v>445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434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100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431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431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431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431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431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431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101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431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433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434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431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431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431"/>
      <c r="E22" s="109"/>
    </row>
    <row r="23" spans="1:5" s="551" customFormat="1" ht="12" customHeight="1" thickBot="1" x14ac:dyDescent="0.3">
      <c r="A23" s="574" t="s">
        <v>73</v>
      </c>
      <c r="B23" s="355" t="s">
        <v>455</v>
      </c>
      <c r="C23" s="431"/>
      <c r="D23" s="431"/>
      <c r="E23" s="109"/>
    </row>
    <row r="24" spans="1:5" s="551" customFormat="1" ht="12" customHeight="1" thickBot="1" x14ac:dyDescent="0.3">
      <c r="A24" s="561" t="s">
        <v>79</v>
      </c>
      <c r="B24" s="375" t="s">
        <v>303</v>
      </c>
      <c r="C24" s="41"/>
      <c r="D24" s="41"/>
      <c r="E24" s="567"/>
    </row>
    <row r="25" spans="1:5" s="551" customFormat="1" ht="12" customHeight="1" thickBot="1" x14ac:dyDescent="0.3">
      <c r="A25" s="561" t="s">
        <v>262</v>
      </c>
      <c r="B25" s="375" t="s">
        <v>456</v>
      </c>
      <c r="C25" s="434">
        <f>SUM(C26:C27)</f>
        <v>0</v>
      </c>
      <c r="D25" s="434">
        <f>SUM(D26:D27)</f>
        <v>0</v>
      </c>
      <c r="E25" s="568">
        <f>SUM(E26:E27)</f>
        <v>0</v>
      </c>
    </row>
    <row r="26" spans="1:5" s="551" customFormat="1" ht="12" customHeight="1" x14ac:dyDescent="0.25">
      <c r="A26" s="575" t="s">
        <v>95</v>
      </c>
      <c r="B26" s="576" t="s">
        <v>453</v>
      </c>
      <c r="C26" s="97"/>
      <c r="D26" s="97"/>
      <c r="E26" s="555"/>
    </row>
    <row r="27" spans="1:5" s="551" customFormat="1" ht="12" customHeight="1" x14ac:dyDescent="0.25">
      <c r="A27" s="575" t="s">
        <v>101</v>
      </c>
      <c r="B27" s="577" t="s">
        <v>457</v>
      </c>
      <c r="C27" s="435"/>
      <c r="D27" s="435"/>
      <c r="E27" s="554"/>
    </row>
    <row r="28" spans="1:5" s="551" customFormat="1" ht="12" customHeight="1" thickBot="1" x14ac:dyDescent="0.3">
      <c r="A28" s="574" t="s">
        <v>103</v>
      </c>
      <c r="B28" s="578" t="s">
        <v>458</v>
      </c>
      <c r="C28" s="558"/>
      <c r="D28" s="558"/>
      <c r="E28" s="553"/>
    </row>
    <row r="29" spans="1:5" s="551" customFormat="1" ht="12" customHeight="1" thickBot="1" x14ac:dyDescent="0.3">
      <c r="A29" s="561" t="s">
        <v>107</v>
      </c>
      <c r="B29" s="375" t="s">
        <v>459</v>
      </c>
      <c r="C29" s="434">
        <f>SUM(C30:C32)</f>
        <v>0</v>
      </c>
      <c r="D29" s="434">
        <f>SUM(D30:D32)</f>
        <v>0</v>
      </c>
      <c r="E29" s="568">
        <f>SUM(E30:E32)</f>
        <v>0</v>
      </c>
    </row>
    <row r="30" spans="1:5" s="551" customFormat="1" ht="12" customHeight="1" x14ac:dyDescent="0.25">
      <c r="A30" s="575" t="s">
        <v>109</v>
      </c>
      <c r="B30" s="576" t="s">
        <v>132</v>
      </c>
      <c r="C30" s="97"/>
      <c r="D30" s="97"/>
      <c r="E30" s="555"/>
    </row>
    <row r="31" spans="1:5" s="551" customFormat="1" ht="12" customHeight="1" x14ac:dyDescent="0.25">
      <c r="A31" s="575" t="s">
        <v>111</v>
      </c>
      <c r="B31" s="577" t="s">
        <v>134</v>
      </c>
      <c r="C31" s="435"/>
      <c r="D31" s="435"/>
      <c r="E31" s="554"/>
    </row>
    <row r="32" spans="1:5" s="551" customFormat="1" ht="12" customHeight="1" thickBot="1" x14ac:dyDescent="0.3">
      <c r="A32" s="574" t="s">
        <v>113</v>
      </c>
      <c r="B32" s="560" t="s">
        <v>136</v>
      </c>
      <c r="C32" s="558"/>
      <c r="D32" s="558"/>
      <c r="E32" s="553"/>
    </row>
    <row r="33" spans="1:5" s="551" customFormat="1" ht="12" customHeight="1" thickBot="1" x14ac:dyDescent="0.3">
      <c r="A33" s="561" t="s">
        <v>129</v>
      </c>
      <c r="B33" s="375" t="s">
        <v>304</v>
      </c>
      <c r="C33" s="41"/>
      <c r="D33" s="41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41"/>
      <c r="E34" s="567"/>
    </row>
    <row r="35" spans="1:5" s="524" customFormat="1" ht="12" customHeight="1" thickBot="1" x14ac:dyDescent="0.3">
      <c r="A35" s="498" t="s">
        <v>151</v>
      </c>
      <c r="B35" s="375" t="s">
        <v>461</v>
      </c>
      <c r="C35" s="434">
        <f>+C8+C19+C24+C25+C29+C33+C34</f>
        <v>0</v>
      </c>
      <c r="D35" s="434">
        <f>+D8+D19+D24+D25+D29+D33+D34</f>
        <v>0</v>
      </c>
      <c r="E35" s="568">
        <f>+E8+E19+E24+E25+E29+E33+E34</f>
        <v>0</v>
      </c>
    </row>
    <row r="36" spans="1:5" s="524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434">
        <f>+D37+D38+D39</f>
        <v>0</v>
      </c>
      <c r="E36" s="568">
        <f>+E37+E38+E39</f>
        <v>0</v>
      </c>
    </row>
    <row r="37" spans="1:5" s="524" customFormat="1" ht="12" customHeight="1" x14ac:dyDescent="0.25">
      <c r="A37" s="575" t="s">
        <v>463</v>
      </c>
      <c r="B37" s="576" t="s">
        <v>359</v>
      </c>
      <c r="C37" s="97"/>
      <c r="D37" s="97"/>
      <c r="E37" s="555"/>
    </row>
    <row r="38" spans="1:5" s="551" customFormat="1" ht="12" customHeight="1" x14ac:dyDescent="0.25">
      <c r="A38" s="575" t="s">
        <v>464</v>
      </c>
      <c r="B38" s="577" t="s">
        <v>465</v>
      </c>
      <c r="C38" s="435"/>
      <c r="D38" s="435"/>
      <c r="E38" s="554"/>
    </row>
    <row r="39" spans="1:5" s="551" customFormat="1" ht="12" customHeight="1" thickBot="1" x14ac:dyDescent="0.3">
      <c r="A39" s="574" t="s">
        <v>466</v>
      </c>
      <c r="B39" s="560" t="s">
        <v>467</v>
      </c>
      <c r="C39" s="558"/>
      <c r="D39" s="558"/>
      <c r="E39" s="553"/>
    </row>
    <row r="40" spans="1:5" s="551" customFormat="1" ht="15" customHeight="1" thickBot="1" x14ac:dyDescent="0.25">
      <c r="A40" s="563" t="s">
        <v>285</v>
      </c>
      <c r="B40" s="564" t="s">
        <v>468</v>
      </c>
      <c r="C40" s="103">
        <f>+C35+C36</f>
        <v>0</v>
      </c>
      <c r="D40" s="103">
        <f>+D35+D36</f>
        <v>0</v>
      </c>
      <c r="E40" s="569">
        <f>+E35+E36</f>
        <v>0</v>
      </c>
    </row>
    <row r="41" spans="1:5" s="551" customFormat="1" ht="15" customHeight="1" x14ac:dyDescent="0.25">
      <c r="A41" s="506"/>
      <c r="B41" s="507"/>
      <c r="C41" s="522"/>
      <c r="D41" s="522"/>
      <c r="E41" s="522"/>
    </row>
    <row r="42" spans="1:5" ht="13.8" thickBot="1" x14ac:dyDescent="0.3">
      <c r="A42" s="508"/>
      <c r="B42" s="509"/>
      <c r="C42" s="523"/>
      <c r="D42" s="523"/>
      <c r="E42" s="523"/>
    </row>
    <row r="43" spans="1:5" s="550" customFormat="1" ht="16.5" customHeight="1" thickBot="1" x14ac:dyDescent="0.3">
      <c r="A43" s="1728" t="s">
        <v>292</v>
      </c>
      <c r="B43" s="1729"/>
      <c r="C43" s="1729"/>
      <c r="D43" s="1729"/>
      <c r="E43" s="1730"/>
    </row>
    <row r="44" spans="1:5" s="333" customFormat="1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461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456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457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457"/>
    </row>
    <row r="48" spans="1:5" ht="12" customHeight="1" x14ac:dyDescent="0.25">
      <c r="A48" s="574" t="s">
        <v>59</v>
      </c>
      <c r="B48" s="355" t="s">
        <v>218</v>
      </c>
      <c r="C48" s="428"/>
      <c r="D48" s="428"/>
      <c r="E48" s="457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457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461">
        <f>SUM(E51:E53)</f>
        <v>0</v>
      </c>
    </row>
    <row r="51" spans="1:5" s="333" customFormat="1" ht="12" customHeight="1" x14ac:dyDescent="0.25">
      <c r="A51" s="574" t="s">
        <v>67</v>
      </c>
      <c r="B51" s="356" t="s">
        <v>241</v>
      </c>
      <c r="C51" s="97"/>
      <c r="D51" s="97"/>
      <c r="E51" s="456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457"/>
    </row>
    <row r="53" spans="1:5" ht="12" customHeight="1" x14ac:dyDescent="0.25">
      <c r="A53" s="574" t="s">
        <v>71</v>
      </c>
      <c r="B53" s="355" t="s">
        <v>471</v>
      </c>
      <c r="C53" s="428"/>
      <c r="D53" s="428"/>
      <c r="E53" s="457"/>
    </row>
    <row r="54" spans="1:5" ht="12" customHeight="1" thickBot="1" x14ac:dyDescent="0.3">
      <c r="A54" s="574" t="s">
        <v>73</v>
      </c>
      <c r="B54" s="355" t="s">
        <v>472</v>
      </c>
      <c r="C54" s="428"/>
      <c r="D54" s="428"/>
      <c r="E54" s="457"/>
    </row>
    <row r="55" spans="1:5" ht="12" customHeight="1" thickBot="1" x14ac:dyDescent="0.3">
      <c r="A55" s="561" t="s">
        <v>79</v>
      </c>
      <c r="B55" s="565" t="s">
        <v>473</v>
      </c>
      <c r="C55" s="434">
        <f>+C44+C50</f>
        <v>0</v>
      </c>
      <c r="D55" s="434">
        <f>+D44+D50</f>
        <v>0</v>
      </c>
      <c r="E55" s="461">
        <f>+E44+E50</f>
        <v>0</v>
      </c>
    </row>
    <row r="56" spans="1:5" ht="13.8" thickBot="1" x14ac:dyDescent="0.3">
      <c r="C56" s="570"/>
      <c r="D56" s="570"/>
      <c r="E56" s="570"/>
    </row>
    <row r="57" spans="1:5" ht="15" customHeight="1" thickBot="1" x14ac:dyDescent="0.3">
      <c r="A57" s="510" t="s">
        <v>437</v>
      </c>
      <c r="B57" s="511"/>
      <c r="C57" s="107"/>
      <c r="D57" s="107"/>
      <c r="E57" s="559"/>
    </row>
    <row r="58" spans="1:5" ht="14.25" customHeight="1" thickBot="1" x14ac:dyDescent="0.3">
      <c r="A58" s="510" t="s">
        <v>438</v>
      </c>
      <c r="B58" s="511"/>
      <c r="C58" s="107"/>
      <c r="D58" s="107"/>
      <c r="E58" s="559"/>
    </row>
  </sheetData>
  <sheetProtection sheet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92D050"/>
  </sheetPr>
  <dimension ref="A1:M58"/>
  <sheetViews>
    <sheetView zoomScaleNormal="100" zoomScaleSheetLayoutView="145" workbookViewId="0">
      <selection activeCell="A57" sqref="A57"/>
    </sheetView>
  </sheetViews>
  <sheetFormatPr defaultColWidth="9.33203125" defaultRowHeight="13.2" x14ac:dyDescent="0.25"/>
  <cols>
    <col min="1" max="1" width="18.6640625" style="566" customWidth="1"/>
    <col min="2" max="2" width="62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+CONCATENATE("8.1. melléklet a ……/",LEFT(ÖSSZEFÜGGÉSEK!A4,4)+1,". (……) önkormányzati rendelethez")</f>
        <v>8.1.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475</v>
      </c>
      <c r="C2" s="1732"/>
      <c r="D2" s="1733"/>
      <c r="E2" s="571" t="s">
        <v>443</v>
      </c>
    </row>
    <row r="3" spans="1:5" s="548" customFormat="1" ht="16.2" thickBot="1" x14ac:dyDescent="0.3">
      <c r="A3" s="546" t="s">
        <v>476</v>
      </c>
      <c r="B3" s="1734" t="s">
        <v>424</v>
      </c>
      <c r="C3" s="1737"/>
      <c r="D3" s="1738"/>
      <c r="E3" s="572" t="s">
        <v>422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591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592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593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593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593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593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593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593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594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593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110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591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593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593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593"/>
      <c r="E22" s="109"/>
    </row>
    <row r="23" spans="1:5" s="524" customFormat="1" ht="12" customHeight="1" thickBot="1" x14ac:dyDescent="0.3">
      <c r="A23" s="574" t="s">
        <v>73</v>
      </c>
      <c r="B23" s="355" t="s">
        <v>477</v>
      </c>
      <c r="C23" s="431"/>
      <c r="D23" s="593"/>
      <c r="E23" s="109"/>
    </row>
    <row r="24" spans="1:5" s="524" customFormat="1" ht="12" customHeight="1" thickBot="1" x14ac:dyDescent="0.3">
      <c r="A24" s="561" t="s">
        <v>79</v>
      </c>
      <c r="B24" s="375" t="s">
        <v>303</v>
      </c>
      <c r="C24" s="41"/>
      <c r="D24" s="595"/>
      <c r="E24" s="567"/>
    </row>
    <row r="25" spans="1:5" s="524" customFormat="1" ht="12" customHeight="1" thickBot="1" x14ac:dyDescent="0.3">
      <c r="A25" s="561" t="s">
        <v>262</v>
      </c>
      <c r="B25" s="375" t="s">
        <v>456</v>
      </c>
      <c r="C25" s="434">
        <f>+C26+C27</f>
        <v>0</v>
      </c>
      <c r="D25" s="591">
        <f>+D26+D27</f>
        <v>0</v>
      </c>
      <c r="E25" s="568">
        <f>+E26+E27</f>
        <v>0</v>
      </c>
    </row>
    <row r="26" spans="1:5" s="524" customFormat="1" ht="12" customHeight="1" x14ac:dyDescent="0.25">
      <c r="A26" s="575" t="s">
        <v>95</v>
      </c>
      <c r="B26" s="576" t="s">
        <v>453</v>
      </c>
      <c r="C26" s="97"/>
      <c r="D26" s="582"/>
      <c r="E26" s="555"/>
    </row>
    <row r="27" spans="1:5" s="524" customFormat="1" ht="12" customHeight="1" x14ac:dyDescent="0.25">
      <c r="A27" s="575" t="s">
        <v>101</v>
      </c>
      <c r="B27" s="577" t="s">
        <v>457</v>
      </c>
      <c r="C27" s="435"/>
      <c r="D27" s="596"/>
      <c r="E27" s="554"/>
    </row>
    <row r="28" spans="1:5" s="524" customFormat="1" ht="12" customHeight="1" thickBot="1" x14ac:dyDescent="0.3">
      <c r="A28" s="574" t="s">
        <v>103</v>
      </c>
      <c r="B28" s="578" t="s">
        <v>478</v>
      </c>
      <c r="C28" s="558"/>
      <c r="D28" s="597"/>
      <c r="E28" s="553"/>
    </row>
    <row r="29" spans="1:5" s="524" customFormat="1" ht="12" customHeight="1" thickBot="1" x14ac:dyDescent="0.3">
      <c r="A29" s="561" t="s">
        <v>107</v>
      </c>
      <c r="B29" s="375" t="s">
        <v>459</v>
      </c>
      <c r="C29" s="434">
        <f>+C30+C31+C32</f>
        <v>0</v>
      </c>
      <c r="D29" s="591">
        <f>+D30+D31+D32</f>
        <v>0</v>
      </c>
      <c r="E29" s="568">
        <f>+E30+E31+E32</f>
        <v>0</v>
      </c>
    </row>
    <row r="30" spans="1:5" s="524" customFormat="1" ht="12" customHeight="1" x14ac:dyDescent="0.25">
      <c r="A30" s="575" t="s">
        <v>109</v>
      </c>
      <c r="B30" s="576" t="s">
        <v>132</v>
      </c>
      <c r="C30" s="97"/>
      <c r="D30" s="582"/>
      <c r="E30" s="555"/>
    </row>
    <row r="31" spans="1:5" s="524" customFormat="1" ht="12" customHeight="1" x14ac:dyDescent="0.25">
      <c r="A31" s="575" t="s">
        <v>111</v>
      </c>
      <c r="B31" s="577" t="s">
        <v>134</v>
      </c>
      <c r="C31" s="435"/>
      <c r="D31" s="596"/>
      <c r="E31" s="554"/>
    </row>
    <row r="32" spans="1:5" s="524" customFormat="1" ht="12" customHeight="1" thickBot="1" x14ac:dyDescent="0.3">
      <c r="A32" s="574" t="s">
        <v>113</v>
      </c>
      <c r="B32" s="560" t="s">
        <v>136</v>
      </c>
      <c r="C32" s="558"/>
      <c r="D32" s="597"/>
      <c r="E32" s="553"/>
    </row>
    <row r="33" spans="1:13" s="524" customFormat="1" ht="12" customHeight="1" thickBot="1" x14ac:dyDescent="0.3">
      <c r="A33" s="561" t="s">
        <v>129</v>
      </c>
      <c r="B33" s="375" t="s">
        <v>304</v>
      </c>
      <c r="C33" s="41"/>
      <c r="D33" s="595"/>
      <c r="E33" s="567"/>
    </row>
    <row r="34" spans="1:13" s="524" customFormat="1" ht="12" customHeight="1" thickBot="1" x14ac:dyDescent="0.3">
      <c r="A34" s="561" t="s">
        <v>273</v>
      </c>
      <c r="B34" s="375" t="s">
        <v>460</v>
      </c>
      <c r="C34" s="41"/>
      <c r="D34" s="595"/>
      <c r="E34" s="567"/>
    </row>
    <row r="35" spans="1:13" s="524" customFormat="1" ht="12" customHeight="1" thickBot="1" x14ac:dyDescent="0.3">
      <c r="A35" s="498" t="s">
        <v>151</v>
      </c>
      <c r="B35" s="375" t="s">
        <v>479</v>
      </c>
      <c r="C35" s="434">
        <f>+C8+C19+C24+C25+C29+C33+C34</f>
        <v>0</v>
      </c>
      <c r="D35" s="591">
        <f>+D8+D19+D24+D25+D29+D33+D34</f>
        <v>0</v>
      </c>
      <c r="E35" s="568">
        <f>+E8+E19+E24+E25+E29+E33+E34</f>
        <v>0</v>
      </c>
    </row>
    <row r="36" spans="1:13" s="551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591">
        <f>+D37+D38+D39</f>
        <v>0</v>
      </c>
      <c r="E36" s="568">
        <f>+E37+E38+E39</f>
        <v>0</v>
      </c>
    </row>
    <row r="37" spans="1:13" s="551" customFormat="1" ht="15" customHeight="1" x14ac:dyDescent="0.25">
      <c r="A37" s="575" t="s">
        <v>463</v>
      </c>
      <c r="B37" s="576" t="s">
        <v>359</v>
      </c>
      <c r="C37" s="97"/>
      <c r="D37" s="582"/>
      <c r="E37" s="555"/>
    </row>
    <row r="38" spans="1:13" s="551" customFormat="1" ht="15" customHeight="1" x14ac:dyDescent="0.25">
      <c r="A38" s="575" t="s">
        <v>464</v>
      </c>
      <c r="B38" s="577" t="s">
        <v>465</v>
      </c>
      <c r="C38" s="435"/>
      <c r="D38" s="596"/>
      <c r="E38" s="554"/>
    </row>
    <row r="39" spans="1:13" ht="13.8" thickBot="1" x14ac:dyDescent="0.3">
      <c r="A39" s="574" t="s">
        <v>466</v>
      </c>
      <c r="B39" s="560" t="s">
        <v>467</v>
      </c>
      <c r="C39" s="558"/>
      <c r="D39" s="597"/>
      <c r="E39" s="553"/>
    </row>
    <row r="40" spans="1:13" s="550" customFormat="1" ht="16.5" customHeight="1" thickBot="1" x14ac:dyDescent="0.25">
      <c r="A40" s="563" t="s">
        <v>285</v>
      </c>
      <c r="B40" s="564" t="s">
        <v>468</v>
      </c>
      <c r="C40" s="103">
        <f>+C35+C36</f>
        <v>0</v>
      </c>
      <c r="D40" s="598">
        <f>+D35+D36</f>
        <v>0</v>
      </c>
      <c r="E40" s="569">
        <f>+E35+E36</f>
        <v>0</v>
      </c>
    </row>
    <row r="41" spans="1:13" s="333" customFormat="1" ht="12" customHeight="1" x14ac:dyDescent="0.25">
      <c r="A41" s="506"/>
      <c r="B41" s="507"/>
      <c r="C41" s="522"/>
      <c r="D41" s="522"/>
      <c r="E41" s="522"/>
    </row>
    <row r="42" spans="1:13" ht="12" customHeight="1" thickBot="1" x14ac:dyDescent="0.3">
      <c r="A42" s="508"/>
      <c r="B42" s="509"/>
      <c r="C42" s="523"/>
      <c r="D42" s="523"/>
      <c r="E42" s="523"/>
    </row>
    <row r="43" spans="1:13" ht="12" customHeight="1" thickBot="1" x14ac:dyDescent="0.3">
      <c r="A43" s="1728" t="s">
        <v>292</v>
      </c>
      <c r="B43" s="1729"/>
      <c r="C43" s="1729"/>
      <c r="D43" s="1729"/>
      <c r="E43" s="1730"/>
    </row>
    <row r="44" spans="1:13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568">
        <f>SUM(E45:E49)</f>
        <v>0</v>
      </c>
    </row>
    <row r="45" spans="1:13" ht="12" customHeight="1" x14ac:dyDescent="0.25">
      <c r="A45" s="574" t="s">
        <v>53</v>
      </c>
      <c r="B45" s="356" t="s">
        <v>215</v>
      </c>
      <c r="C45" s="97"/>
      <c r="D45" s="97"/>
      <c r="E45" s="555"/>
      <c r="M45" s="32">
        <f>15000/60</f>
        <v>250</v>
      </c>
    </row>
    <row r="46" spans="1:13" ht="12" customHeight="1" x14ac:dyDescent="0.25">
      <c r="A46" s="574" t="s">
        <v>55</v>
      </c>
      <c r="B46" s="355" t="s">
        <v>216</v>
      </c>
      <c r="C46" s="428"/>
      <c r="D46" s="428"/>
      <c r="E46" s="579"/>
      <c r="M46" s="32">
        <f>+M45/8</f>
        <v>31.25</v>
      </c>
    </row>
    <row r="47" spans="1:13" ht="12" customHeight="1" x14ac:dyDescent="0.25">
      <c r="A47" s="574" t="s">
        <v>57</v>
      </c>
      <c r="B47" s="355" t="s">
        <v>217</v>
      </c>
      <c r="C47" s="428"/>
      <c r="D47" s="428"/>
      <c r="E47" s="579"/>
    </row>
    <row r="48" spans="1:13" s="333" customFormat="1" ht="12" customHeight="1" x14ac:dyDescent="0.25">
      <c r="A48" s="574" t="s">
        <v>59</v>
      </c>
      <c r="B48" s="355" t="s">
        <v>218</v>
      </c>
      <c r="C48" s="428"/>
      <c r="D48" s="428"/>
      <c r="E48" s="579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579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568">
        <f>SUM(E51:E53)</f>
        <v>0</v>
      </c>
    </row>
    <row r="51" spans="1:5" ht="12" customHeight="1" x14ac:dyDescent="0.25">
      <c r="A51" s="574" t="s">
        <v>67</v>
      </c>
      <c r="B51" s="356" t="s">
        <v>241</v>
      </c>
      <c r="C51" s="97"/>
      <c r="D51" s="97"/>
      <c r="E51" s="555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579"/>
    </row>
    <row r="53" spans="1:5" ht="15" customHeight="1" x14ac:dyDescent="0.25">
      <c r="A53" s="574" t="s">
        <v>71</v>
      </c>
      <c r="B53" s="355" t="s">
        <v>471</v>
      </c>
      <c r="C53" s="428"/>
      <c r="D53" s="428"/>
      <c r="E53" s="579"/>
    </row>
    <row r="54" spans="1:5" ht="13.8" thickBot="1" x14ac:dyDescent="0.3">
      <c r="A54" s="574" t="s">
        <v>73</v>
      </c>
      <c r="B54" s="355" t="s">
        <v>480</v>
      </c>
      <c r="C54" s="428"/>
      <c r="D54" s="428"/>
      <c r="E54" s="579"/>
    </row>
    <row r="55" spans="1:5" ht="15" customHeight="1" thickBot="1" x14ac:dyDescent="0.3">
      <c r="A55" s="561" t="s">
        <v>79</v>
      </c>
      <c r="B55" s="565" t="s">
        <v>473</v>
      </c>
      <c r="C55" s="103">
        <f>+C44+C50</f>
        <v>0</v>
      </c>
      <c r="D55" s="103">
        <f>+D44+D50</f>
        <v>0</v>
      </c>
      <c r="E55" s="569">
        <f>+E44+E50</f>
        <v>0</v>
      </c>
    </row>
    <row r="56" spans="1:5" ht="13.8" thickBot="1" x14ac:dyDescent="0.3">
      <c r="C56" s="570"/>
      <c r="D56" s="570"/>
      <c r="E56" s="570"/>
    </row>
    <row r="57" spans="1:5" ht="13.8" thickBot="1" x14ac:dyDescent="0.3">
      <c r="A57" s="510" t="s">
        <v>437</v>
      </c>
      <c r="B57" s="511"/>
      <c r="C57" s="107"/>
      <c r="D57" s="107"/>
      <c r="E57" s="559"/>
    </row>
    <row r="58" spans="1:5" ht="13.8" thickBot="1" x14ac:dyDescent="0.3">
      <c r="A58" s="510" t="s">
        <v>438</v>
      </c>
      <c r="B58" s="511"/>
      <c r="C58" s="107"/>
      <c r="D58" s="107"/>
      <c r="E58" s="559"/>
    </row>
  </sheetData>
  <sheetProtection sheet="1" formatCells="0"/>
  <mergeCells count="4">
    <mergeCell ref="A7:E7"/>
    <mergeCell ref="A43:E43"/>
    <mergeCell ref="B2:D2"/>
    <mergeCell ref="B3:D3"/>
  </mergeCells>
  <phoneticPr fontId="33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ColWidth="9.33203125" defaultRowHeight="13.2" x14ac:dyDescent="0.25"/>
  <cols>
    <col min="1" max="1" width="18.6640625" style="566" customWidth="1"/>
    <col min="2" max="2" width="62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+CONCATENATE("8.1.1. melléklet a ……/",LEFT(ÖSSZEFÜGGÉSEK!A4,4)+1,". (……) önkormányzati rendelethez")</f>
        <v>8.1.1.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475</v>
      </c>
      <c r="C2" s="1732"/>
      <c r="D2" s="1733"/>
      <c r="E2" s="571" t="s">
        <v>443</v>
      </c>
    </row>
    <row r="3" spans="1:5" s="548" customFormat="1" ht="16.2" thickBot="1" x14ac:dyDescent="0.3">
      <c r="A3" s="546" t="s">
        <v>476</v>
      </c>
      <c r="B3" s="1734" t="s">
        <v>481</v>
      </c>
      <c r="C3" s="1737"/>
      <c r="D3" s="1738"/>
      <c r="E3" s="572" t="s">
        <v>440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591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592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593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593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593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593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593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593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594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593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110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591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593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593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593"/>
      <c r="E22" s="109"/>
    </row>
    <row r="23" spans="1:5" s="524" customFormat="1" ht="12" customHeight="1" thickBot="1" x14ac:dyDescent="0.3">
      <c r="A23" s="574" t="s">
        <v>73</v>
      </c>
      <c r="B23" s="355" t="s">
        <v>477</v>
      </c>
      <c r="C23" s="431"/>
      <c r="D23" s="593"/>
      <c r="E23" s="109"/>
    </row>
    <row r="24" spans="1:5" s="524" customFormat="1" ht="12" customHeight="1" thickBot="1" x14ac:dyDescent="0.3">
      <c r="A24" s="561" t="s">
        <v>79</v>
      </c>
      <c r="B24" s="375" t="s">
        <v>303</v>
      </c>
      <c r="C24" s="41"/>
      <c r="D24" s="595"/>
      <c r="E24" s="567"/>
    </row>
    <row r="25" spans="1:5" s="524" customFormat="1" ht="12" customHeight="1" thickBot="1" x14ac:dyDescent="0.3">
      <c r="A25" s="561" t="s">
        <v>262</v>
      </c>
      <c r="B25" s="375" t="s">
        <v>456</v>
      </c>
      <c r="C25" s="434">
        <f>+C26+C27</f>
        <v>0</v>
      </c>
      <c r="D25" s="591">
        <f>+D26+D27</f>
        <v>0</v>
      </c>
      <c r="E25" s="568">
        <f>+E26+E27</f>
        <v>0</v>
      </c>
    </row>
    <row r="26" spans="1:5" s="524" customFormat="1" ht="12" customHeight="1" x14ac:dyDescent="0.25">
      <c r="A26" s="575" t="s">
        <v>95</v>
      </c>
      <c r="B26" s="576" t="s">
        <v>453</v>
      </c>
      <c r="C26" s="97"/>
      <c r="D26" s="582"/>
      <c r="E26" s="555"/>
    </row>
    <row r="27" spans="1:5" s="524" customFormat="1" ht="12" customHeight="1" x14ac:dyDescent="0.25">
      <c r="A27" s="575" t="s">
        <v>101</v>
      </c>
      <c r="B27" s="577" t="s">
        <v>457</v>
      </c>
      <c r="C27" s="435"/>
      <c r="D27" s="596"/>
      <c r="E27" s="554"/>
    </row>
    <row r="28" spans="1:5" s="524" customFormat="1" ht="12" customHeight="1" thickBot="1" x14ac:dyDescent="0.3">
      <c r="A28" s="574" t="s">
        <v>103</v>
      </c>
      <c r="B28" s="578" t="s">
        <v>478</v>
      </c>
      <c r="C28" s="558"/>
      <c r="D28" s="597"/>
      <c r="E28" s="553"/>
    </row>
    <row r="29" spans="1:5" s="524" customFormat="1" ht="12" customHeight="1" thickBot="1" x14ac:dyDescent="0.3">
      <c r="A29" s="561" t="s">
        <v>107</v>
      </c>
      <c r="B29" s="375" t="s">
        <v>459</v>
      </c>
      <c r="C29" s="434">
        <f>+C30+C31+C32</f>
        <v>0</v>
      </c>
      <c r="D29" s="591">
        <f>+D30+D31+D32</f>
        <v>0</v>
      </c>
      <c r="E29" s="568">
        <f>+E30+E31+E32</f>
        <v>0</v>
      </c>
    </row>
    <row r="30" spans="1:5" s="524" customFormat="1" ht="12" customHeight="1" x14ac:dyDescent="0.25">
      <c r="A30" s="575" t="s">
        <v>109</v>
      </c>
      <c r="B30" s="576" t="s">
        <v>132</v>
      </c>
      <c r="C30" s="97"/>
      <c r="D30" s="582"/>
      <c r="E30" s="555"/>
    </row>
    <row r="31" spans="1:5" s="524" customFormat="1" ht="12" customHeight="1" x14ac:dyDescent="0.25">
      <c r="A31" s="575" t="s">
        <v>111</v>
      </c>
      <c r="B31" s="577" t="s">
        <v>134</v>
      </c>
      <c r="C31" s="435"/>
      <c r="D31" s="596"/>
      <c r="E31" s="554"/>
    </row>
    <row r="32" spans="1:5" s="524" customFormat="1" ht="12" customHeight="1" thickBot="1" x14ac:dyDescent="0.3">
      <c r="A32" s="574" t="s">
        <v>113</v>
      </c>
      <c r="B32" s="560" t="s">
        <v>136</v>
      </c>
      <c r="C32" s="558"/>
      <c r="D32" s="597"/>
      <c r="E32" s="553"/>
    </row>
    <row r="33" spans="1:5" s="524" customFormat="1" ht="12" customHeight="1" thickBot="1" x14ac:dyDescent="0.3">
      <c r="A33" s="561" t="s">
        <v>129</v>
      </c>
      <c r="B33" s="375" t="s">
        <v>304</v>
      </c>
      <c r="C33" s="41"/>
      <c r="D33" s="595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595"/>
      <c r="E34" s="567"/>
    </row>
    <row r="35" spans="1:5" s="524" customFormat="1" ht="12" customHeight="1" thickBot="1" x14ac:dyDescent="0.3">
      <c r="A35" s="498" t="s">
        <v>151</v>
      </c>
      <c r="B35" s="375" t="s">
        <v>479</v>
      </c>
      <c r="C35" s="434">
        <f>+C8+C19+C24+C25+C29+C33+C34</f>
        <v>0</v>
      </c>
      <c r="D35" s="591">
        <f>+D8+D19+D24+D25+D29+D33+D34</f>
        <v>0</v>
      </c>
      <c r="E35" s="568">
        <f>+E8+E19+E24+E25+E29+E33+E34</f>
        <v>0</v>
      </c>
    </row>
    <row r="36" spans="1:5" s="551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591">
        <f>+D37+D38+D39</f>
        <v>0</v>
      </c>
      <c r="E36" s="568">
        <f>+E37+E38+E39</f>
        <v>0</v>
      </c>
    </row>
    <row r="37" spans="1:5" s="551" customFormat="1" ht="15" customHeight="1" x14ac:dyDescent="0.25">
      <c r="A37" s="575" t="s">
        <v>463</v>
      </c>
      <c r="B37" s="576" t="s">
        <v>359</v>
      </c>
      <c r="C37" s="97"/>
      <c r="D37" s="582"/>
      <c r="E37" s="555"/>
    </row>
    <row r="38" spans="1:5" s="551" customFormat="1" ht="15" customHeight="1" x14ac:dyDescent="0.25">
      <c r="A38" s="575" t="s">
        <v>464</v>
      </c>
      <c r="B38" s="577" t="s">
        <v>465</v>
      </c>
      <c r="C38" s="435"/>
      <c r="D38" s="596"/>
      <c r="E38" s="554"/>
    </row>
    <row r="39" spans="1:5" ht="13.8" thickBot="1" x14ac:dyDescent="0.3">
      <c r="A39" s="574" t="s">
        <v>466</v>
      </c>
      <c r="B39" s="560" t="s">
        <v>467</v>
      </c>
      <c r="C39" s="558"/>
      <c r="D39" s="597"/>
      <c r="E39" s="553"/>
    </row>
    <row r="40" spans="1:5" s="550" customFormat="1" ht="16.5" customHeight="1" thickBot="1" x14ac:dyDescent="0.25">
      <c r="A40" s="563" t="s">
        <v>285</v>
      </c>
      <c r="B40" s="564" t="s">
        <v>468</v>
      </c>
      <c r="C40" s="103">
        <f>+C35+C36</f>
        <v>0</v>
      </c>
      <c r="D40" s="598">
        <f>+D35+D36</f>
        <v>0</v>
      </c>
      <c r="E40" s="569">
        <f>+E35+E36</f>
        <v>0</v>
      </c>
    </row>
    <row r="41" spans="1:5" s="333" customFormat="1" ht="12" customHeight="1" x14ac:dyDescent="0.25">
      <c r="A41" s="506"/>
      <c r="B41" s="507"/>
      <c r="C41" s="522"/>
      <c r="D41" s="522"/>
      <c r="E41" s="522"/>
    </row>
    <row r="42" spans="1:5" ht="12" customHeight="1" thickBot="1" x14ac:dyDescent="0.3">
      <c r="A42" s="508"/>
      <c r="B42" s="509"/>
      <c r="C42" s="523"/>
      <c r="D42" s="523"/>
      <c r="E42" s="523"/>
    </row>
    <row r="43" spans="1:5" ht="12" customHeight="1" thickBot="1" x14ac:dyDescent="0.3">
      <c r="A43" s="1728" t="s">
        <v>292</v>
      </c>
      <c r="B43" s="1729"/>
      <c r="C43" s="1729"/>
      <c r="D43" s="1729"/>
      <c r="E43" s="1730"/>
    </row>
    <row r="44" spans="1:5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568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555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579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579"/>
    </row>
    <row r="48" spans="1:5" s="333" customFormat="1" ht="12" customHeight="1" x14ac:dyDescent="0.25">
      <c r="A48" s="574" t="s">
        <v>59</v>
      </c>
      <c r="B48" s="355" t="s">
        <v>218</v>
      </c>
      <c r="C48" s="428"/>
      <c r="D48" s="428"/>
      <c r="E48" s="579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579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568">
        <f>SUM(E51:E53)</f>
        <v>0</v>
      </c>
    </row>
    <row r="51" spans="1:5" ht="12" customHeight="1" x14ac:dyDescent="0.25">
      <c r="A51" s="574" t="s">
        <v>67</v>
      </c>
      <c r="B51" s="356" t="s">
        <v>241</v>
      </c>
      <c r="C51" s="97"/>
      <c r="D51" s="97"/>
      <c r="E51" s="555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579"/>
    </row>
    <row r="53" spans="1:5" ht="15" customHeight="1" x14ac:dyDescent="0.25">
      <c r="A53" s="574" t="s">
        <v>71</v>
      </c>
      <c r="B53" s="355" t="s">
        <v>471</v>
      </c>
      <c r="C53" s="428"/>
      <c r="D53" s="428"/>
      <c r="E53" s="579"/>
    </row>
    <row r="54" spans="1:5" ht="13.8" thickBot="1" x14ac:dyDescent="0.3">
      <c r="A54" s="574" t="s">
        <v>73</v>
      </c>
      <c r="B54" s="355" t="s">
        <v>480</v>
      </c>
      <c r="C54" s="428"/>
      <c r="D54" s="428"/>
      <c r="E54" s="579"/>
    </row>
    <row r="55" spans="1:5" ht="15" customHeight="1" thickBot="1" x14ac:dyDescent="0.3">
      <c r="A55" s="561" t="s">
        <v>79</v>
      </c>
      <c r="B55" s="565" t="s">
        <v>473</v>
      </c>
      <c r="C55" s="103">
        <f>+C44+C50</f>
        <v>0</v>
      </c>
      <c r="D55" s="103">
        <f>+D44+D50</f>
        <v>0</v>
      </c>
      <c r="E55" s="569">
        <f>+E44+E50</f>
        <v>0</v>
      </c>
    </row>
    <row r="56" spans="1:5" ht="13.8" thickBot="1" x14ac:dyDescent="0.3">
      <c r="C56" s="570"/>
      <c r="D56" s="570"/>
      <c r="E56" s="570"/>
    </row>
    <row r="57" spans="1:5" ht="13.8" thickBot="1" x14ac:dyDescent="0.3">
      <c r="A57" s="510" t="s">
        <v>437</v>
      </c>
      <c r="B57" s="511"/>
      <c r="C57" s="107"/>
      <c r="D57" s="107"/>
      <c r="E57" s="559"/>
    </row>
    <row r="58" spans="1:5" ht="13.8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unka2">
    <tabColor rgb="FF00B0F0"/>
  </sheetPr>
  <dimension ref="A1:I156"/>
  <sheetViews>
    <sheetView showGridLines="0" view="pageLayout" zoomScale="130" zoomScaleNormal="130" zoomScaleSheetLayoutView="85" zoomScalePageLayoutView="130" workbookViewId="0">
      <selection activeCell="F112" sqref="F112"/>
    </sheetView>
  </sheetViews>
  <sheetFormatPr defaultColWidth="9.33203125" defaultRowHeight="15.6" x14ac:dyDescent="0.3"/>
  <cols>
    <col min="1" max="1" width="9.44140625" style="395" customWidth="1"/>
    <col min="2" max="2" width="62.77734375" style="395" customWidth="1"/>
    <col min="3" max="3" width="15.77734375" style="396" customWidth="1"/>
    <col min="4" max="4" width="15.6640625" style="396" customWidth="1"/>
    <col min="5" max="5" width="15.77734375" style="396" customWidth="1"/>
    <col min="6" max="6" width="14.109375" style="406" customWidth="1"/>
    <col min="7" max="7" width="14.33203125" style="406" bestFit="1" customWidth="1"/>
    <col min="8" max="8" width="11.44140625" style="406" customWidth="1"/>
    <col min="9" max="16384" width="9.33203125" style="406"/>
  </cols>
  <sheetData>
    <row r="1" spans="1:8" ht="15.9" customHeight="1" x14ac:dyDescent="0.3">
      <c r="A1" s="1617" t="s">
        <v>39</v>
      </c>
      <c r="B1" s="1618"/>
      <c r="C1" s="1618"/>
      <c r="D1" s="1618"/>
      <c r="E1" s="1618"/>
      <c r="F1" s="1542"/>
      <c r="G1" s="1543"/>
    </row>
    <row r="2" spans="1:8" ht="12" customHeight="1" thickBot="1" x14ac:dyDescent="0.35">
      <c r="A2" s="1405" t="s">
        <v>2111</v>
      </c>
      <c r="B2" s="42"/>
      <c r="C2" s="393"/>
      <c r="D2" s="393"/>
      <c r="E2" s="393"/>
      <c r="F2" s="1544"/>
      <c r="G2" s="1545" t="s">
        <v>1690</v>
      </c>
    </row>
    <row r="3" spans="1:8" ht="15.9" customHeight="1" thickBot="1" x14ac:dyDescent="0.35">
      <c r="A3" s="1624" t="s">
        <v>41</v>
      </c>
      <c r="B3" s="1626" t="s">
        <v>42</v>
      </c>
      <c r="C3" s="1628" t="s">
        <v>1795</v>
      </c>
      <c r="D3" s="1629"/>
      <c r="E3" s="1629"/>
      <c r="F3" s="1629"/>
      <c r="G3" s="1630"/>
    </row>
    <row r="4" spans="1:8" ht="38.1" customHeight="1" thickBot="1" x14ac:dyDescent="0.35">
      <c r="A4" s="1625"/>
      <c r="B4" s="1627"/>
      <c r="C4" s="1538" t="s">
        <v>43</v>
      </c>
      <c r="D4" s="1538" t="s">
        <v>2172</v>
      </c>
      <c r="E4" s="1538" t="s">
        <v>2173</v>
      </c>
      <c r="F4" s="1541" t="s">
        <v>2174</v>
      </c>
      <c r="G4" s="1541" t="s">
        <v>2182</v>
      </c>
    </row>
    <row r="5" spans="1:8" s="407" customFormat="1" ht="12" customHeight="1" thickBot="1" x14ac:dyDescent="0.25">
      <c r="A5" s="372" t="s">
        <v>46</v>
      </c>
      <c r="B5" s="373" t="s">
        <v>47</v>
      </c>
      <c r="C5" s="373" t="s">
        <v>48</v>
      </c>
      <c r="D5" s="373" t="s">
        <v>49</v>
      </c>
      <c r="E5" s="373" t="s">
        <v>49</v>
      </c>
      <c r="F5" s="373" t="s">
        <v>49</v>
      </c>
      <c r="G5" s="373" t="s">
        <v>49</v>
      </c>
    </row>
    <row r="6" spans="1:8" s="408" customFormat="1" ht="12" customHeight="1" thickBot="1" x14ac:dyDescent="0.3">
      <c r="A6" s="367" t="s">
        <v>51</v>
      </c>
      <c r="B6" s="368" t="s">
        <v>52</v>
      </c>
      <c r="C6" s="398">
        <f>SUM(C7:C12)</f>
        <v>514472405</v>
      </c>
      <c r="D6" s="398">
        <f>SUM(D7:D12)</f>
        <v>519103059</v>
      </c>
      <c r="E6" s="398">
        <f>SUM(E7:E12)</f>
        <v>531398359</v>
      </c>
      <c r="F6" s="398">
        <f>SUM(F7:F12)</f>
        <v>532641643</v>
      </c>
      <c r="G6" s="398">
        <f>SUM(G7:G12)</f>
        <v>551209563</v>
      </c>
      <c r="H6" s="912">
        <f>G6-F6</f>
        <v>18567920</v>
      </c>
    </row>
    <row r="7" spans="1:8" s="408" customFormat="1" ht="12" customHeight="1" x14ac:dyDescent="0.25">
      <c r="A7" s="362" t="s">
        <v>53</v>
      </c>
      <c r="B7" s="409" t="s">
        <v>54</v>
      </c>
      <c r="C7" s="400">
        <v>113626837</v>
      </c>
      <c r="D7" s="400">
        <f>113626837+103607</f>
        <v>113730444</v>
      </c>
      <c r="E7" s="400">
        <f>D7+32984+14221+3444000</f>
        <v>117221649</v>
      </c>
      <c r="F7" s="400">
        <f>E7+39598</f>
        <v>117261247</v>
      </c>
      <c r="G7" s="400">
        <v>117286861</v>
      </c>
      <c r="H7" s="912">
        <f>G7-F7</f>
        <v>25614</v>
      </c>
    </row>
    <row r="8" spans="1:8" s="408" customFormat="1" ht="12" customHeight="1" x14ac:dyDescent="0.25">
      <c r="A8" s="361" t="s">
        <v>55</v>
      </c>
      <c r="B8" s="410" t="s">
        <v>56</v>
      </c>
      <c r="C8" s="399">
        <v>268246807</v>
      </c>
      <c r="D8" s="399">
        <v>268246807</v>
      </c>
      <c r="E8" s="399">
        <f>D8+4680000-356367</f>
        <v>272570440</v>
      </c>
      <c r="F8" s="399">
        <f>E8</f>
        <v>272570440</v>
      </c>
      <c r="G8" s="399">
        <v>272570440</v>
      </c>
      <c r="H8" s="912">
        <f t="shared" ref="H8:H71" si="0">G8-F8</f>
        <v>0</v>
      </c>
    </row>
    <row r="9" spans="1:8" s="408" customFormat="1" ht="12" customHeight="1" x14ac:dyDescent="0.25">
      <c r="A9" s="361" t="s">
        <v>57</v>
      </c>
      <c r="B9" s="410" t="s">
        <v>58</v>
      </c>
      <c r="C9" s="399">
        <v>105236021</v>
      </c>
      <c r="D9" s="399">
        <f>105236021+258444</f>
        <v>105494465</v>
      </c>
      <c r="E9" s="399">
        <f>D9+439559+4180000-1214087</f>
        <v>108899937</v>
      </c>
      <c r="F9" s="399">
        <f>E9+387224</f>
        <v>109287161</v>
      </c>
      <c r="G9" s="399">
        <v>96040235</v>
      </c>
      <c r="H9" s="912">
        <f t="shared" si="0"/>
        <v>-13246926</v>
      </c>
    </row>
    <row r="10" spans="1:8" s="408" customFormat="1" ht="12" customHeight="1" x14ac:dyDescent="0.25">
      <c r="A10" s="361" t="s">
        <v>59</v>
      </c>
      <c r="B10" s="410" t="s">
        <v>60</v>
      </c>
      <c r="C10" s="399">
        <v>12528340</v>
      </c>
      <c r="D10" s="399">
        <f>12528340+591503</f>
        <v>13119843</v>
      </c>
      <c r="E10" s="399">
        <f>D10+412990+237000+425000</f>
        <v>14194833</v>
      </c>
      <c r="F10" s="399">
        <f>E10+406142</f>
        <v>14600975</v>
      </c>
      <c r="G10" s="399">
        <v>14871695</v>
      </c>
      <c r="H10" s="912">
        <f t="shared" si="0"/>
        <v>270720</v>
      </c>
    </row>
    <row r="11" spans="1:8" s="408" customFormat="1" ht="12" customHeight="1" x14ac:dyDescent="0.25">
      <c r="A11" s="363" t="s">
        <v>61</v>
      </c>
      <c r="B11" s="411" t="s">
        <v>64</v>
      </c>
      <c r="C11" s="401">
        <v>14834400</v>
      </c>
      <c r="D11" s="401">
        <v>14834400</v>
      </c>
      <c r="E11" s="401">
        <v>14834400</v>
      </c>
      <c r="F11" s="401">
        <v>14834400</v>
      </c>
      <c r="G11" s="401">
        <v>46352912</v>
      </c>
      <c r="H11" s="912">
        <f t="shared" si="0"/>
        <v>31518512</v>
      </c>
    </row>
    <row r="12" spans="1:8" s="408" customFormat="1" ht="12" customHeight="1" thickBot="1" x14ac:dyDescent="0.3">
      <c r="A12" s="361" t="s">
        <v>63</v>
      </c>
      <c r="B12" s="410" t="s">
        <v>62</v>
      </c>
      <c r="C12" s="399"/>
      <c r="D12" s="399">
        <v>3677100</v>
      </c>
      <c r="E12" s="399">
        <v>3677100</v>
      </c>
      <c r="F12" s="399">
        <f>3677100+410320</f>
        <v>4087420</v>
      </c>
      <c r="G12" s="399">
        <f>3677100+410320</f>
        <v>4087420</v>
      </c>
      <c r="H12" s="912">
        <f t="shared" si="0"/>
        <v>0</v>
      </c>
    </row>
    <row r="13" spans="1:8" s="408" customFormat="1" ht="19.5" customHeight="1" thickBot="1" x14ac:dyDescent="0.3">
      <c r="A13" s="367" t="s">
        <v>65</v>
      </c>
      <c r="B13" s="388" t="s">
        <v>66</v>
      </c>
      <c r="C13" s="398">
        <f>SUM(C14:C18)</f>
        <v>31215700</v>
      </c>
      <c r="D13" s="398">
        <f>SUM(D14:D18)</f>
        <v>33140480</v>
      </c>
      <c r="E13" s="398">
        <f>SUM(E14:E18)</f>
        <v>33140480</v>
      </c>
      <c r="F13" s="398">
        <f>SUM(F14:F18)</f>
        <v>64658992</v>
      </c>
      <c r="G13" s="398">
        <f>SUM(G14:G18)</f>
        <v>30499880</v>
      </c>
      <c r="H13" s="912">
        <f t="shared" si="0"/>
        <v>-34159112</v>
      </c>
    </row>
    <row r="14" spans="1:8" s="408" customFormat="1" ht="12" customHeight="1" x14ac:dyDescent="0.25">
      <c r="A14" s="362" t="s">
        <v>67</v>
      </c>
      <c r="B14" s="409" t="s">
        <v>68</v>
      </c>
      <c r="C14" s="400"/>
      <c r="D14" s="400">
        <v>1924780</v>
      </c>
      <c r="E14" s="400">
        <v>1924780</v>
      </c>
      <c r="F14" s="400">
        <v>1924780</v>
      </c>
      <c r="G14" s="400">
        <v>1924780</v>
      </c>
      <c r="H14" s="912">
        <f t="shared" si="0"/>
        <v>0</v>
      </c>
    </row>
    <row r="15" spans="1:8" s="408" customFormat="1" ht="12" customHeight="1" x14ac:dyDescent="0.25">
      <c r="A15" s="361" t="s">
        <v>69</v>
      </c>
      <c r="B15" s="410" t="s">
        <v>70</v>
      </c>
      <c r="C15" s="399"/>
      <c r="D15" s="399"/>
      <c r="E15" s="399"/>
      <c r="F15" s="399"/>
      <c r="G15" s="399"/>
      <c r="H15" s="912">
        <f t="shared" si="0"/>
        <v>0</v>
      </c>
    </row>
    <row r="16" spans="1:8" s="408" customFormat="1" ht="12" customHeight="1" x14ac:dyDescent="0.25">
      <c r="A16" s="361" t="s">
        <v>71</v>
      </c>
      <c r="B16" s="410" t="s">
        <v>72</v>
      </c>
      <c r="C16" s="399"/>
      <c r="D16" s="399"/>
      <c r="E16" s="399"/>
      <c r="F16" s="399"/>
      <c r="G16" s="399"/>
      <c r="H16" s="912">
        <f t="shared" si="0"/>
        <v>0</v>
      </c>
    </row>
    <row r="17" spans="1:8" s="408" customFormat="1" ht="12" customHeight="1" x14ac:dyDescent="0.25">
      <c r="A17" s="361" t="s">
        <v>73</v>
      </c>
      <c r="B17" s="410" t="s">
        <v>74</v>
      </c>
      <c r="C17" s="399"/>
      <c r="D17" s="399"/>
      <c r="E17" s="399"/>
      <c r="F17" s="399"/>
      <c r="G17" s="399"/>
      <c r="H17" s="912">
        <f t="shared" si="0"/>
        <v>0</v>
      </c>
    </row>
    <row r="18" spans="1:8" s="408" customFormat="1" ht="12" customHeight="1" x14ac:dyDescent="0.25">
      <c r="A18" s="361" t="s">
        <v>75</v>
      </c>
      <c r="B18" s="410" t="s">
        <v>1791</v>
      </c>
      <c r="C18" s="399">
        <v>31215700</v>
      </c>
      <c r="D18" s="399">
        <v>31215700</v>
      </c>
      <c r="E18" s="399">
        <v>31215700</v>
      </c>
      <c r="F18" s="399">
        <f>31215700+31518512</f>
        <v>62734212</v>
      </c>
      <c r="G18" s="399">
        <v>28575100</v>
      </c>
      <c r="H18" s="912">
        <f t="shared" si="0"/>
        <v>-34159112</v>
      </c>
    </row>
    <row r="19" spans="1:8" s="408" customFormat="1" ht="12" customHeight="1" thickBot="1" x14ac:dyDescent="0.3">
      <c r="A19" s="363" t="s">
        <v>77</v>
      </c>
      <c r="B19" s="411" t="s">
        <v>78</v>
      </c>
      <c r="C19" s="401">
        <v>5155300</v>
      </c>
      <c r="D19" s="401">
        <v>5155300</v>
      </c>
      <c r="E19" s="401">
        <v>5155300</v>
      </c>
      <c r="F19" s="401">
        <v>5155300</v>
      </c>
      <c r="G19" s="401">
        <v>5155300</v>
      </c>
      <c r="H19" s="912">
        <f t="shared" si="0"/>
        <v>0</v>
      </c>
    </row>
    <row r="20" spans="1:8" s="408" customFormat="1" ht="17.25" customHeight="1" thickBot="1" x14ac:dyDescent="0.3">
      <c r="A20" s="367" t="s">
        <v>79</v>
      </c>
      <c r="B20" s="368" t="s">
        <v>80</v>
      </c>
      <c r="C20" s="398">
        <f>SUM(C21:C25)</f>
        <v>0</v>
      </c>
      <c r="D20" s="398">
        <f>SUM(D21:D25)</f>
        <v>0</v>
      </c>
      <c r="E20" s="398">
        <f>SUM(E21:E25)</f>
        <v>0</v>
      </c>
      <c r="F20" s="398">
        <f>SUM(F21:F25)</f>
        <v>0</v>
      </c>
      <c r="G20" s="398">
        <f>SUM(G21:G25)</f>
        <v>278000</v>
      </c>
      <c r="H20" s="912">
        <f t="shared" si="0"/>
        <v>278000</v>
      </c>
    </row>
    <row r="21" spans="1:8" s="408" customFormat="1" ht="12" customHeight="1" x14ac:dyDescent="0.25">
      <c r="A21" s="362" t="s">
        <v>81</v>
      </c>
      <c r="B21" s="409" t="s">
        <v>82</v>
      </c>
      <c r="C21" s="400"/>
      <c r="D21" s="400"/>
      <c r="E21" s="400"/>
      <c r="F21" s="400"/>
      <c r="G21" s="400">
        <v>278000</v>
      </c>
      <c r="H21" s="912">
        <f t="shared" si="0"/>
        <v>278000</v>
      </c>
    </row>
    <row r="22" spans="1:8" s="408" customFormat="1" ht="12" customHeight="1" x14ac:dyDescent="0.25">
      <c r="A22" s="361" t="s">
        <v>83</v>
      </c>
      <c r="B22" s="410" t="s">
        <v>84</v>
      </c>
      <c r="C22" s="399"/>
      <c r="D22" s="399"/>
      <c r="E22" s="399"/>
      <c r="F22" s="399"/>
      <c r="G22" s="399"/>
      <c r="H22" s="912">
        <f t="shared" si="0"/>
        <v>0</v>
      </c>
    </row>
    <row r="23" spans="1:8" s="408" customFormat="1" ht="12" customHeight="1" x14ac:dyDescent="0.25">
      <c r="A23" s="361" t="s">
        <v>85</v>
      </c>
      <c r="B23" s="410" t="s">
        <v>86</v>
      </c>
      <c r="C23" s="399"/>
      <c r="D23" s="399"/>
      <c r="E23" s="399"/>
      <c r="F23" s="399"/>
      <c r="G23" s="399"/>
      <c r="H23" s="912">
        <f t="shared" si="0"/>
        <v>0</v>
      </c>
    </row>
    <row r="24" spans="1:8" s="408" customFormat="1" ht="12" customHeight="1" x14ac:dyDescent="0.25">
      <c r="A24" s="361" t="s">
        <v>87</v>
      </c>
      <c r="B24" s="410" t="s">
        <v>88</v>
      </c>
      <c r="C24" s="399"/>
      <c r="D24" s="399"/>
      <c r="E24" s="399"/>
      <c r="F24" s="399"/>
      <c r="G24" s="399"/>
      <c r="H24" s="912">
        <f t="shared" si="0"/>
        <v>0</v>
      </c>
    </row>
    <row r="25" spans="1:8" s="408" customFormat="1" ht="12" customHeight="1" x14ac:dyDescent="0.25">
      <c r="A25" s="361" t="s">
        <v>89</v>
      </c>
      <c r="B25" s="410" t="s">
        <v>1792</v>
      </c>
      <c r="C25" s="399"/>
      <c r="D25" s="399"/>
      <c r="E25" s="399"/>
      <c r="F25" s="399"/>
      <c r="G25" s="399"/>
      <c r="H25" s="912">
        <f t="shared" si="0"/>
        <v>0</v>
      </c>
    </row>
    <row r="26" spans="1:8" s="408" customFormat="1" ht="12" customHeight="1" thickBot="1" x14ac:dyDescent="0.3">
      <c r="A26" s="363" t="s">
        <v>91</v>
      </c>
      <c r="B26" s="390" t="s">
        <v>92</v>
      </c>
      <c r="C26" s="401"/>
      <c r="D26" s="401"/>
      <c r="E26" s="401"/>
      <c r="F26" s="401"/>
      <c r="G26" s="401"/>
      <c r="H26" s="912">
        <f t="shared" si="0"/>
        <v>0</v>
      </c>
    </row>
    <row r="27" spans="1:8" s="408" customFormat="1" ht="12" customHeight="1" thickBot="1" x14ac:dyDescent="0.3">
      <c r="A27" s="367" t="s">
        <v>93</v>
      </c>
      <c r="B27" s="368" t="s">
        <v>94</v>
      </c>
      <c r="C27" s="404">
        <f>+C28+C31+C32+C33</f>
        <v>684000000</v>
      </c>
      <c r="D27" s="404">
        <f>+D28+D31+D32+D33</f>
        <v>709000000</v>
      </c>
      <c r="E27" s="404">
        <f>+E28+E31+E32+E33</f>
        <v>725000000</v>
      </c>
      <c r="F27" s="404">
        <f>+F28+F31+F32+F33</f>
        <v>725000000</v>
      </c>
      <c r="G27" s="404">
        <f>+G28+G31+G32+G33</f>
        <v>725000000</v>
      </c>
      <c r="H27" s="912">
        <f t="shared" si="0"/>
        <v>0</v>
      </c>
    </row>
    <row r="28" spans="1:8" s="408" customFormat="1" ht="12" customHeight="1" x14ac:dyDescent="0.25">
      <c r="A28" s="362" t="s">
        <v>95</v>
      </c>
      <c r="B28" s="409" t="s">
        <v>96</v>
      </c>
      <c r="C28" s="419">
        <f>SUM(C29:C30)</f>
        <v>637000000</v>
      </c>
      <c r="D28" s="419">
        <f>SUM(D29:D30)</f>
        <v>662000000</v>
      </c>
      <c r="E28" s="419">
        <f>SUM(E29:E30)</f>
        <v>682000000</v>
      </c>
      <c r="F28" s="419">
        <f>SUM(F29:F30)</f>
        <v>682000000</v>
      </c>
      <c r="G28" s="419">
        <f>SUM(G29:G30)</f>
        <v>682000000</v>
      </c>
      <c r="H28" s="912">
        <f t="shared" si="0"/>
        <v>0</v>
      </c>
    </row>
    <row r="29" spans="1:8" s="408" customFormat="1" ht="12" customHeight="1" x14ac:dyDescent="0.25">
      <c r="A29" s="361" t="s">
        <v>97</v>
      </c>
      <c r="B29" s="410" t="s">
        <v>98</v>
      </c>
      <c r="C29" s="399">
        <v>217000000</v>
      </c>
      <c r="D29" s="399">
        <v>225000000</v>
      </c>
      <c r="E29" s="399">
        <v>235000000</v>
      </c>
      <c r="F29" s="399">
        <v>235000000</v>
      </c>
      <c r="G29" s="399">
        <v>235000000</v>
      </c>
      <c r="H29" s="912">
        <f t="shared" si="0"/>
        <v>0</v>
      </c>
    </row>
    <row r="30" spans="1:8" s="408" customFormat="1" ht="12" customHeight="1" x14ac:dyDescent="0.25">
      <c r="A30" s="361" t="s">
        <v>99</v>
      </c>
      <c r="B30" s="410" t="s">
        <v>100</v>
      </c>
      <c r="C30" s="399">
        <v>420000000</v>
      </c>
      <c r="D30" s="399">
        <v>437000000</v>
      </c>
      <c r="E30" s="399">
        <v>447000000</v>
      </c>
      <c r="F30" s="399">
        <v>447000000</v>
      </c>
      <c r="G30" s="399">
        <v>447000000</v>
      </c>
      <c r="H30" s="912">
        <f t="shared" si="0"/>
        <v>0</v>
      </c>
    </row>
    <row r="31" spans="1:8" s="408" customFormat="1" ht="12" customHeight="1" x14ac:dyDescent="0.25">
      <c r="A31" s="361" t="s">
        <v>101</v>
      </c>
      <c r="B31" s="410" t="s">
        <v>102</v>
      </c>
      <c r="C31" s="399">
        <v>35000000</v>
      </c>
      <c r="D31" s="399">
        <v>35000000</v>
      </c>
      <c r="E31" s="399">
        <v>40000000</v>
      </c>
      <c r="F31" s="399">
        <v>40000000</v>
      </c>
      <c r="G31" s="399">
        <v>40000000</v>
      </c>
      <c r="H31" s="912">
        <f t="shared" si="0"/>
        <v>0</v>
      </c>
    </row>
    <row r="32" spans="1:8" s="408" customFormat="1" ht="12" customHeight="1" x14ac:dyDescent="0.25">
      <c r="A32" s="361" t="s">
        <v>103</v>
      </c>
      <c r="B32" s="410" t="s">
        <v>104</v>
      </c>
      <c r="C32" s="399"/>
      <c r="D32" s="399"/>
      <c r="E32" s="399"/>
      <c r="F32" s="399"/>
      <c r="G32" s="399"/>
      <c r="H32" s="912">
        <f t="shared" si="0"/>
        <v>0</v>
      </c>
    </row>
    <row r="33" spans="1:8" s="408" customFormat="1" ht="12" customHeight="1" thickBot="1" x14ac:dyDescent="0.3">
      <c r="A33" s="363" t="s">
        <v>105</v>
      </c>
      <c r="B33" s="390" t="s">
        <v>106</v>
      </c>
      <c r="C33" s="401">
        <v>12000000</v>
      </c>
      <c r="D33" s="401">
        <v>12000000</v>
      </c>
      <c r="E33" s="401">
        <v>3000000</v>
      </c>
      <c r="F33" s="401">
        <v>3000000</v>
      </c>
      <c r="G33" s="401">
        <v>3000000</v>
      </c>
      <c r="H33" s="912">
        <f t="shared" si="0"/>
        <v>0</v>
      </c>
    </row>
    <row r="34" spans="1:8" s="408" customFormat="1" ht="12" customHeight="1" thickBot="1" x14ac:dyDescent="0.3">
      <c r="A34" s="367" t="s">
        <v>107</v>
      </c>
      <c r="B34" s="368" t="s">
        <v>108</v>
      </c>
      <c r="C34" s="398">
        <f>SUM(C35:C44)</f>
        <v>182000000</v>
      </c>
      <c r="D34" s="398">
        <f>SUM(D35:D44)</f>
        <v>182000000</v>
      </c>
      <c r="E34" s="398">
        <f>SUM(E35:E44)</f>
        <v>182000000</v>
      </c>
      <c r="F34" s="398">
        <f>SUM(F35:F44)</f>
        <v>182000000</v>
      </c>
      <c r="G34" s="398">
        <f>SUM(G35:G44)</f>
        <v>182000000</v>
      </c>
      <c r="H34" s="912">
        <f t="shared" si="0"/>
        <v>0</v>
      </c>
    </row>
    <row r="35" spans="1:8" s="408" customFormat="1" ht="12" customHeight="1" x14ac:dyDescent="0.25">
      <c r="A35" s="362" t="s">
        <v>109</v>
      </c>
      <c r="B35" s="409" t="s">
        <v>110</v>
      </c>
      <c r="C35" s="400"/>
      <c r="D35" s="400"/>
      <c r="E35" s="400"/>
      <c r="F35" s="400"/>
      <c r="G35" s="400"/>
      <c r="H35" s="912">
        <f t="shared" si="0"/>
        <v>0</v>
      </c>
    </row>
    <row r="36" spans="1:8" s="408" customFormat="1" ht="12" customHeight="1" x14ac:dyDescent="0.25">
      <c r="A36" s="361" t="s">
        <v>111</v>
      </c>
      <c r="B36" s="410" t="s">
        <v>112</v>
      </c>
      <c r="C36" s="399">
        <v>22000000</v>
      </c>
      <c r="D36" s="399">
        <v>22000000</v>
      </c>
      <c r="E36" s="399">
        <v>22000000</v>
      </c>
      <c r="F36" s="399">
        <v>22000000</v>
      </c>
      <c r="G36" s="399">
        <v>22000000</v>
      </c>
      <c r="H36" s="912">
        <f t="shared" si="0"/>
        <v>0</v>
      </c>
    </row>
    <row r="37" spans="1:8" s="408" customFormat="1" ht="12" customHeight="1" x14ac:dyDescent="0.25">
      <c r="A37" s="361" t="s">
        <v>113</v>
      </c>
      <c r="B37" s="410" t="s">
        <v>114</v>
      </c>
      <c r="C37" s="399">
        <v>40000000</v>
      </c>
      <c r="D37" s="399">
        <v>40000000</v>
      </c>
      <c r="E37" s="399">
        <v>40000000</v>
      </c>
      <c r="F37" s="399">
        <v>40000000</v>
      </c>
      <c r="G37" s="399">
        <v>40000000</v>
      </c>
      <c r="H37" s="912">
        <f t="shared" si="0"/>
        <v>0</v>
      </c>
    </row>
    <row r="38" spans="1:8" s="408" customFormat="1" ht="12" customHeight="1" x14ac:dyDescent="0.25">
      <c r="A38" s="361" t="s">
        <v>115</v>
      </c>
      <c r="B38" s="410" t="s">
        <v>116</v>
      </c>
      <c r="C38" s="399">
        <v>58000000</v>
      </c>
      <c r="D38" s="399">
        <v>58000000</v>
      </c>
      <c r="E38" s="399">
        <v>58000000</v>
      </c>
      <c r="F38" s="399">
        <v>58000000</v>
      </c>
      <c r="G38" s="399">
        <v>58000000</v>
      </c>
      <c r="H38" s="912">
        <f t="shared" si="0"/>
        <v>0</v>
      </c>
    </row>
    <row r="39" spans="1:8" s="408" customFormat="1" ht="12" customHeight="1" x14ac:dyDescent="0.25">
      <c r="A39" s="361" t="s">
        <v>117</v>
      </c>
      <c r="B39" s="410" t="s">
        <v>118</v>
      </c>
      <c r="C39" s="399">
        <v>32000000</v>
      </c>
      <c r="D39" s="399">
        <v>32000000</v>
      </c>
      <c r="E39" s="399">
        <v>32000000</v>
      </c>
      <c r="F39" s="399">
        <v>32000000</v>
      </c>
      <c r="G39" s="399">
        <v>32000000</v>
      </c>
      <c r="H39" s="912"/>
    </row>
    <row r="40" spans="1:8" s="408" customFormat="1" ht="12" customHeight="1" x14ac:dyDescent="0.25">
      <c r="A40" s="361" t="s">
        <v>119</v>
      </c>
      <c r="B40" s="410" t="s">
        <v>120</v>
      </c>
      <c r="C40" s="399">
        <v>30000000</v>
      </c>
      <c r="D40" s="399">
        <v>30000000</v>
      </c>
      <c r="E40" s="399">
        <v>30000000</v>
      </c>
      <c r="F40" s="399">
        <v>30000000</v>
      </c>
      <c r="G40" s="399">
        <v>30000000</v>
      </c>
      <c r="H40" s="912"/>
    </row>
    <row r="41" spans="1:8" s="408" customFormat="1" ht="12" customHeight="1" x14ac:dyDescent="0.25">
      <c r="A41" s="361" t="s">
        <v>121</v>
      </c>
      <c r="B41" s="410" t="s">
        <v>122</v>
      </c>
      <c r="C41" s="399"/>
      <c r="D41" s="399"/>
      <c r="E41" s="399"/>
      <c r="F41" s="399"/>
      <c r="G41" s="399"/>
      <c r="H41" s="912"/>
    </row>
    <row r="42" spans="1:8" s="408" customFormat="1" ht="12" customHeight="1" x14ac:dyDescent="0.25">
      <c r="A42" s="361" t="s">
        <v>123</v>
      </c>
      <c r="B42" s="410" t="s">
        <v>124</v>
      </c>
      <c r="C42" s="399"/>
      <c r="D42" s="399">
        <v>0</v>
      </c>
      <c r="E42" s="399">
        <v>0</v>
      </c>
      <c r="F42" s="399">
        <v>0</v>
      </c>
      <c r="G42" s="399">
        <v>0</v>
      </c>
      <c r="H42" s="912"/>
    </row>
    <row r="43" spans="1:8" s="408" customFormat="1" ht="12" customHeight="1" x14ac:dyDescent="0.25">
      <c r="A43" s="361" t="s">
        <v>125</v>
      </c>
      <c r="B43" s="410" t="s">
        <v>126</v>
      </c>
      <c r="C43" s="402"/>
      <c r="D43" s="402"/>
      <c r="E43" s="402"/>
      <c r="F43" s="402"/>
      <c r="G43" s="402"/>
      <c r="H43" s="912"/>
    </row>
    <row r="44" spans="1:8" s="408" customFormat="1" ht="12" customHeight="1" thickBot="1" x14ac:dyDescent="0.3">
      <c r="A44" s="363" t="s">
        <v>127</v>
      </c>
      <c r="B44" s="411" t="s">
        <v>128</v>
      </c>
      <c r="C44" s="403"/>
      <c r="D44" s="403"/>
      <c r="E44" s="403"/>
      <c r="F44" s="403"/>
      <c r="G44" s="403"/>
      <c r="H44" s="912">
        <f t="shared" si="0"/>
        <v>0</v>
      </c>
    </row>
    <row r="45" spans="1:8" s="408" customFormat="1" ht="12" customHeight="1" thickBot="1" x14ac:dyDescent="0.3">
      <c r="A45" s="367" t="s">
        <v>129</v>
      </c>
      <c r="B45" s="368" t="s">
        <v>130</v>
      </c>
      <c r="C45" s="398">
        <f>SUM(C46:C50)</f>
        <v>106800000</v>
      </c>
      <c r="D45" s="398">
        <f>SUM(D46:D50)</f>
        <v>106800000</v>
      </c>
      <c r="E45" s="398">
        <f>SUM(E46:E50)</f>
        <v>106800000</v>
      </c>
      <c r="F45" s="398">
        <f>SUM(F46:F50)</f>
        <v>106800000</v>
      </c>
      <c r="G45" s="398">
        <f>SUM(G46:G50)</f>
        <v>106800000</v>
      </c>
      <c r="H45" s="912">
        <f t="shared" si="0"/>
        <v>0</v>
      </c>
    </row>
    <row r="46" spans="1:8" s="408" customFormat="1" ht="12" customHeight="1" x14ac:dyDescent="0.25">
      <c r="A46" s="362" t="s">
        <v>131</v>
      </c>
      <c r="B46" s="409" t="s">
        <v>132</v>
      </c>
      <c r="C46" s="421"/>
      <c r="D46" s="421"/>
      <c r="E46" s="421"/>
      <c r="F46" s="421"/>
      <c r="G46" s="421"/>
      <c r="H46" s="912">
        <f t="shared" si="0"/>
        <v>0</v>
      </c>
    </row>
    <row r="47" spans="1:8" s="408" customFormat="1" ht="12" customHeight="1" x14ac:dyDescent="0.25">
      <c r="A47" s="361" t="s">
        <v>133</v>
      </c>
      <c r="B47" s="410" t="s">
        <v>134</v>
      </c>
      <c r="C47" s="402">
        <v>106800000</v>
      </c>
      <c r="D47" s="402">
        <v>106800000</v>
      </c>
      <c r="E47" s="402">
        <v>106800000</v>
      </c>
      <c r="F47" s="402">
        <v>106800000</v>
      </c>
      <c r="G47" s="402">
        <v>106800000</v>
      </c>
      <c r="H47" s="912">
        <f t="shared" si="0"/>
        <v>0</v>
      </c>
    </row>
    <row r="48" spans="1:8" s="408" customFormat="1" ht="12" customHeight="1" x14ac:dyDescent="0.25">
      <c r="A48" s="361" t="s">
        <v>135</v>
      </c>
      <c r="B48" s="410" t="s">
        <v>136</v>
      </c>
      <c r="C48" s="402"/>
      <c r="D48" s="402"/>
      <c r="E48" s="402"/>
      <c r="F48" s="402"/>
      <c r="G48" s="402"/>
      <c r="H48" s="912">
        <f t="shared" si="0"/>
        <v>0</v>
      </c>
    </row>
    <row r="49" spans="1:8" s="408" customFormat="1" ht="12" customHeight="1" x14ac:dyDescent="0.25">
      <c r="A49" s="361" t="s">
        <v>137</v>
      </c>
      <c r="B49" s="410" t="s">
        <v>138</v>
      </c>
      <c r="C49" s="402"/>
      <c r="D49" s="402"/>
      <c r="E49" s="402"/>
      <c r="F49" s="402"/>
      <c r="G49" s="402"/>
      <c r="H49" s="912">
        <f t="shared" si="0"/>
        <v>0</v>
      </c>
    </row>
    <row r="50" spans="1:8" s="408" customFormat="1" ht="12" customHeight="1" thickBot="1" x14ac:dyDescent="0.3">
      <c r="A50" s="363" t="s">
        <v>139</v>
      </c>
      <c r="B50" s="411" t="s">
        <v>140</v>
      </c>
      <c r="C50" s="403"/>
      <c r="D50" s="403"/>
      <c r="E50" s="403"/>
      <c r="F50" s="403"/>
      <c r="G50" s="403"/>
      <c r="H50" s="912">
        <f t="shared" si="0"/>
        <v>0</v>
      </c>
    </row>
    <row r="51" spans="1:8" s="408" customFormat="1" ht="17.25" customHeight="1" thickBot="1" x14ac:dyDescent="0.3">
      <c r="A51" s="367" t="s">
        <v>141</v>
      </c>
      <c r="B51" s="368" t="s">
        <v>142</v>
      </c>
      <c r="C51" s="398">
        <f>SUM(C52:C54)</f>
        <v>30350000</v>
      </c>
      <c r="D51" s="398">
        <f>SUM(D52:D54)</f>
        <v>30350000</v>
      </c>
      <c r="E51" s="398">
        <f>SUM(E52:E54)</f>
        <v>63100000</v>
      </c>
      <c r="F51" s="398">
        <f>SUM(F52:F54)</f>
        <v>63100000</v>
      </c>
      <c r="G51" s="398">
        <f>SUM(G52:G54)</f>
        <v>63100000</v>
      </c>
      <c r="H51" s="912">
        <f t="shared" si="0"/>
        <v>0</v>
      </c>
    </row>
    <row r="52" spans="1:8" s="408" customFormat="1" ht="12" customHeight="1" x14ac:dyDescent="0.25">
      <c r="A52" s="362" t="s">
        <v>143</v>
      </c>
      <c r="B52" s="409" t="s">
        <v>144</v>
      </c>
      <c r="C52" s="400"/>
      <c r="D52" s="400"/>
      <c r="E52" s="400"/>
      <c r="F52" s="400"/>
      <c r="G52" s="400"/>
      <c r="H52" s="912">
        <f t="shared" si="0"/>
        <v>0</v>
      </c>
    </row>
    <row r="53" spans="1:8" s="408" customFormat="1" ht="12" customHeight="1" x14ac:dyDescent="0.25">
      <c r="A53" s="361" t="s">
        <v>145</v>
      </c>
      <c r="B53" s="926" t="s">
        <v>146</v>
      </c>
      <c r="C53" s="402">
        <v>30350000</v>
      </c>
      <c r="D53" s="402">
        <v>30350000</v>
      </c>
      <c r="E53" s="402">
        <v>63100000</v>
      </c>
      <c r="F53" s="402">
        <v>63100000</v>
      </c>
      <c r="G53" s="402">
        <v>63100000</v>
      </c>
      <c r="H53" s="912">
        <f t="shared" si="0"/>
        <v>0</v>
      </c>
    </row>
    <row r="54" spans="1:8" s="408" customFormat="1" ht="12" customHeight="1" x14ac:dyDescent="0.25">
      <c r="A54" s="361" t="s">
        <v>147</v>
      </c>
      <c r="B54" s="410" t="s">
        <v>148</v>
      </c>
      <c r="C54" s="399"/>
      <c r="D54" s="399"/>
      <c r="E54" s="399"/>
      <c r="F54" s="399"/>
      <c r="G54" s="399"/>
      <c r="H54" s="912">
        <f t="shared" si="0"/>
        <v>0</v>
      </c>
    </row>
    <row r="55" spans="1:8" s="408" customFormat="1" ht="12" customHeight="1" thickBot="1" x14ac:dyDescent="0.3">
      <c r="A55" s="363" t="s">
        <v>149</v>
      </c>
      <c r="B55" s="411" t="s">
        <v>150</v>
      </c>
      <c r="C55" s="401"/>
      <c r="D55" s="401"/>
      <c r="E55" s="401"/>
      <c r="F55" s="401"/>
      <c r="G55" s="401"/>
      <c r="H55" s="912">
        <f t="shared" si="0"/>
        <v>0</v>
      </c>
    </row>
    <row r="56" spans="1:8" s="408" customFormat="1" ht="12" customHeight="1" thickBot="1" x14ac:dyDescent="0.3">
      <c r="A56" s="367" t="s">
        <v>151</v>
      </c>
      <c r="B56" s="388" t="s">
        <v>152</v>
      </c>
      <c r="C56" s="398">
        <f>SUM(C57:C59)</f>
        <v>11000000</v>
      </c>
      <c r="D56" s="398">
        <f>SUM(D57:D59)</f>
        <v>11000000</v>
      </c>
      <c r="E56" s="398">
        <f>SUM(E57:E59)</f>
        <v>11000000</v>
      </c>
      <c r="F56" s="398">
        <f>SUM(F57:F59)</f>
        <v>11000000</v>
      </c>
      <c r="G56" s="398">
        <f>SUM(G57:G59)</f>
        <v>11000000</v>
      </c>
      <c r="H56" s="912">
        <f t="shared" si="0"/>
        <v>0</v>
      </c>
    </row>
    <row r="57" spans="1:8" s="408" customFormat="1" ht="12" customHeight="1" x14ac:dyDescent="0.25">
      <c r="A57" s="362" t="s">
        <v>153</v>
      </c>
      <c r="B57" s="409" t="s">
        <v>154</v>
      </c>
      <c r="C57" s="402"/>
      <c r="D57" s="402"/>
      <c r="E57" s="402"/>
      <c r="F57" s="402"/>
      <c r="G57" s="402"/>
      <c r="H57" s="912">
        <f t="shared" si="0"/>
        <v>0</v>
      </c>
    </row>
    <row r="58" spans="1:8" s="408" customFormat="1" ht="12" customHeight="1" x14ac:dyDescent="0.25">
      <c r="A58" s="361" t="s">
        <v>155</v>
      </c>
      <c r="B58" s="410" t="s">
        <v>156</v>
      </c>
      <c r="C58" s="402"/>
      <c r="D58" s="402"/>
      <c r="E58" s="402"/>
      <c r="F58" s="402"/>
      <c r="G58" s="402"/>
      <c r="H58" s="912">
        <f t="shared" si="0"/>
        <v>0</v>
      </c>
    </row>
    <row r="59" spans="1:8" s="408" customFormat="1" ht="12" customHeight="1" x14ac:dyDescent="0.25">
      <c r="A59" s="361" t="s">
        <v>157</v>
      </c>
      <c r="B59" s="410" t="s">
        <v>158</v>
      </c>
      <c r="C59" s="402">
        <v>11000000</v>
      </c>
      <c r="D59" s="402">
        <v>11000000</v>
      </c>
      <c r="E59" s="402">
        <v>11000000</v>
      </c>
      <c r="F59" s="402">
        <v>11000000</v>
      </c>
      <c r="G59" s="402">
        <v>11000000</v>
      </c>
      <c r="H59" s="912">
        <f t="shared" si="0"/>
        <v>0</v>
      </c>
    </row>
    <row r="60" spans="1:8" s="408" customFormat="1" ht="12" customHeight="1" thickBot="1" x14ac:dyDescent="0.3">
      <c r="A60" s="363" t="s">
        <v>159</v>
      </c>
      <c r="B60" s="411" t="s">
        <v>160</v>
      </c>
      <c r="C60" s="402"/>
      <c r="D60" s="402"/>
      <c r="E60" s="402"/>
      <c r="F60" s="402"/>
      <c r="G60" s="402"/>
      <c r="H60" s="912">
        <f t="shared" si="0"/>
        <v>0</v>
      </c>
    </row>
    <row r="61" spans="1:8" s="408" customFormat="1" ht="12" customHeight="1" thickBot="1" x14ac:dyDescent="0.3">
      <c r="A61" s="367" t="s">
        <v>161</v>
      </c>
      <c r="B61" s="368" t="s">
        <v>162</v>
      </c>
      <c r="C61" s="404">
        <f>+C6+C13+C20+C27+C34+C45+C51+C56</f>
        <v>1559838105</v>
      </c>
      <c r="D61" s="404">
        <f>+D6+D13+D20+D27+D34+D45+D51+D56</f>
        <v>1591393539</v>
      </c>
      <c r="E61" s="404">
        <f>+E6+E13+E20+E27+E34+E45+E51+E56</f>
        <v>1652438839</v>
      </c>
      <c r="F61" s="404">
        <f>+F6+F13+F20+F27+F34+F45+F51+F56</f>
        <v>1685200635</v>
      </c>
      <c r="G61" s="404">
        <f>+G6+G13+G20+G27+G34+G45+G51+G56</f>
        <v>1669887443</v>
      </c>
      <c r="H61" s="912">
        <f t="shared" si="0"/>
        <v>-15313192</v>
      </c>
    </row>
    <row r="62" spans="1:8" s="408" customFormat="1" ht="12" customHeight="1" thickBot="1" x14ac:dyDescent="0.3">
      <c r="A62" s="422" t="s">
        <v>163</v>
      </c>
      <c r="B62" s="388" t="s">
        <v>164</v>
      </c>
      <c r="C62" s="398">
        <f>+C63+C64+C65</f>
        <v>0</v>
      </c>
      <c r="D62" s="398">
        <f>+D63+D64+D65</f>
        <v>0</v>
      </c>
      <c r="E62" s="398">
        <f>+E63+E64+E65</f>
        <v>0</v>
      </c>
      <c r="F62" s="398">
        <f>+F63+F64+F65</f>
        <v>0</v>
      </c>
      <c r="G62" s="398">
        <f>+G63+G64+G65</f>
        <v>0</v>
      </c>
      <c r="H62" s="912">
        <f t="shared" si="0"/>
        <v>0</v>
      </c>
    </row>
    <row r="63" spans="1:8" s="408" customFormat="1" ht="12" customHeight="1" x14ac:dyDescent="0.25">
      <c r="A63" s="362" t="s">
        <v>165</v>
      </c>
      <c r="B63" s="409" t="s">
        <v>166</v>
      </c>
      <c r="C63" s="402"/>
      <c r="D63" s="402"/>
      <c r="E63" s="402"/>
      <c r="F63" s="402"/>
      <c r="G63" s="402"/>
      <c r="H63" s="912">
        <f t="shared" si="0"/>
        <v>0</v>
      </c>
    </row>
    <row r="64" spans="1:8" s="408" customFormat="1" ht="12" customHeight="1" x14ac:dyDescent="0.25">
      <c r="A64" s="361" t="s">
        <v>167</v>
      </c>
      <c r="B64" s="410" t="s">
        <v>168</v>
      </c>
      <c r="C64" s="402"/>
      <c r="D64" s="402"/>
      <c r="E64" s="402"/>
      <c r="F64" s="402"/>
      <c r="G64" s="402"/>
      <c r="H64" s="912">
        <f t="shared" si="0"/>
        <v>0</v>
      </c>
    </row>
    <row r="65" spans="1:8" s="408" customFormat="1" ht="12" customHeight="1" thickBot="1" x14ac:dyDescent="0.3">
      <c r="A65" s="363" t="s">
        <v>169</v>
      </c>
      <c r="B65" s="347" t="s">
        <v>170</v>
      </c>
      <c r="C65" s="402"/>
      <c r="D65" s="402"/>
      <c r="E65" s="402"/>
      <c r="F65" s="402"/>
      <c r="G65" s="402"/>
      <c r="H65" s="912">
        <f t="shared" si="0"/>
        <v>0</v>
      </c>
    </row>
    <row r="66" spans="1:8" s="408" customFormat="1" ht="12" customHeight="1" thickBot="1" x14ac:dyDescent="0.3">
      <c r="A66" s="422" t="s">
        <v>171</v>
      </c>
      <c r="B66" s="388" t="s">
        <v>172</v>
      </c>
      <c r="C66" s="398">
        <f>+C67+C68+C69+C70</f>
        <v>0</v>
      </c>
      <c r="D66" s="398">
        <f>+D67+D68+D69+D70</f>
        <v>0</v>
      </c>
      <c r="E66" s="398">
        <f>+E67+E68+E69+E70</f>
        <v>0</v>
      </c>
      <c r="F66" s="398">
        <f>+F67+F68+F69+F70</f>
        <v>0</v>
      </c>
      <c r="G66" s="398">
        <f>+G67+G68+G69+G70</f>
        <v>0</v>
      </c>
      <c r="H66" s="912">
        <f t="shared" si="0"/>
        <v>0</v>
      </c>
    </row>
    <row r="67" spans="1:8" s="408" customFormat="1" ht="13.5" customHeight="1" x14ac:dyDescent="0.25">
      <c r="A67" s="362" t="s">
        <v>173</v>
      </c>
      <c r="B67" s="409" t="s">
        <v>174</v>
      </c>
      <c r="C67" s="402"/>
      <c r="D67" s="402"/>
      <c r="E67" s="402"/>
      <c r="F67" s="402"/>
      <c r="G67" s="402"/>
      <c r="H67" s="912">
        <f t="shared" si="0"/>
        <v>0</v>
      </c>
    </row>
    <row r="68" spans="1:8" s="408" customFormat="1" ht="12" customHeight="1" x14ac:dyDescent="0.25">
      <c r="A68" s="361" t="s">
        <v>175</v>
      </c>
      <c r="B68" s="410" t="s">
        <v>176</v>
      </c>
      <c r="C68" s="402"/>
      <c r="D68" s="402"/>
      <c r="E68" s="402"/>
      <c r="F68" s="402"/>
      <c r="G68" s="402"/>
      <c r="H68" s="912">
        <f t="shared" si="0"/>
        <v>0</v>
      </c>
    </row>
    <row r="69" spans="1:8" s="408" customFormat="1" ht="12" customHeight="1" x14ac:dyDescent="0.25">
      <c r="A69" s="361" t="s">
        <v>177</v>
      </c>
      <c r="B69" s="410" t="s">
        <v>178</v>
      </c>
      <c r="C69" s="402"/>
      <c r="D69" s="402"/>
      <c r="E69" s="402"/>
      <c r="F69" s="402"/>
      <c r="G69" s="402"/>
      <c r="H69" s="912">
        <f t="shared" si="0"/>
        <v>0</v>
      </c>
    </row>
    <row r="70" spans="1:8" s="408" customFormat="1" ht="12" customHeight="1" thickBot="1" x14ac:dyDescent="0.3">
      <c r="A70" s="363" t="s">
        <v>179</v>
      </c>
      <c r="B70" s="411" t="s">
        <v>180</v>
      </c>
      <c r="C70" s="402"/>
      <c r="D70" s="402"/>
      <c r="E70" s="402"/>
      <c r="F70" s="402"/>
      <c r="G70" s="402"/>
      <c r="H70" s="912">
        <f t="shared" si="0"/>
        <v>0</v>
      </c>
    </row>
    <row r="71" spans="1:8" s="408" customFormat="1" ht="12" customHeight="1" thickBot="1" x14ac:dyDescent="0.3">
      <c r="A71" s="422" t="s">
        <v>181</v>
      </c>
      <c r="B71" s="388" t="s">
        <v>182</v>
      </c>
      <c r="C71" s="398">
        <f>+C72+C73</f>
        <v>14837945</v>
      </c>
      <c r="D71" s="398">
        <f>+D72+D73</f>
        <v>121702587</v>
      </c>
      <c r="E71" s="398">
        <f>+E72+E73</f>
        <v>121702587</v>
      </c>
      <c r="F71" s="398">
        <f>+F72+F73</f>
        <v>121702587</v>
      </c>
      <c r="G71" s="398">
        <f>+G72+G73</f>
        <v>121702587</v>
      </c>
      <c r="H71" s="912">
        <f t="shared" si="0"/>
        <v>0</v>
      </c>
    </row>
    <row r="72" spans="1:8" s="408" customFormat="1" ht="12" customHeight="1" x14ac:dyDescent="0.25">
      <c r="A72" s="362" t="s">
        <v>183</v>
      </c>
      <c r="B72" s="409" t="s">
        <v>184</v>
      </c>
      <c r="C72" s="402">
        <v>14837945</v>
      </c>
      <c r="D72" s="402">
        <f>14837945+106864642</f>
        <v>121702587</v>
      </c>
      <c r="E72" s="402">
        <f>14837945+106864642</f>
        <v>121702587</v>
      </c>
      <c r="F72" s="402">
        <f>14837945+106864642</f>
        <v>121702587</v>
      </c>
      <c r="G72" s="402">
        <f>14837945+106864642</f>
        <v>121702587</v>
      </c>
      <c r="H72" s="912">
        <f t="shared" ref="H72:H135" si="1">G72-F72</f>
        <v>0</v>
      </c>
    </row>
    <row r="73" spans="1:8" s="408" customFormat="1" ht="12" customHeight="1" thickBot="1" x14ac:dyDescent="0.3">
      <c r="A73" s="363" t="s">
        <v>185</v>
      </c>
      <c r="B73" s="411" t="s">
        <v>186</v>
      </c>
      <c r="C73" s="402"/>
      <c r="D73" s="402"/>
      <c r="E73" s="402"/>
      <c r="F73" s="402"/>
      <c r="G73" s="402"/>
      <c r="H73" s="912">
        <f t="shared" si="1"/>
        <v>0</v>
      </c>
    </row>
    <row r="74" spans="1:8" s="408" customFormat="1" ht="12" customHeight="1" thickBot="1" x14ac:dyDescent="0.3">
      <c r="A74" s="422" t="s">
        <v>187</v>
      </c>
      <c r="B74" s="388" t="s">
        <v>188</v>
      </c>
      <c r="C74" s="398">
        <f>+C75+C76+C77</f>
        <v>16000000</v>
      </c>
      <c r="D74" s="398">
        <f>+D75+D76+D77</f>
        <v>11236412</v>
      </c>
      <c r="E74" s="398">
        <f>+E75+E76+E77</f>
        <v>11236412</v>
      </c>
      <c r="F74" s="398">
        <f>+F75+F76+F77</f>
        <v>11236412</v>
      </c>
      <c r="G74" s="398">
        <f>+G75+G76+G77</f>
        <v>18826271</v>
      </c>
      <c r="H74" s="912">
        <f t="shared" si="1"/>
        <v>7589859</v>
      </c>
    </row>
    <row r="75" spans="1:8" s="408" customFormat="1" ht="12" customHeight="1" x14ac:dyDescent="0.25">
      <c r="A75" s="362" t="s">
        <v>189</v>
      </c>
      <c r="B75" s="409" t="s">
        <v>190</v>
      </c>
      <c r="C75" s="402">
        <v>16000000</v>
      </c>
      <c r="D75" s="402">
        <v>11236412</v>
      </c>
      <c r="E75" s="402">
        <v>11236412</v>
      </c>
      <c r="F75" s="402">
        <v>11236412</v>
      </c>
      <c r="G75" s="402">
        <v>18826271</v>
      </c>
      <c r="H75" s="912">
        <f t="shared" si="1"/>
        <v>7589859</v>
      </c>
    </row>
    <row r="76" spans="1:8" s="408" customFormat="1" ht="12" customHeight="1" x14ac:dyDescent="0.25">
      <c r="A76" s="361" t="s">
        <v>191</v>
      </c>
      <c r="B76" s="410" t="s">
        <v>192</v>
      </c>
      <c r="C76" s="402"/>
      <c r="D76" s="402"/>
      <c r="E76" s="402"/>
      <c r="F76" s="402"/>
      <c r="G76" s="402"/>
      <c r="H76" s="912">
        <f t="shared" si="1"/>
        <v>0</v>
      </c>
    </row>
    <row r="77" spans="1:8" s="408" customFormat="1" ht="12" customHeight="1" thickBot="1" x14ac:dyDescent="0.3">
      <c r="A77" s="363" t="s">
        <v>193</v>
      </c>
      <c r="B77" s="946" t="s">
        <v>1793</v>
      </c>
      <c r="C77" s="402"/>
      <c r="D77" s="402"/>
      <c r="E77" s="402"/>
      <c r="F77" s="402"/>
      <c r="G77" s="402"/>
      <c r="H77" s="912">
        <f t="shared" si="1"/>
        <v>0</v>
      </c>
    </row>
    <row r="78" spans="1:8" s="408" customFormat="1" ht="12" customHeight="1" thickBot="1" x14ac:dyDescent="0.3">
      <c r="A78" s="422" t="s">
        <v>195</v>
      </c>
      <c r="B78" s="388" t="s">
        <v>196</v>
      </c>
      <c r="C78" s="398">
        <f>+C79+C80+C81+C82</f>
        <v>0</v>
      </c>
      <c r="D78" s="398">
        <f>+D79+D80+D81+D82</f>
        <v>0</v>
      </c>
      <c r="E78" s="398">
        <f>+E79+E80+E81+E82</f>
        <v>0</v>
      </c>
      <c r="F78" s="398">
        <f>+F79+F80+F81+F82</f>
        <v>0</v>
      </c>
      <c r="G78" s="398">
        <f>+G79+G80+G81+G82</f>
        <v>0</v>
      </c>
      <c r="H78" s="912">
        <f t="shared" si="1"/>
        <v>0</v>
      </c>
    </row>
    <row r="79" spans="1:8" s="408" customFormat="1" ht="12" customHeight="1" x14ac:dyDescent="0.25">
      <c r="A79" s="412" t="s">
        <v>197</v>
      </c>
      <c r="B79" s="409" t="s">
        <v>198</v>
      </c>
      <c r="C79" s="402"/>
      <c r="D79" s="402"/>
      <c r="E79" s="402"/>
      <c r="F79" s="402"/>
      <c r="G79" s="402"/>
      <c r="H79" s="912">
        <f t="shared" si="1"/>
        <v>0</v>
      </c>
    </row>
    <row r="80" spans="1:8" s="408" customFormat="1" ht="12" customHeight="1" x14ac:dyDescent="0.25">
      <c r="A80" s="413" t="s">
        <v>199</v>
      </c>
      <c r="B80" s="410" t="s">
        <v>200</v>
      </c>
      <c r="C80" s="402"/>
      <c r="D80" s="402"/>
      <c r="E80" s="402"/>
      <c r="F80" s="402"/>
      <c r="G80" s="402"/>
      <c r="H80" s="912">
        <f t="shared" si="1"/>
        <v>0</v>
      </c>
    </row>
    <row r="81" spans="1:8" s="408" customFormat="1" ht="12" customHeight="1" x14ac:dyDescent="0.25">
      <c r="A81" s="413" t="s">
        <v>201</v>
      </c>
      <c r="B81" s="410" t="s">
        <v>202</v>
      </c>
      <c r="C81" s="402"/>
      <c r="D81" s="402"/>
      <c r="E81" s="402"/>
      <c r="F81" s="402"/>
      <c r="G81" s="402"/>
      <c r="H81" s="912">
        <f t="shared" si="1"/>
        <v>0</v>
      </c>
    </row>
    <row r="82" spans="1:8" s="408" customFormat="1" ht="12" customHeight="1" thickBot="1" x14ac:dyDescent="0.3">
      <c r="A82" s="423" t="s">
        <v>203</v>
      </c>
      <c r="B82" s="390" t="s">
        <v>204</v>
      </c>
      <c r="C82" s="402"/>
      <c r="D82" s="402"/>
      <c r="E82" s="402"/>
      <c r="F82" s="402"/>
      <c r="G82" s="402"/>
      <c r="H82" s="912">
        <f t="shared" si="1"/>
        <v>0</v>
      </c>
    </row>
    <row r="83" spans="1:8" s="408" customFormat="1" ht="12" customHeight="1" thickBot="1" x14ac:dyDescent="0.3">
      <c r="A83" s="422" t="s">
        <v>205</v>
      </c>
      <c r="B83" s="388" t="s">
        <v>206</v>
      </c>
      <c r="C83" s="425"/>
      <c r="D83" s="425"/>
      <c r="E83" s="425"/>
      <c r="F83" s="425"/>
      <c r="G83" s="425"/>
      <c r="H83" s="912">
        <f t="shared" si="1"/>
        <v>0</v>
      </c>
    </row>
    <row r="84" spans="1:8" s="408" customFormat="1" ht="12" customHeight="1" thickBot="1" x14ac:dyDescent="0.3">
      <c r="A84" s="422" t="s">
        <v>207</v>
      </c>
      <c r="B84" s="345" t="s">
        <v>208</v>
      </c>
      <c r="C84" s="404">
        <f>+C62+C66+C71+C74+C78+C83</f>
        <v>30837945</v>
      </c>
      <c r="D84" s="404">
        <f>+D62+D66+D71+D74+D78+D83</f>
        <v>132938999</v>
      </c>
      <c r="E84" s="404">
        <f>+E62+E66+E71+E74+E78+E83</f>
        <v>132938999</v>
      </c>
      <c r="F84" s="404">
        <f>+F62+F66+F71+F74+F78+F83</f>
        <v>132938999</v>
      </c>
      <c r="G84" s="404">
        <f>+G62+G66+G71+G74+G78+G83</f>
        <v>140528858</v>
      </c>
      <c r="H84" s="912">
        <f t="shared" si="1"/>
        <v>7589859</v>
      </c>
    </row>
    <row r="85" spans="1:8" s="408" customFormat="1" ht="12" customHeight="1" thickBot="1" x14ac:dyDescent="0.3">
      <c r="A85" s="424" t="s">
        <v>209</v>
      </c>
      <c r="B85" s="348" t="s">
        <v>210</v>
      </c>
      <c r="C85" s="404">
        <f>+C61+C84</f>
        <v>1590676050</v>
      </c>
      <c r="D85" s="404">
        <f>+D61+D84</f>
        <v>1724332538</v>
      </c>
      <c r="E85" s="404">
        <f>+E61+E84</f>
        <v>1785377838</v>
      </c>
      <c r="F85" s="404">
        <f>+F61+F84</f>
        <v>1818139634</v>
      </c>
      <c r="G85" s="404">
        <f>+G61+G84</f>
        <v>1810416301</v>
      </c>
      <c r="H85" s="912">
        <f t="shared" si="1"/>
        <v>-7723333</v>
      </c>
    </row>
    <row r="86" spans="1:8" ht="16.5" customHeight="1" x14ac:dyDescent="0.3">
      <c r="A86" s="1637" t="s">
        <v>211</v>
      </c>
      <c r="B86" s="1637"/>
      <c r="C86" s="1637"/>
      <c r="D86" s="1637"/>
      <c r="E86" s="1637"/>
      <c r="H86" s="912">
        <f t="shared" si="1"/>
        <v>0</v>
      </c>
    </row>
    <row r="87" spans="1:8" s="414" customFormat="1" ht="16.5" customHeight="1" thickBot="1" x14ac:dyDescent="0.35">
      <c r="A87" s="1531" t="s">
        <v>2112</v>
      </c>
      <c r="B87" s="1531"/>
      <c r="C87" s="1532"/>
      <c r="D87" s="1532"/>
      <c r="E87" s="1532"/>
      <c r="H87" s="912">
        <f t="shared" si="1"/>
        <v>0</v>
      </c>
    </row>
    <row r="88" spans="1:8" s="414" customFormat="1" ht="16.5" customHeight="1" thickBot="1" x14ac:dyDescent="0.35">
      <c r="A88" s="1624" t="s">
        <v>41</v>
      </c>
      <c r="B88" s="1626" t="s">
        <v>213</v>
      </c>
      <c r="C88" s="1628" t="str">
        <f>+C3</f>
        <v>2019. évi</v>
      </c>
      <c r="D88" s="1629"/>
      <c r="E88" s="1629"/>
      <c r="F88" s="1629"/>
      <c r="G88" s="1630"/>
      <c r="H88" s="912">
        <f t="shared" si="1"/>
        <v>0</v>
      </c>
    </row>
    <row r="89" spans="1:8" ht="38.1" customHeight="1" thickBot="1" x14ac:dyDescent="0.35">
      <c r="A89" s="1625"/>
      <c r="B89" s="1627"/>
      <c r="C89" s="1538" t="s">
        <v>43</v>
      </c>
      <c r="D89" s="1538" t="s">
        <v>2172</v>
      </c>
      <c r="E89" s="1538" t="s">
        <v>2173</v>
      </c>
      <c r="F89" s="1541" t="s">
        <v>2174</v>
      </c>
      <c r="G89" s="1541" t="s">
        <v>2182</v>
      </c>
      <c r="H89" s="912" t="e">
        <f t="shared" si="1"/>
        <v>#VALUE!</v>
      </c>
    </row>
    <row r="90" spans="1:8" s="407" customFormat="1" ht="12" customHeight="1" thickBot="1" x14ac:dyDescent="0.3">
      <c r="A90" s="372" t="s">
        <v>46</v>
      </c>
      <c r="B90" s="373" t="s">
        <v>47</v>
      </c>
      <c r="C90" s="373" t="s">
        <v>48</v>
      </c>
      <c r="D90" s="373" t="s">
        <v>49</v>
      </c>
      <c r="E90" s="373" t="s">
        <v>49</v>
      </c>
      <c r="F90" s="373" t="s">
        <v>49</v>
      </c>
      <c r="G90" s="373" t="s">
        <v>49</v>
      </c>
      <c r="H90" s="912" t="e">
        <f t="shared" si="1"/>
        <v>#VALUE!</v>
      </c>
    </row>
    <row r="91" spans="1:8" ht="12" customHeight="1" thickBot="1" x14ac:dyDescent="0.35">
      <c r="A91" s="369" t="s">
        <v>51</v>
      </c>
      <c r="B91" s="371" t="s">
        <v>288</v>
      </c>
      <c r="C91" s="397">
        <f>SUM(C92:C96)</f>
        <v>437289564</v>
      </c>
      <c r="D91" s="397">
        <f>SUM(D92:D96)</f>
        <v>477441127</v>
      </c>
      <c r="E91" s="397">
        <f>SUM(E92:E96)</f>
        <v>548176605</v>
      </c>
      <c r="F91" s="397">
        <f>SUM(F92:F96)</f>
        <v>540742651</v>
      </c>
      <c r="G91" s="397">
        <f>SUM(G92:G96)</f>
        <v>540087441</v>
      </c>
      <c r="H91" s="912">
        <f t="shared" si="1"/>
        <v>-655210</v>
      </c>
    </row>
    <row r="92" spans="1:8" ht="12" customHeight="1" x14ac:dyDescent="0.3">
      <c r="A92" s="364" t="s">
        <v>53</v>
      </c>
      <c r="B92" s="357" t="s">
        <v>215</v>
      </c>
      <c r="C92" s="92">
        <v>56308028</v>
      </c>
      <c r="D92" s="92">
        <v>56308028</v>
      </c>
      <c r="E92" s="92">
        <f>D92+10833000</f>
        <v>67141028</v>
      </c>
      <c r="F92" s="92">
        <f>E92-7000000</f>
        <v>60141028</v>
      </c>
      <c r="G92" s="92">
        <v>60141028</v>
      </c>
      <c r="H92" s="912">
        <f t="shared" si="1"/>
        <v>0</v>
      </c>
    </row>
    <row r="93" spans="1:8" ht="12" customHeight="1" x14ac:dyDescent="0.3">
      <c r="A93" s="361" t="s">
        <v>55</v>
      </c>
      <c r="B93" s="355" t="s">
        <v>216</v>
      </c>
      <c r="C93" s="399">
        <v>11032565</v>
      </c>
      <c r="D93" s="399">
        <v>11032565</v>
      </c>
      <c r="E93" s="399">
        <f>D93+1896000-1570454</f>
        <v>11358111</v>
      </c>
      <c r="F93" s="399">
        <f>E93</f>
        <v>11358111</v>
      </c>
      <c r="G93" s="399">
        <f>F93</f>
        <v>11358111</v>
      </c>
      <c r="H93" s="912">
        <f t="shared" si="1"/>
        <v>0</v>
      </c>
    </row>
    <row r="94" spans="1:8" ht="12" customHeight="1" x14ac:dyDescent="0.3">
      <c r="A94" s="361" t="s">
        <v>57</v>
      </c>
      <c r="B94" s="355" t="s">
        <v>217</v>
      </c>
      <c r="C94" s="401">
        <v>338552971</v>
      </c>
      <c r="D94" s="401">
        <f>338552971+16793000+2044397-515000</f>
        <v>356875368</v>
      </c>
      <c r="E94" s="401">
        <f>D94+1402692+3524250+1080000+5804000+800000+200000+2000000+1465590</f>
        <v>373151900</v>
      </c>
      <c r="F94" s="401">
        <f>E94-175000+165546</f>
        <v>373142446</v>
      </c>
      <c r="G94" s="401">
        <f>F94</f>
        <v>373142446</v>
      </c>
      <c r="H94" s="912">
        <f t="shared" si="1"/>
        <v>0</v>
      </c>
    </row>
    <row r="95" spans="1:8" ht="12" customHeight="1" x14ac:dyDescent="0.3">
      <c r="A95" s="361" t="s">
        <v>59</v>
      </c>
      <c r="B95" s="358" t="s">
        <v>218</v>
      </c>
      <c r="C95" s="401">
        <v>10000000</v>
      </c>
      <c r="D95" s="401">
        <f>10000000+217705</f>
        <v>10217705</v>
      </c>
      <c r="E95" s="401">
        <f>10000000+217705</f>
        <v>10217705</v>
      </c>
      <c r="F95" s="401">
        <f>10000000+217705</f>
        <v>10217705</v>
      </c>
      <c r="G95" s="401">
        <v>9562495</v>
      </c>
      <c r="H95" s="912">
        <f t="shared" si="1"/>
        <v>-655210</v>
      </c>
    </row>
    <row r="96" spans="1:8" ht="12" customHeight="1" x14ac:dyDescent="0.3">
      <c r="A96" s="361" t="s">
        <v>219</v>
      </c>
      <c r="B96" s="366" t="s">
        <v>220</v>
      </c>
      <c r="C96" s="401">
        <f>SUM(C97:C106)</f>
        <v>21396000</v>
      </c>
      <c r="D96" s="401">
        <f>SUM(D97:D106)</f>
        <v>43007461</v>
      </c>
      <c r="E96" s="401">
        <f>SUM(E97:E106)</f>
        <v>86307861</v>
      </c>
      <c r="F96" s="401">
        <f>SUM(F97:F106)</f>
        <v>85883361</v>
      </c>
      <c r="G96" s="401">
        <f>SUM(G97:G106)</f>
        <v>85883361</v>
      </c>
      <c r="H96" s="912">
        <f t="shared" si="1"/>
        <v>0</v>
      </c>
    </row>
    <row r="97" spans="1:8" ht="12" customHeight="1" x14ac:dyDescent="0.3">
      <c r="A97" s="361" t="s">
        <v>63</v>
      </c>
      <c r="B97" s="355" t="s">
        <v>221</v>
      </c>
      <c r="C97" s="401"/>
      <c r="D97" s="401">
        <v>5158461</v>
      </c>
      <c r="E97" s="401">
        <v>5158461</v>
      </c>
      <c r="F97" s="401">
        <v>5158461</v>
      </c>
      <c r="G97" s="401">
        <v>5158461</v>
      </c>
      <c r="H97" s="912">
        <f t="shared" si="1"/>
        <v>0</v>
      </c>
    </row>
    <row r="98" spans="1:8" ht="12" customHeight="1" x14ac:dyDescent="0.3">
      <c r="A98" s="361" t="s">
        <v>222</v>
      </c>
      <c r="B98" s="377" t="s">
        <v>223</v>
      </c>
      <c r="C98" s="401"/>
      <c r="D98" s="401"/>
      <c r="E98" s="401"/>
      <c r="F98" s="401"/>
      <c r="G98" s="401"/>
      <c r="H98" s="912">
        <f t="shared" si="1"/>
        <v>0</v>
      </c>
    </row>
    <row r="99" spans="1:8" ht="12" customHeight="1" x14ac:dyDescent="0.3">
      <c r="A99" s="361" t="s">
        <v>224</v>
      </c>
      <c r="B99" s="378" t="s">
        <v>225</v>
      </c>
      <c r="C99" s="401"/>
      <c r="D99" s="401"/>
      <c r="E99" s="401"/>
      <c r="F99" s="401"/>
      <c r="G99" s="401"/>
      <c r="H99" s="912">
        <f t="shared" si="1"/>
        <v>0</v>
      </c>
    </row>
    <row r="100" spans="1:8" ht="12" customHeight="1" x14ac:dyDescent="0.3">
      <c r="A100" s="361" t="s">
        <v>226</v>
      </c>
      <c r="B100" s="378" t="s">
        <v>227</v>
      </c>
      <c r="C100" s="401"/>
      <c r="D100" s="401"/>
      <c r="E100" s="401"/>
      <c r="F100" s="401"/>
      <c r="G100" s="401"/>
      <c r="H100" s="912">
        <f t="shared" si="1"/>
        <v>0</v>
      </c>
    </row>
    <row r="101" spans="1:8" ht="12" customHeight="1" x14ac:dyDescent="0.3">
      <c r="A101" s="361" t="s">
        <v>228</v>
      </c>
      <c r="B101" s="377" t="s">
        <v>229</v>
      </c>
      <c r="C101" s="401"/>
      <c r="D101" s="401">
        <v>515000</v>
      </c>
      <c r="E101" s="401">
        <f>D101+1100000</f>
        <v>1615000</v>
      </c>
      <c r="F101" s="401">
        <f>E101+1200000</f>
        <v>2815000</v>
      </c>
      <c r="G101" s="401">
        <v>2880000</v>
      </c>
      <c r="H101" s="912">
        <f t="shared" si="1"/>
        <v>65000</v>
      </c>
    </row>
    <row r="102" spans="1:8" ht="12" customHeight="1" x14ac:dyDescent="0.3">
      <c r="A102" s="361" t="s">
        <v>230</v>
      </c>
      <c r="B102" s="377" t="s">
        <v>231</v>
      </c>
      <c r="C102" s="401"/>
      <c r="D102" s="401"/>
      <c r="E102" s="401"/>
      <c r="F102" s="401"/>
      <c r="G102" s="401"/>
      <c r="H102" s="912">
        <f t="shared" si="1"/>
        <v>0</v>
      </c>
    </row>
    <row r="103" spans="1:8" ht="12" customHeight="1" x14ac:dyDescent="0.3">
      <c r="A103" s="361" t="s">
        <v>232</v>
      </c>
      <c r="B103" s="378" t="s">
        <v>233</v>
      </c>
      <c r="C103" s="401"/>
      <c r="D103" s="401"/>
      <c r="E103" s="401"/>
      <c r="F103" s="401"/>
      <c r="G103" s="401"/>
      <c r="H103" s="912">
        <f t="shared" si="1"/>
        <v>0</v>
      </c>
    </row>
    <row r="104" spans="1:8" ht="12" customHeight="1" x14ac:dyDescent="0.3">
      <c r="A104" s="360" t="s">
        <v>234</v>
      </c>
      <c r="B104" s="379" t="s">
        <v>235</v>
      </c>
      <c r="C104" s="401"/>
      <c r="D104" s="401"/>
      <c r="E104" s="401"/>
      <c r="F104" s="401"/>
      <c r="G104" s="401"/>
      <c r="H104" s="912">
        <f t="shared" si="1"/>
        <v>0</v>
      </c>
    </row>
    <row r="105" spans="1:8" ht="12" customHeight="1" x14ac:dyDescent="0.3">
      <c r="A105" s="361" t="s">
        <v>236</v>
      </c>
      <c r="B105" s="379" t="s">
        <v>237</v>
      </c>
      <c r="C105" s="401"/>
      <c r="D105" s="401"/>
      <c r="E105" s="401"/>
      <c r="F105" s="401"/>
      <c r="G105" s="401"/>
      <c r="H105" s="912">
        <f t="shared" si="1"/>
        <v>0</v>
      </c>
    </row>
    <row r="106" spans="1:8" ht="12" customHeight="1" thickBot="1" x14ac:dyDescent="0.35">
      <c r="A106" s="365" t="s">
        <v>238</v>
      </c>
      <c r="B106" s="380" t="s">
        <v>239</v>
      </c>
      <c r="C106" s="93">
        <v>21396000</v>
      </c>
      <c r="D106" s="93">
        <f>21396000+15938000</f>
        <v>37334000</v>
      </c>
      <c r="E106" s="93">
        <f>D106+1000000+32500800+8699600</f>
        <v>79534400</v>
      </c>
      <c r="F106" s="93">
        <f>E106-424500-1200000</f>
        <v>77909900</v>
      </c>
      <c r="G106" s="93">
        <v>77844900</v>
      </c>
      <c r="H106" s="912">
        <f t="shared" si="1"/>
        <v>-65000</v>
      </c>
    </row>
    <row r="107" spans="1:8" ht="12" customHeight="1" thickBot="1" x14ac:dyDescent="0.35">
      <c r="A107" s="367" t="s">
        <v>65</v>
      </c>
      <c r="B107" s="370" t="s">
        <v>289</v>
      </c>
      <c r="C107" s="398">
        <f>SUM(C108:C112)</f>
        <v>138547345</v>
      </c>
      <c r="D107" s="398">
        <f>SUM(D108:D112)</f>
        <v>182812102</v>
      </c>
      <c r="E107" s="398">
        <f>SUM(E108:E112)</f>
        <v>190009012</v>
      </c>
      <c r="F107" s="398">
        <f>SUM(F108:F112)</f>
        <v>188470567</v>
      </c>
      <c r="G107" s="398">
        <f>SUM(G108:G112)</f>
        <v>186571375</v>
      </c>
      <c r="H107" s="912">
        <f t="shared" si="1"/>
        <v>-1899192</v>
      </c>
    </row>
    <row r="108" spans="1:8" ht="12" customHeight="1" x14ac:dyDescent="0.3">
      <c r="A108" s="362" t="s">
        <v>67</v>
      </c>
      <c r="B108" s="355" t="s">
        <v>241</v>
      </c>
      <c r="C108" s="400">
        <v>89547345</v>
      </c>
      <c r="D108" s="400">
        <f>89547345+3962400-21000000</f>
        <v>72509745</v>
      </c>
      <c r="E108" s="400">
        <f>D108+3600000+5062500-1465590</f>
        <v>79706655</v>
      </c>
      <c r="F108" s="400">
        <f>E108-2137945</f>
        <v>77568710</v>
      </c>
      <c r="G108" s="400">
        <v>52403782</v>
      </c>
      <c r="H108" s="912">
        <f t="shared" si="1"/>
        <v>-25164928</v>
      </c>
    </row>
    <row r="109" spans="1:8" ht="12" customHeight="1" x14ac:dyDescent="0.3">
      <c r="A109" s="362" t="s">
        <v>69</v>
      </c>
      <c r="B109" s="359" t="s">
        <v>242</v>
      </c>
      <c r="C109" s="400"/>
      <c r="D109" s="400"/>
      <c r="E109" s="400"/>
      <c r="F109" s="400"/>
      <c r="G109" s="400"/>
      <c r="H109" s="912">
        <f t="shared" si="1"/>
        <v>0</v>
      </c>
    </row>
    <row r="110" spans="1:8" x14ac:dyDescent="0.3">
      <c r="A110" s="362" t="s">
        <v>71</v>
      </c>
      <c r="B110" s="359" t="s">
        <v>243</v>
      </c>
      <c r="C110" s="399">
        <v>46500000</v>
      </c>
      <c r="D110" s="399">
        <f>46500000+31018890</f>
        <v>77518890</v>
      </c>
      <c r="E110" s="399">
        <f>46500000+31018890</f>
        <v>77518890</v>
      </c>
      <c r="F110" s="399">
        <f>46500000+31018890</f>
        <v>77518890</v>
      </c>
      <c r="G110" s="399">
        <v>122364144</v>
      </c>
      <c r="H110" s="912">
        <f t="shared" si="1"/>
        <v>44845254</v>
      </c>
    </row>
    <row r="111" spans="1:8" ht="12" customHeight="1" x14ac:dyDescent="0.3">
      <c r="A111" s="362" t="s">
        <v>73</v>
      </c>
      <c r="B111" s="359" t="s">
        <v>244</v>
      </c>
      <c r="C111" s="399"/>
      <c r="D111" s="399"/>
      <c r="E111" s="399"/>
      <c r="F111" s="399"/>
      <c r="G111" s="399"/>
      <c r="H111" s="912">
        <f t="shared" si="1"/>
        <v>0</v>
      </c>
    </row>
    <row r="112" spans="1:8" ht="12" customHeight="1" x14ac:dyDescent="0.3">
      <c r="A112" s="362" t="s">
        <v>75</v>
      </c>
      <c r="B112" s="390" t="s">
        <v>245</v>
      </c>
      <c r="C112" s="399">
        <f>SUM(C113:C120)</f>
        <v>2500000</v>
      </c>
      <c r="D112" s="399">
        <f>SUM(D113:D120)</f>
        <v>32783467</v>
      </c>
      <c r="E112" s="399">
        <f>SUM(E113:E120)</f>
        <v>32783467</v>
      </c>
      <c r="F112" s="399">
        <f>SUM(F113:F120)</f>
        <v>33382967</v>
      </c>
      <c r="G112" s="399">
        <v>11803449</v>
      </c>
      <c r="H112" s="912">
        <f t="shared" si="1"/>
        <v>-21579518</v>
      </c>
    </row>
    <row r="113" spans="1:8" ht="21.75" customHeight="1" x14ac:dyDescent="0.3">
      <c r="A113" s="362" t="s">
        <v>77</v>
      </c>
      <c r="B113" s="389" t="s">
        <v>246</v>
      </c>
      <c r="C113" s="399"/>
      <c r="D113" s="399"/>
      <c r="E113" s="399"/>
      <c r="F113" s="399"/>
      <c r="G113" s="399"/>
      <c r="H113" s="912">
        <f t="shared" si="1"/>
        <v>0</v>
      </c>
    </row>
    <row r="114" spans="1:8" ht="24" customHeight="1" x14ac:dyDescent="0.3">
      <c r="A114" s="362" t="s">
        <v>247</v>
      </c>
      <c r="B114" s="405" t="s">
        <v>248</v>
      </c>
      <c r="C114" s="399"/>
      <c r="D114" s="399"/>
      <c r="E114" s="399"/>
      <c r="F114" s="399"/>
      <c r="G114" s="399"/>
      <c r="H114" s="912">
        <f t="shared" si="1"/>
        <v>0</v>
      </c>
    </row>
    <row r="115" spans="1:8" ht="12" customHeight="1" x14ac:dyDescent="0.3">
      <c r="A115" s="362" t="s">
        <v>249</v>
      </c>
      <c r="B115" s="378" t="s">
        <v>227</v>
      </c>
      <c r="C115" s="399"/>
      <c r="D115" s="399"/>
      <c r="E115" s="399"/>
      <c r="F115" s="399"/>
      <c r="G115" s="399"/>
      <c r="H115" s="912">
        <f t="shared" si="1"/>
        <v>0</v>
      </c>
    </row>
    <row r="116" spans="1:8" ht="12" customHeight="1" x14ac:dyDescent="0.3">
      <c r="A116" s="362" t="s">
        <v>250</v>
      </c>
      <c r="B116" s="378" t="s">
        <v>251</v>
      </c>
      <c r="C116" s="399"/>
      <c r="D116" s="399"/>
      <c r="E116" s="399"/>
      <c r="F116" s="399"/>
      <c r="G116" s="399"/>
      <c r="H116" s="912">
        <f t="shared" si="1"/>
        <v>0</v>
      </c>
    </row>
    <row r="117" spans="1:8" ht="12" customHeight="1" x14ac:dyDescent="0.3">
      <c r="A117" s="362" t="s">
        <v>252</v>
      </c>
      <c r="B117" s="378" t="s">
        <v>253</v>
      </c>
      <c r="C117" s="399"/>
      <c r="D117" s="399"/>
      <c r="E117" s="399"/>
      <c r="F117" s="399"/>
      <c r="G117" s="399"/>
      <c r="H117" s="912">
        <f t="shared" si="1"/>
        <v>0</v>
      </c>
    </row>
    <row r="118" spans="1:8" s="427" customFormat="1" ht="12" customHeight="1" x14ac:dyDescent="0.25">
      <c r="A118" s="362" t="s">
        <v>254</v>
      </c>
      <c r="B118" s="378" t="s">
        <v>233</v>
      </c>
      <c r="C118" s="399"/>
      <c r="D118" s="399">
        <v>30283467</v>
      </c>
      <c r="E118" s="399">
        <v>30283467</v>
      </c>
      <c r="F118" s="399">
        <v>30283467</v>
      </c>
      <c r="G118" s="399">
        <v>8703949</v>
      </c>
      <c r="H118" s="912">
        <f t="shared" si="1"/>
        <v>-21579518</v>
      </c>
    </row>
    <row r="119" spans="1:8" ht="12" customHeight="1" x14ac:dyDescent="0.3">
      <c r="A119" s="362" t="s">
        <v>255</v>
      </c>
      <c r="B119" s="378" t="s">
        <v>256</v>
      </c>
      <c r="C119" s="399"/>
      <c r="D119" s="399"/>
      <c r="E119" s="399"/>
      <c r="F119" s="399"/>
      <c r="G119" s="399"/>
      <c r="H119" s="912">
        <f t="shared" si="1"/>
        <v>0</v>
      </c>
    </row>
    <row r="120" spans="1:8" ht="12" customHeight="1" thickBot="1" x14ac:dyDescent="0.35">
      <c r="A120" s="360" t="s">
        <v>257</v>
      </c>
      <c r="B120" s="378" t="s">
        <v>258</v>
      </c>
      <c r="C120" s="401">
        <v>2500000</v>
      </c>
      <c r="D120" s="401">
        <v>2500000</v>
      </c>
      <c r="E120" s="401">
        <v>2500000</v>
      </c>
      <c r="F120" s="401">
        <f>2500000+175000+424500</f>
        <v>3099500</v>
      </c>
      <c r="G120" s="401">
        <f>2500000+175000+424500</f>
        <v>3099500</v>
      </c>
      <c r="H120" s="912">
        <f t="shared" si="1"/>
        <v>0</v>
      </c>
    </row>
    <row r="121" spans="1:8" ht="12" customHeight="1" thickBot="1" x14ac:dyDescent="0.35">
      <c r="A121" s="367" t="s">
        <v>79</v>
      </c>
      <c r="B121" s="375" t="s">
        <v>259</v>
      </c>
      <c r="C121" s="398">
        <f>+C122+C123</f>
        <v>1804406</v>
      </c>
      <c r="D121" s="398">
        <f>+D122+D123</f>
        <v>14277308</v>
      </c>
      <c r="E121" s="398">
        <f>+E122+E123</f>
        <v>6925647</v>
      </c>
      <c r="F121" s="398">
        <f>+F122+F123</f>
        <v>5168931</v>
      </c>
      <c r="G121" s="398">
        <f>+G122+G123</f>
        <v>0</v>
      </c>
      <c r="H121" s="912">
        <f t="shared" si="1"/>
        <v>-5168931</v>
      </c>
    </row>
    <row r="122" spans="1:8" ht="12" customHeight="1" x14ac:dyDescent="0.3">
      <c r="A122" s="362" t="s">
        <v>81</v>
      </c>
      <c r="B122" s="356" t="s">
        <v>260</v>
      </c>
      <c r="C122" s="400">
        <v>1804406</v>
      </c>
      <c r="D122" s="400">
        <f>'12_Tartalék'!D5</f>
        <v>14277308</v>
      </c>
      <c r="E122" s="400">
        <f>D122+25000000+899754+26265427-1000000-2500000-1100000-1000000-1402692-3524250-1080000-11877000-2500000-9000000-12050400-800000-200000-5062500-2000000-4420000</f>
        <v>6925647</v>
      </c>
      <c r="F122" s="400">
        <f>E122+1243284-3000000</f>
        <v>5168931</v>
      </c>
      <c r="G122" s="400"/>
      <c r="H122" s="912">
        <f t="shared" si="1"/>
        <v>-5168931</v>
      </c>
    </row>
    <row r="123" spans="1:8" ht="12" customHeight="1" thickBot="1" x14ac:dyDescent="0.35">
      <c r="A123" s="363" t="s">
        <v>83</v>
      </c>
      <c r="B123" s="359" t="s">
        <v>261</v>
      </c>
      <c r="C123" s="401"/>
      <c r="D123" s="401"/>
      <c r="E123" s="401"/>
      <c r="F123" s="401"/>
      <c r="G123" s="401"/>
      <c r="H123" s="912">
        <f t="shared" si="1"/>
        <v>0</v>
      </c>
    </row>
    <row r="124" spans="1:8" ht="12" customHeight="1" thickBot="1" x14ac:dyDescent="0.35">
      <c r="A124" s="367" t="s">
        <v>262</v>
      </c>
      <c r="B124" s="375" t="s">
        <v>263</v>
      </c>
      <c r="C124" s="398">
        <f>+C91+C107+C121</f>
        <v>577641315</v>
      </c>
      <c r="D124" s="398">
        <f>+D91+D107+D121</f>
        <v>674530537</v>
      </c>
      <c r="E124" s="398">
        <f>+E91+E107+E121</f>
        <v>745111264</v>
      </c>
      <c r="F124" s="398">
        <f>+F91+F107+F121</f>
        <v>734382149</v>
      </c>
      <c r="G124" s="398">
        <f>+G91+G107+G121</f>
        <v>726658816</v>
      </c>
      <c r="H124" s="912">
        <f t="shared" si="1"/>
        <v>-7723333</v>
      </c>
    </row>
    <row r="125" spans="1:8" ht="12" customHeight="1" thickBot="1" x14ac:dyDescent="0.35">
      <c r="A125" s="367" t="s">
        <v>107</v>
      </c>
      <c r="B125" s="375" t="s">
        <v>264</v>
      </c>
      <c r="C125" s="398">
        <f>+C126+C127+C128</f>
        <v>96193309</v>
      </c>
      <c r="D125" s="398">
        <f>+D126+D127+D128</f>
        <v>96193309</v>
      </c>
      <c r="E125" s="398">
        <f>SUM(E126:E128)</f>
        <v>96193309</v>
      </c>
      <c r="F125" s="398">
        <f>SUM(F126:F128)</f>
        <v>96193309</v>
      </c>
      <c r="G125" s="398">
        <f>SUM(G126:G128)</f>
        <v>96193309</v>
      </c>
      <c r="H125" s="912">
        <f t="shared" si="1"/>
        <v>0</v>
      </c>
    </row>
    <row r="126" spans="1:8" ht="12" customHeight="1" x14ac:dyDescent="0.3">
      <c r="A126" s="362" t="s">
        <v>109</v>
      </c>
      <c r="B126" s="356" t="s">
        <v>265</v>
      </c>
      <c r="C126" s="399">
        <v>96193309</v>
      </c>
      <c r="D126" s="399">
        <v>96193309</v>
      </c>
      <c r="E126" s="399">
        <v>96193309</v>
      </c>
      <c r="F126" s="399">
        <v>96193309</v>
      </c>
      <c r="G126" s="399">
        <v>96193309</v>
      </c>
      <c r="H126" s="912">
        <f t="shared" si="1"/>
        <v>0</v>
      </c>
    </row>
    <row r="127" spans="1:8" ht="12" customHeight="1" x14ac:dyDescent="0.3">
      <c r="A127" s="362" t="s">
        <v>111</v>
      </c>
      <c r="B127" s="356" t="s">
        <v>266</v>
      </c>
      <c r="C127" s="399"/>
      <c r="D127" s="399"/>
      <c r="E127" s="399"/>
      <c r="F127" s="399"/>
      <c r="G127" s="399"/>
      <c r="H127" s="912">
        <f t="shared" si="1"/>
        <v>0</v>
      </c>
    </row>
    <row r="128" spans="1:8" ht="12" customHeight="1" thickBot="1" x14ac:dyDescent="0.35">
      <c r="A128" s="360" t="s">
        <v>113</v>
      </c>
      <c r="B128" s="354" t="s">
        <v>267</v>
      </c>
      <c r="C128" s="1524"/>
      <c r="D128" s="1524"/>
      <c r="E128" s="1524" t="s">
        <v>2168</v>
      </c>
      <c r="F128" s="1524" t="s">
        <v>2168</v>
      </c>
      <c r="G128" s="1524" t="s">
        <v>2168</v>
      </c>
      <c r="H128" s="912" t="e">
        <f t="shared" si="1"/>
        <v>#VALUE!</v>
      </c>
    </row>
    <row r="129" spans="1:9" ht="12" customHeight="1" thickBot="1" x14ac:dyDescent="0.35">
      <c r="A129" s="367" t="s">
        <v>129</v>
      </c>
      <c r="B129" s="375" t="s">
        <v>268</v>
      </c>
      <c r="C129" s="398">
        <f>+C130+C131+C133+C132</f>
        <v>0</v>
      </c>
      <c r="D129" s="398">
        <f>+D130+D131+D133+D132</f>
        <v>0</v>
      </c>
      <c r="E129" s="398">
        <f>+E130+E131+E133+E132</f>
        <v>0</v>
      </c>
      <c r="F129" s="398">
        <f>+F130+F131+F133+F132</f>
        <v>0</v>
      </c>
      <c r="G129" s="398">
        <f>+G130+G131+G133+G132</f>
        <v>0</v>
      </c>
      <c r="H129" s="912">
        <f t="shared" si="1"/>
        <v>0</v>
      </c>
    </row>
    <row r="130" spans="1:9" ht="12" customHeight="1" x14ac:dyDescent="0.3">
      <c r="A130" s="362" t="s">
        <v>131</v>
      </c>
      <c r="B130" s="356" t="s">
        <v>269</v>
      </c>
      <c r="C130" s="399"/>
      <c r="D130" s="399"/>
      <c r="E130" s="399"/>
      <c r="F130" s="399"/>
      <c r="G130" s="399"/>
      <c r="H130" s="912">
        <f t="shared" si="1"/>
        <v>0</v>
      </c>
    </row>
    <row r="131" spans="1:9" ht="12" customHeight="1" x14ac:dyDescent="0.3">
      <c r="A131" s="362" t="s">
        <v>133</v>
      </c>
      <c r="B131" s="356" t="s">
        <v>270</v>
      </c>
      <c r="C131" s="399"/>
      <c r="D131" s="399"/>
      <c r="E131" s="399"/>
      <c r="F131" s="399"/>
      <c r="G131" s="399"/>
      <c r="H131" s="912">
        <f t="shared" si="1"/>
        <v>0</v>
      </c>
    </row>
    <row r="132" spans="1:9" ht="12" customHeight="1" x14ac:dyDescent="0.3">
      <c r="A132" s="362" t="s">
        <v>135</v>
      </c>
      <c r="B132" s="356" t="s">
        <v>271</v>
      </c>
      <c r="C132" s="399"/>
      <c r="D132" s="399"/>
      <c r="E132" s="399"/>
      <c r="F132" s="399"/>
      <c r="G132" s="399"/>
      <c r="H132" s="912">
        <f t="shared" si="1"/>
        <v>0</v>
      </c>
    </row>
    <row r="133" spans="1:9" ht="12" customHeight="1" thickBot="1" x14ac:dyDescent="0.35">
      <c r="A133" s="360" t="s">
        <v>137</v>
      </c>
      <c r="B133" s="354" t="s">
        <v>272</v>
      </c>
      <c r="C133" s="399"/>
      <c r="D133" s="399"/>
      <c r="E133" s="399"/>
      <c r="F133" s="399"/>
      <c r="G133" s="399"/>
      <c r="H133" s="912">
        <f t="shared" si="1"/>
        <v>0</v>
      </c>
    </row>
    <row r="134" spans="1:9" ht="12" customHeight="1" thickBot="1" x14ac:dyDescent="0.35">
      <c r="A134" s="367" t="s">
        <v>273</v>
      </c>
      <c r="B134" s="375" t="s">
        <v>274</v>
      </c>
      <c r="C134" s="404">
        <f>+C135+C136+C137+C138</f>
        <v>916841426</v>
      </c>
      <c r="D134" s="404">
        <f>SUM(D135:D138)</f>
        <v>953608692</v>
      </c>
      <c r="E134" s="404">
        <f>SUM(E135:E138)</f>
        <v>944073265</v>
      </c>
      <c r="F134" s="404">
        <f>SUM(F135:F138)</f>
        <v>987564176</v>
      </c>
      <c r="G134" s="404">
        <f>SUM(G135:G138)</f>
        <v>987564176</v>
      </c>
      <c r="H134" s="912">
        <f t="shared" si="1"/>
        <v>0</v>
      </c>
    </row>
    <row r="135" spans="1:9" ht="12" customHeight="1" x14ac:dyDescent="0.3">
      <c r="A135" s="362" t="s">
        <v>143</v>
      </c>
      <c r="B135" s="356" t="s">
        <v>275</v>
      </c>
      <c r="C135" s="399"/>
      <c r="D135" s="399"/>
      <c r="E135" s="399"/>
      <c r="F135" s="399"/>
      <c r="G135" s="399"/>
      <c r="H135" s="912">
        <f t="shared" si="1"/>
        <v>0</v>
      </c>
    </row>
    <row r="136" spans="1:9" ht="12" customHeight="1" x14ac:dyDescent="0.3">
      <c r="A136" s="362" t="s">
        <v>145</v>
      </c>
      <c r="B136" s="356" t="s">
        <v>276</v>
      </c>
      <c r="C136" s="399">
        <v>16000000</v>
      </c>
      <c r="D136" s="399">
        <v>11236412</v>
      </c>
      <c r="E136" s="399">
        <v>11236412</v>
      </c>
      <c r="F136" s="399">
        <v>11236412</v>
      </c>
      <c r="G136" s="399">
        <v>11236412</v>
      </c>
      <c r="H136" s="912">
        <f t="shared" ref="H136:H145" si="2">G136-F136</f>
        <v>0</v>
      </c>
    </row>
    <row r="137" spans="1:9" ht="12" customHeight="1" x14ac:dyDescent="0.3">
      <c r="A137" s="362" t="s">
        <v>147</v>
      </c>
      <c r="B137" s="356" t="s">
        <v>1793</v>
      </c>
      <c r="C137" s="399">
        <v>898692888</v>
      </c>
      <c r="D137" s="399">
        <f>898692888-11000000+52530854</f>
        <v>940223742</v>
      </c>
      <c r="E137" s="399">
        <f>D137-26265427+1000000+2500000+6073000+2500000+237000+4420000</f>
        <v>930688315</v>
      </c>
      <c r="F137" s="399">
        <f>E137+31518512+7000000+3000000</f>
        <v>972206827</v>
      </c>
      <c r="G137" s="399">
        <f>F137</f>
        <v>972206827</v>
      </c>
      <c r="H137" s="912">
        <f t="shared" si="2"/>
        <v>0</v>
      </c>
    </row>
    <row r="138" spans="1:9" ht="12" customHeight="1" thickBot="1" x14ac:dyDescent="0.35">
      <c r="A138" s="360" t="s">
        <v>149</v>
      </c>
      <c r="B138" s="354" t="s">
        <v>1840</v>
      </c>
      <c r="C138" s="399">
        <v>2148538</v>
      </c>
      <c r="D138" s="399">
        <v>2148538</v>
      </c>
      <c r="E138" s="399">
        <v>2148538</v>
      </c>
      <c r="F138" s="399">
        <f>2148538+2137945-165546</f>
        <v>4120937</v>
      </c>
      <c r="G138" s="399">
        <f>2148538+2137945-165546</f>
        <v>4120937</v>
      </c>
      <c r="H138" s="912">
        <f t="shared" si="2"/>
        <v>0</v>
      </c>
    </row>
    <row r="139" spans="1:9" ht="15" customHeight="1" thickBot="1" x14ac:dyDescent="0.35">
      <c r="A139" s="367" t="s">
        <v>151</v>
      </c>
      <c r="B139" s="375" t="s">
        <v>279</v>
      </c>
      <c r="C139" s="94">
        <f>+C140+C141+C142+C143</f>
        <v>0</v>
      </c>
      <c r="D139" s="94">
        <f>+D140+D141+D142+D143</f>
        <v>0</v>
      </c>
      <c r="E139" s="94">
        <f>+E140+E141+E142+E143</f>
        <v>0</v>
      </c>
      <c r="F139" s="94">
        <f>+F140+F141+F142+F143</f>
        <v>0</v>
      </c>
      <c r="G139" s="94">
        <f>+G140+G141+G142+G143</f>
        <v>0</v>
      </c>
      <c r="H139" s="912">
        <f t="shared" si="2"/>
        <v>0</v>
      </c>
    </row>
    <row r="140" spans="1:9" s="408" customFormat="1" ht="12.9" customHeight="1" x14ac:dyDescent="0.25">
      <c r="A140" s="362" t="s">
        <v>153</v>
      </c>
      <c r="B140" s="356" t="s">
        <v>280</v>
      </c>
      <c r="C140" s="399"/>
      <c r="D140" s="399"/>
      <c r="E140" s="399"/>
      <c r="F140" s="399"/>
      <c r="G140" s="399"/>
      <c r="H140" s="912">
        <f t="shared" si="2"/>
        <v>0</v>
      </c>
    </row>
    <row r="141" spans="1:9" ht="12.75" customHeight="1" x14ac:dyDescent="0.3">
      <c r="A141" s="362" t="s">
        <v>155</v>
      </c>
      <c r="B141" s="356" t="s">
        <v>281</v>
      </c>
      <c r="C141" s="399"/>
      <c r="D141" s="399"/>
      <c r="E141" s="399"/>
      <c r="F141" s="399"/>
      <c r="G141" s="399"/>
      <c r="H141" s="912">
        <f t="shared" si="2"/>
        <v>0</v>
      </c>
    </row>
    <row r="142" spans="1:9" ht="12.75" customHeight="1" x14ac:dyDescent="0.3">
      <c r="A142" s="362" t="s">
        <v>157</v>
      </c>
      <c r="B142" s="356" t="s">
        <v>282</v>
      </c>
      <c r="C142" s="399"/>
      <c r="D142" s="399"/>
      <c r="E142" s="399"/>
      <c r="F142" s="399"/>
      <c r="G142" s="399"/>
      <c r="H142" s="912">
        <f t="shared" si="2"/>
        <v>0</v>
      </c>
    </row>
    <row r="143" spans="1:9" ht="12.75" customHeight="1" thickBot="1" x14ac:dyDescent="0.35">
      <c r="A143" s="362" t="s">
        <v>159</v>
      </c>
      <c r="B143" s="356" t="s">
        <v>283</v>
      </c>
      <c r="C143" s="399"/>
      <c r="D143" s="399"/>
      <c r="E143" s="399"/>
      <c r="F143" s="399"/>
      <c r="G143" s="399"/>
      <c r="H143" s="912">
        <f t="shared" si="2"/>
        <v>0</v>
      </c>
    </row>
    <row r="144" spans="1:9" ht="16.2" thickBot="1" x14ac:dyDescent="0.35">
      <c r="A144" s="367" t="s">
        <v>161</v>
      </c>
      <c r="B144" s="375" t="s">
        <v>284</v>
      </c>
      <c r="C144" s="349">
        <f>+C125+C129+C134+C139</f>
        <v>1013034735</v>
      </c>
      <c r="D144" s="349">
        <f>+D125+D129+D134+D139</f>
        <v>1049802001</v>
      </c>
      <c r="E144" s="349">
        <f>E139+E134+E129+E125</f>
        <v>1040266574</v>
      </c>
      <c r="F144" s="349">
        <f>F139+F134+F129+F125</f>
        <v>1083757485</v>
      </c>
      <c r="G144" s="349">
        <f>G139+G134+G129+G125</f>
        <v>1083757485</v>
      </c>
      <c r="H144" s="912">
        <f t="shared" si="2"/>
        <v>0</v>
      </c>
      <c r="I144" s="812">
        <f>G85-G145</f>
        <v>0</v>
      </c>
    </row>
    <row r="145" spans="1:8" ht="16.2" thickBot="1" x14ac:dyDescent="0.35">
      <c r="A145" s="391" t="s">
        <v>285</v>
      </c>
      <c r="B145" s="394" t="s">
        <v>286</v>
      </c>
      <c r="C145" s="349">
        <f>+C124+C144</f>
        <v>1590676050</v>
      </c>
      <c r="D145" s="349">
        <f>+D124+D144</f>
        <v>1724332538</v>
      </c>
      <c r="E145" s="349">
        <f>+E124+E144</f>
        <v>1785377838</v>
      </c>
      <c r="F145" s="349">
        <f>+F124+F144</f>
        <v>1818139634</v>
      </c>
      <c r="G145" s="349">
        <f>+G124+G144</f>
        <v>1810416301</v>
      </c>
      <c r="H145" s="912">
        <f t="shared" si="2"/>
        <v>-7723333</v>
      </c>
    </row>
    <row r="146" spans="1:8" x14ac:dyDescent="0.3">
      <c r="C146" s="811"/>
      <c r="D146" s="811">
        <f>D85-D145</f>
        <v>0</v>
      </c>
      <c r="E146" s="811">
        <f>E85-E145</f>
        <v>0</v>
      </c>
      <c r="F146" s="812">
        <f>F85-F145</f>
        <v>0</v>
      </c>
    </row>
    <row r="147" spans="1:8" ht="7.5" customHeight="1" x14ac:dyDescent="0.3"/>
    <row r="149" spans="1:8" ht="12.75" customHeight="1" x14ac:dyDescent="0.3"/>
    <row r="150" spans="1:8" ht="12.75" customHeight="1" x14ac:dyDescent="0.3"/>
    <row r="151" spans="1:8" ht="12.75" customHeight="1" x14ac:dyDescent="0.3"/>
    <row r="152" spans="1:8" ht="12.75" customHeight="1" x14ac:dyDescent="0.3"/>
    <row r="153" spans="1:8" ht="12.75" customHeight="1" x14ac:dyDescent="0.3"/>
    <row r="154" spans="1:8" ht="12.75" customHeight="1" x14ac:dyDescent="0.3"/>
    <row r="155" spans="1:8" ht="12.75" customHeight="1" x14ac:dyDescent="0.3"/>
    <row r="156" spans="1:8" ht="12.75" customHeight="1" x14ac:dyDescent="0.3"/>
  </sheetData>
  <mergeCells count="8">
    <mergeCell ref="A1:E1"/>
    <mergeCell ref="A86:E86"/>
    <mergeCell ref="A88:A89"/>
    <mergeCell ref="B88:B89"/>
    <mergeCell ref="A3:A4"/>
    <mergeCell ref="B3:B4"/>
    <mergeCell ref="C3:G3"/>
    <mergeCell ref="C88:G88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63" fitToHeight="2" orientation="portrait" r:id="rId1"/>
  <headerFooter alignWithMargins="0">
    <oddHeader xml:space="preserve">&amp;R&amp;"Times New Roman CE,Félkövér dőlt"&amp;11 5_6. melléklet a 2/2020. (II.28) önkormányzati rendelethez 
</oddHeader>
  </headerFooter>
  <rowBreaks count="1" manualBreakCount="1">
    <brk id="85" max="6" man="1"/>
  </row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ColWidth="9.33203125" defaultRowHeight="13.2" x14ac:dyDescent="0.25"/>
  <cols>
    <col min="1" max="1" width="18.6640625" style="566" customWidth="1"/>
    <col min="2" max="2" width="62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+CONCATENATE("8.1.2. melléklet a ……/",LEFT(ÖSSZEFÜGGÉSEK!A4,4)+1,". (……) önkormányzati rendelethez")</f>
        <v>8.1.2.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475</v>
      </c>
      <c r="C2" s="1732"/>
      <c r="D2" s="1733"/>
      <c r="E2" s="571" t="s">
        <v>443</v>
      </c>
    </row>
    <row r="3" spans="1:5" s="548" customFormat="1" ht="16.2" thickBot="1" x14ac:dyDescent="0.3">
      <c r="A3" s="546" t="s">
        <v>476</v>
      </c>
      <c r="B3" s="1734" t="s">
        <v>474</v>
      </c>
      <c r="C3" s="1737"/>
      <c r="D3" s="1738"/>
      <c r="E3" s="572" t="s">
        <v>443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591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592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593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593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593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593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593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593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594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593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110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591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593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593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593"/>
      <c r="E22" s="109"/>
    </row>
    <row r="23" spans="1:5" s="524" customFormat="1" ht="12" customHeight="1" thickBot="1" x14ac:dyDescent="0.3">
      <c r="A23" s="574" t="s">
        <v>73</v>
      </c>
      <c r="B23" s="355" t="s">
        <v>477</v>
      </c>
      <c r="C23" s="431"/>
      <c r="D23" s="593"/>
      <c r="E23" s="109"/>
    </row>
    <row r="24" spans="1:5" s="524" customFormat="1" ht="12" customHeight="1" thickBot="1" x14ac:dyDescent="0.3">
      <c r="A24" s="561" t="s">
        <v>79</v>
      </c>
      <c r="B24" s="375" t="s">
        <v>303</v>
      </c>
      <c r="C24" s="41"/>
      <c r="D24" s="595"/>
      <c r="E24" s="567"/>
    </row>
    <row r="25" spans="1:5" s="524" customFormat="1" ht="12" customHeight="1" thickBot="1" x14ac:dyDescent="0.3">
      <c r="A25" s="561" t="s">
        <v>262</v>
      </c>
      <c r="B25" s="375" t="s">
        <v>456</v>
      </c>
      <c r="C25" s="434">
        <f>+C26+C27</f>
        <v>0</v>
      </c>
      <c r="D25" s="591">
        <f>+D26+D27</f>
        <v>0</v>
      </c>
      <c r="E25" s="568">
        <f>+E26+E27</f>
        <v>0</v>
      </c>
    </row>
    <row r="26" spans="1:5" s="524" customFormat="1" ht="12" customHeight="1" x14ac:dyDescent="0.25">
      <c r="A26" s="575" t="s">
        <v>95</v>
      </c>
      <c r="B26" s="576" t="s">
        <v>453</v>
      </c>
      <c r="C26" s="97"/>
      <c r="D26" s="582"/>
      <c r="E26" s="555"/>
    </row>
    <row r="27" spans="1:5" s="524" customFormat="1" ht="12" customHeight="1" x14ac:dyDescent="0.25">
      <c r="A27" s="575" t="s">
        <v>101</v>
      </c>
      <c r="B27" s="577" t="s">
        <v>457</v>
      </c>
      <c r="C27" s="435"/>
      <c r="D27" s="596"/>
      <c r="E27" s="554"/>
    </row>
    <row r="28" spans="1:5" s="524" customFormat="1" ht="12" customHeight="1" thickBot="1" x14ac:dyDescent="0.3">
      <c r="A28" s="574" t="s">
        <v>103</v>
      </c>
      <c r="B28" s="578" t="s">
        <v>478</v>
      </c>
      <c r="C28" s="558"/>
      <c r="D28" s="597"/>
      <c r="E28" s="553"/>
    </row>
    <row r="29" spans="1:5" s="524" customFormat="1" ht="12" customHeight="1" thickBot="1" x14ac:dyDescent="0.3">
      <c r="A29" s="561" t="s">
        <v>107</v>
      </c>
      <c r="B29" s="375" t="s">
        <v>459</v>
      </c>
      <c r="C29" s="434">
        <f>+C30+C31+C32</f>
        <v>0</v>
      </c>
      <c r="D29" s="591">
        <f>+D30+D31+D32</f>
        <v>0</v>
      </c>
      <c r="E29" s="568">
        <f>+E30+E31+E32</f>
        <v>0</v>
      </c>
    </row>
    <row r="30" spans="1:5" s="524" customFormat="1" ht="12" customHeight="1" x14ac:dyDescent="0.25">
      <c r="A30" s="575" t="s">
        <v>109</v>
      </c>
      <c r="B30" s="576" t="s">
        <v>132</v>
      </c>
      <c r="C30" s="97"/>
      <c r="D30" s="582"/>
      <c r="E30" s="555"/>
    </row>
    <row r="31" spans="1:5" s="524" customFormat="1" ht="12" customHeight="1" x14ac:dyDescent="0.25">
      <c r="A31" s="575" t="s">
        <v>111</v>
      </c>
      <c r="B31" s="577" t="s">
        <v>134</v>
      </c>
      <c r="C31" s="435"/>
      <c r="D31" s="596"/>
      <c r="E31" s="554"/>
    </row>
    <row r="32" spans="1:5" s="524" customFormat="1" ht="12" customHeight="1" thickBot="1" x14ac:dyDescent="0.3">
      <c r="A32" s="574" t="s">
        <v>113</v>
      </c>
      <c r="B32" s="560" t="s">
        <v>136</v>
      </c>
      <c r="C32" s="558"/>
      <c r="D32" s="597"/>
      <c r="E32" s="553"/>
    </row>
    <row r="33" spans="1:5" s="524" customFormat="1" ht="12" customHeight="1" thickBot="1" x14ac:dyDescent="0.3">
      <c r="A33" s="561" t="s">
        <v>129</v>
      </c>
      <c r="B33" s="375" t="s">
        <v>304</v>
      </c>
      <c r="C33" s="41"/>
      <c r="D33" s="595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595"/>
      <c r="E34" s="567"/>
    </row>
    <row r="35" spans="1:5" s="524" customFormat="1" ht="12" customHeight="1" thickBot="1" x14ac:dyDescent="0.3">
      <c r="A35" s="498" t="s">
        <v>151</v>
      </c>
      <c r="B35" s="375" t="s">
        <v>479</v>
      </c>
      <c r="C35" s="434">
        <f>+C8+C19+C24+C25+C29+C33+C34</f>
        <v>0</v>
      </c>
      <c r="D35" s="591">
        <f>+D8+D19+D24+D25+D29+D33+D34</f>
        <v>0</v>
      </c>
      <c r="E35" s="568">
        <f>+E8+E19+E24+E25+E29+E33+E34</f>
        <v>0</v>
      </c>
    </row>
    <row r="36" spans="1:5" s="551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591">
        <f>+D37+D38+D39</f>
        <v>0</v>
      </c>
      <c r="E36" s="568">
        <f>+E37+E38+E39</f>
        <v>0</v>
      </c>
    </row>
    <row r="37" spans="1:5" s="551" customFormat="1" ht="15" customHeight="1" x14ac:dyDescent="0.25">
      <c r="A37" s="575" t="s">
        <v>463</v>
      </c>
      <c r="B37" s="576" t="s">
        <v>359</v>
      </c>
      <c r="C37" s="97"/>
      <c r="D37" s="582"/>
      <c r="E37" s="555"/>
    </row>
    <row r="38" spans="1:5" s="551" customFormat="1" ht="15" customHeight="1" x14ac:dyDescent="0.25">
      <c r="A38" s="575" t="s">
        <v>464</v>
      </c>
      <c r="B38" s="577" t="s">
        <v>465</v>
      </c>
      <c r="C38" s="435"/>
      <c r="D38" s="596"/>
      <c r="E38" s="554"/>
    </row>
    <row r="39" spans="1:5" ht="13.8" thickBot="1" x14ac:dyDescent="0.3">
      <c r="A39" s="574" t="s">
        <v>466</v>
      </c>
      <c r="B39" s="560" t="s">
        <v>467</v>
      </c>
      <c r="C39" s="558"/>
      <c r="D39" s="597"/>
      <c r="E39" s="553"/>
    </row>
    <row r="40" spans="1:5" s="550" customFormat="1" ht="16.5" customHeight="1" thickBot="1" x14ac:dyDescent="0.25">
      <c r="A40" s="563" t="s">
        <v>285</v>
      </c>
      <c r="B40" s="564" t="s">
        <v>468</v>
      </c>
      <c r="C40" s="103">
        <f>+C35+C36</f>
        <v>0</v>
      </c>
      <c r="D40" s="598">
        <f>+D35+D36</f>
        <v>0</v>
      </c>
      <c r="E40" s="569">
        <f>+E35+E36</f>
        <v>0</v>
      </c>
    </row>
    <row r="41" spans="1:5" s="333" customFormat="1" ht="12" customHeight="1" x14ac:dyDescent="0.25">
      <c r="A41" s="506"/>
      <c r="B41" s="507"/>
      <c r="C41" s="522"/>
      <c r="D41" s="522"/>
      <c r="E41" s="522"/>
    </row>
    <row r="42" spans="1:5" ht="12" customHeight="1" thickBot="1" x14ac:dyDescent="0.3">
      <c r="A42" s="508"/>
      <c r="B42" s="509"/>
      <c r="C42" s="523"/>
      <c r="D42" s="523"/>
      <c r="E42" s="523"/>
    </row>
    <row r="43" spans="1:5" ht="12" customHeight="1" thickBot="1" x14ac:dyDescent="0.3">
      <c r="A43" s="1728" t="s">
        <v>292</v>
      </c>
      <c r="B43" s="1729"/>
      <c r="C43" s="1729"/>
      <c r="D43" s="1729"/>
      <c r="E43" s="1730"/>
    </row>
    <row r="44" spans="1:5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568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555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579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579"/>
    </row>
    <row r="48" spans="1:5" s="333" customFormat="1" ht="12" customHeight="1" x14ac:dyDescent="0.25">
      <c r="A48" s="574" t="s">
        <v>59</v>
      </c>
      <c r="B48" s="355" t="s">
        <v>218</v>
      </c>
      <c r="C48" s="428"/>
      <c r="D48" s="428"/>
      <c r="E48" s="579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579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568">
        <f>SUM(E51:E53)</f>
        <v>0</v>
      </c>
    </row>
    <row r="51" spans="1:5" ht="12" customHeight="1" x14ac:dyDescent="0.25">
      <c r="A51" s="574" t="s">
        <v>67</v>
      </c>
      <c r="B51" s="356" t="s">
        <v>241</v>
      </c>
      <c r="C51" s="97"/>
      <c r="D51" s="97"/>
      <c r="E51" s="555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579"/>
    </row>
    <row r="53" spans="1:5" ht="15" customHeight="1" x14ac:dyDescent="0.25">
      <c r="A53" s="574" t="s">
        <v>71</v>
      </c>
      <c r="B53" s="355" t="s">
        <v>471</v>
      </c>
      <c r="C53" s="428"/>
      <c r="D53" s="428"/>
      <c r="E53" s="579"/>
    </row>
    <row r="54" spans="1:5" ht="13.8" thickBot="1" x14ac:dyDescent="0.3">
      <c r="A54" s="574" t="s">
        <v>73</v>
      </c>
      <c r="B54" s="355" t="s">
        <v>480</v>
      </c>
      <c r="C54" s="428"/>
      <c r="D54" s="428"/>
      <c r="E54" s="579"/>
    </row>
    <row r="55" spans="1:5" ht="15" customHeight="1" thickBot="1" x14ac:dyDescent="0.3">
      <c r="A55" s="561" t="s">
        <v>79</v>
      </c>
      <c r="B55" s="565" t="s">
        <v>473</v>
      </c>
      <c r="C55" s="103">
        <f>+C44+C50</f>
        <v>0</v>
      </c>
      <c r="D55" s="103">
        <f>+D44+D50</f>
        <v>0</v>
      </c>
      <c r="E55" s="569">
        <f>+E44+E50</f>
        <v>0</v>
      </c>
    </row>
    <row r="56" spans="1:5" ht="13.8" thickBot="1" x14ac:dyDescent="0.3">
      <c r="C56" s="570"/>
      <c r="D56" s="570"/>
      <c r="E56" s="570"/>
    </row>
    <row r="57" spans="1:5" ht="13.8" thickBot="1" x14ac:dyDescent="0.3">
      <c r="A57" s="510" t="s">
        <v>437</v>
      </c>
      <c r="B57" s="511"/>
      <c r="C57" s="107"/>
      <c r="D57" s="107"/>
      <c r="E57" s="559"/>
    </row>
    <row r="58" spans="1:5" ht="13.8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92D050"/>
  </sheetPr>
  <dimension ref="A1:E58"/>
  <sheetViews>
    <sheetView zoomScaleNormal="100" zoomScaleSheetLayoutView="145" workbookViewId="0">
      <selection activeCell="B8" sqref="B8"/>
    </sheetView>
  </sheetViews>
  <sheetFormatPr defaultColWidth="9.33203125" defaultRowHeight="13.2" x14ac:dyDescent="0.25"/>
  <cols>
    <col min="1" max="1" width="18.6640625" style="566" customWidth="1"/>
    <col min="2" max="2" width="62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+CONCATENATE("8.1.3. melléklet a ……/",LEFT(ÖSSZEFÜGGÉSEK!A4,4)+1,". (……) önkormányzati rendelethez")</f>
        <v>8.1.3.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475</v>
      </c>
      <c r="C2" s="1732"/>
      <c r="D2" s="1733"/>
      <c r="E2" s="571" t="s">
        <v>443</v>
      </c>
    </row>
    <row r="3" spans="1:5" s="548" customFormat="1" ht="16.2" thickBot="1" x14ac:dyDescent="0.3">
      <c r="A3" s="546" t="s">
        <v>476</v>
      </c>
      <c r="B3" s="1734" t="s">
        <v>482</v>
      </c>
      <c r="C3" s="1737"/>
      <c r="D3" s="1738"/>
      <c r="E3" s="572" t="s">
        <v>445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591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592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593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593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593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593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593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593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594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593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110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591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593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593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593"/>
      <c r="E22" s="109"/>
    </row>
    <row r="23" spans="1:5" s="524" customFormat="1" ht="12" customHeight="1" thickBot="1" x14ac:dyDescent="0.3">
      <c r="A23" s="574" t="s">
        <v>73</v>
      </c>
      <c r="B23" s="355" t="s">
        <v>477</v>
      </c>
      <c r="C23" s="431"/>
      <c r="D23" s="593"/>
      <c r="E23" s="109"/>
    </row>
    <row r="24" spans="1:5" s="524" customFormat="1" ht="12" customHeight="1" thickBot="1" x14ac:dyDescent="0.3">
      <c r="A24" s="561" t="s">
        <v>79</v>
      </c>
      <c r="B24" s="375" t="s">
        <v>303</v>
      </c>
      <c r="C24" s="41"/>
      <c r="D24" s="595"/>
      <c r="E24" s="567"/>
    </row>
    <row r="25" spans="1:5" s="524" customFormat="1" ht="12" customHeight="1" thickBot="1" x14ac:dyDescent="0.3">
      <c r="A25" s="561" t="s">
        <v>262</v>
      </c>
      <c r="B25" s="375" t="s">
        <v>456</v>
      </c>
      <c r="C25" s="434">
        <f>+C26+C27</f>
        <v>0</v>
      </c>
      <c r="D25" s="591">
        <f>+D26+D27</f>
        <v>0</v>
      </c>
      <c r="E25" s="568">
        <f>+E26+E27</f>
        <v>0</v>
      </c>
    </row>
    <row r="26" spans="1:5" s="524" customFormat="1" ht="12" customHeight="1" x14ac:dyDescent="0.25">
      <c r="A26" s="575" t="s">
        <v>95</v>
      </c>
      <c r="B26" s="576" t="s">
        <v>453</v>
      </c>
      <c r="C26" s="97"/>
      <c r="D26" s="582"/>
      <c r="E26" s="555"/>
    </row>
    <row r="27" spans="1:5" s="524" customFormat="1" ht="12" customHeight="1" x14ac:dyDescent="0.25">
      <c r="A27" s="575" t="s">
        <v>101</v>
      </c>
      <c r="B27" s="577" t="s">
        <v>457</v>
      </c>
      <c r="C27" s="435"/>
      <c r="D27" s="596"/>
      <c r="E27" s="554"/>
    </row>
    <row r="28" spans="1:5" s="524" customFormat="1" ht="12" customHeight="1" thickBot="1" x14ac:dyDescent="0.3">
      <c r="A28" s="574" t="s">
        <v>103</v>
      </c>
      <c r="B28" s="578" t="s">
        <v>478</v>
      </c>
      <c r="C28" s="558"/>
      <c r="D28" s="597"/>
      <c r="E28" s="553"/>
    </row>
    <row r="29" spans="1:5" s="524" customFormat="1" ht="12" customHeight="1" thickBot="1" x14ac:dyDescent="0.3">
      <c r="A29" s="561" t="s">
        <v>107</v>
      </c>
      <c r="B29" s="375" t="s">
        <v>459</v>
      </c>
      <c r="C29" s="434">
        <f>+C30+C31+C32</f>
        <v>0</v>
      </c>
      <c r="D29" s="591">
        <f>+D30+D31+D32</f>
        <v>0</v>
      </c>
      <c r="E29" s="568">
        <f>+E30+E31+E32</f>
        <v>0</v>
      </c>
    </row>
    <row r="30" spans="1:5" s="524" customFormat="1" ht="12" customHeight="1" x14ac:dyDescent="0.25">
      <c r="A30" s="575" t="s">
        <v>109</v>
      </c>
      <c r="B30" s="576" t="s">
        <v>132</v>
      </c>
      <c r="C30" s="97"/>
      <c r="D30" s="582"/>
      <c r="E30" s="555"/>
    </row>
    <row r="31" spans="1:5" s="524" customFormat="1" ht="12" customHeight="1" x14ac:dyDescent="0.25">
      <c r="A31" s="575" t="s">
        <v>111</v>
      </c>
      <c r="B31" s="577" t="s">
        <v>134</v>
      </c>
      <c r="C31" s="435"/>
      <c r="D31" s="596"/>
      <c r="E31" s="554"/>
    </row>
    <row r="32" spans="1:5" s="524" customFormat="1" ht="12" customHeight="1" thickBot="1" x14ac:dyDescent="0.3">
      <c r="A32" s="574" t="s">
        <v>113</v>
      </c>
      <c r="B32" s="560" t="s">
        <v>136</v>
      </c>
      <c r="C32" s="558"/>
      <c r="D32" s="597"/>
      <c r="E32" s="553"/>
    </row>
    <row r="33" spans="1:5" s="524" customFormat="1" ht="12" customHeight="1" thickBot="1" x14ac:dyDescent="0.3">
      <c r="A33" s="561" t="s">
        <v>129</v>
      </c>
      <c r="B33" s="375" t="s">
        <v>304</v>
      </c>
      <c r="C33" s="41"/>
      <c r="D33" s="595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595"/>
      <c r="E34" s="567"/>
    </row>
    <row r="35" spans="1:5" s="524" customFormat="1" ht="12" customHeight="1" thickBot="1" x14ac:dyDescent="0.3">
      <c r="A35" s="498" t="s">
        <v>151</v>
      </c>
      <c r="B35" s="375" t="s">
        <v>479</v>
      </c>
      <c r="C35" s="434">
        <f>+C8+C19+C24+C25+C29+C33+C34</f>
        <v>0</v>
      </c>
      <c r="D35" s="591">
        <f>+D8+D19+D24+D25+D29+D33+D34</f>
        <v>0</v>
      </c>
      <c r="E35" s="568">
        <f>+E8+E19+E24+E25+E29+E33+E34</f>
        <v>0</v>
      </c>
    </row>
    <row r="36" spans="1:5" s="551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591">
        <f>+D37+D38+D39</f>
        <v>0</v>
      </c>
      <c r="E36" s="568">
        <f>+E37+E38+E39</f>
        <v>0</v>
      </c>
    </row>
    <row r="37" spans="1:5" s="551" customFormat="1" ht="15" customHeight="1" x14ac:dyDescent="0.25">
      <c r="A37" s="575" t="s">
        <v>463</v>
      </c>
      <c r="B37" s="576" t="s">
        <v>359</v>
      </c>
      <c r="C37" s="97"/>
      <c r="D37" s="582"/>
      <c r="E37" s="555"/>
    </row>
    <row r="38" spans="1:5" s="551" customFormat="1" ht="15" customHeight="1" x14ac:dyDescent="0.25">
      <c r="A38" s="575" t="s">
        <v>464</v>
      </c>
      <c r="B38" s="577" t="s">
        <v>465</v>
      </c>
      <c r="C38" s="435"/>
      <c r="D38" s="596"/>
      <c r="E38" s="554"/>
    </row>
    <row r="39" spans="1:5" ht="13.8" thickBot="1" x14ac:dyDescent="0.3">
      <c r="A39" s="574" t="s">
        <v>466</v>
      </c>
      <c r="B39" s="560" t="s">
        <v>467</v>
      </c>
      <c r="C39" s="558"/>
      <c r="D39" s="597"/>
      <c r="E39" s="553"/>
    </row>
    <row r="40" spans="1:5" s="550" customFormat="1" ht="16.5" customHeight="1" thickBot="1" x14ac:dyDescent="0.25">
      <c r="A40" s="563" t="s">
        <v>285</v>
      </c>
      <c r="B40" s="564" t="s">
        <v>468</v>
      </c>
      <c r="C40" s="103">
        <f>+C35+C36</f>
        <v>0</v>
      </c>
      <c r="D40" s="598">
        <f>+D35+D36</f>
        <v>0</v>
      </c>
      <c r="E40" s="569">
        <f>+E35+E36</f>
        <v>0</v>
      </c>
    </row>
    <row r="41" spans="1:5" s="333" customFormat="1" ht="12" customHeight="1" x14ac:dyDescent="0.25">
      <c r="A41" s="506"/>
      <c r="B41" s="507"/>
      <c r="C41" s="522"/>
      <c r="D41" s="522"/>
      <c r="E41" s="522"/>
    </row>
    <row r="42" spans="1:5" ht="12" customHeight="1" thickBot="1" x14ac:dyDescent="0.3">
      <c r="A42" s="508"/>
      <c r="B42" s="509"/>
      <c r="C42" s="523"/>
      <c r="D42" s="523"/>
      <c r="E42" s="523"/>
    </row>
    <row r="43" spans="1:5" ht="12" customHeight="1" thickBot="1" x14ac:dyDescent="0.3">
      <c r="A43" s="1728" t="s">
        <v>292</v>
      </c>
      <c r="B43" s="1729"/>
      <c r="C43" s="1729"/>
      <c r="D43" s="1729"/>
      <c r="E43" s="1730"/>
    </row>
    <row r="44" spans="1:5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568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555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579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579"/>
    </row>
    <row r="48" spans="1:5" s="333" customFormat="1" ht="12" customHeight="1" x14ac:dyDescent="0.25">
      <c r="A48" s="574" t="s">
        <v>59</v>
      </c>
      <c r="B48" s="355" t="s">
        <v>218</v>
      </c>
      <c r="C48" s="428"/>
      <c r="D48" s="428"/>
      <c r="E48" s="579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579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568">
        <f>SUM(E51:E53)</f>
        <v>0</v>
      </c>
    </row>
    <row r="51" spans="1:5" ht="12" customHeight="1" x14ac:dyDescent="0.25">
      <c r="A51" s="574" t="s">
        <v>67</v>
      </c>
      <c r="B51" s="356" t="s">
        <v>241</v>
      </c>
      <c r="C51" s="97"/>
      <c r="D51" s="97"/>
      <c r="E51" s="555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579"/>
    </row>
    <row r="53" spans="1:5" ht="15" customHeight="1" x14ac:dyDescent="0.25">
      <c r="A53" s="574" t="s">
        <v>71</v>
      </c>
      <c r="B53" s="355" t="s">
        <v>471</v>
      </c>
      <c r="C53" s="428"/>
      <c r="D53" s="428"/>
      <c r="E53" s="579"/>
    </row>
    <row r="54" spans="1:5" ht="13.8" thickBot="1" x14ac:dyDescent="0.3">
      <c r="A54" s="574" t="s">
        <v>73</v>
      </c>
      <c r="B54" s="355" t="s">
        <v>480</v>
      </c>
      <c r="C54" s="428"/>
      <c r="D54" s="428"/>
      <c r="E54" s="579"/>
    </row>
    <row r="55" spans="1:5" ht="15" customHeight="1" thickBot="1" x14ac:dyDescent="0.3">
      <c r="A55" s="561" t="s">
        <v>79</v>
      </c>
      <c r="B55" s="565" t="s">
        <v>473</v>
      </c>
      <c r="C55" s="103">
        <f>+C44+C50</f>
        <v>0</v>
      </c>
      <c r="D55" s="103">
        <f>+D44+D50</f>
        <v>0</v>
      </c>
      <c r="E55" s="569">
        <f>+E44+E50</f>
        <v>0</v>
      </c>
    </row>
    <row r="56" spans="1:5" ht="13.8" thickBot="1" x14ac:dyDescent="0.3">
      <c r="C56" s="570"/>
      <c r="D56" s="570"/>
      <c r="E56" s="570"/>
    </row>
    <row r="57" spans="1:5" ht="13.8" thickBot="1" x14ac:dyDescent="0.3">
      <c r="A57" s="510" t="s">
        <v>437</v>
      </c>
      <c r="B57" s="511"/>
      <c r="C57" s="107"/>
      <c r="D57" s="107"/>
      <c r="E57" s="559"/>
    </row>
    <row r="58" spans="1:5" ht="13.8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92D050"/>
  </sheetPr>
  <dimension ref="A1:E58"/>
  <sheetViews>
    <sheetView zoomScaleNormal="100" zoomScaleSheetLayoutView="145" workbookViewId="0">
      <selection activeCell="E1" sqref="E1"/>
    </sheetView>
  </sheetViews>
  <sheetFormatPr defaultColWidth="9.33203125" defaultRowHeight="13.2" x14ac:dyDescent="0.25"/>
  <cols>
    <col min="1" max="1" width="18.6640625" style="566" customWidth="1"/>
    <col min="2" max="2" width="62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+CONCATENATE("8.2. melléklet a ……/",LEFT(ÖSSZEFÜGGÉSEK!A4,4)+1,". (……) önkormányzati rendelethez")</f>
        <v>8.2.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483</v>
      </c>
      <c r="C2" s="1732"/>
      <c r="D2" s="1733"/>
      <c r="E2" s="571" t="s">
        <v>445</v>
      </c>
    </row>
    <row r="3" spans="1:5" s="548" customFormat="1" ht="16.2" thickBot="1" x14ac:dyDescent="0.3">
      <c r="A3" s="546" t="s">
        <v>476</v>
      </c>
      <c r="B3" s="1734" t="s">
        <v>424</v>
      </c>
      <c r="C3" s="1737"/>
      <c r="D3" s="1738"/>
      <c r="E3" s="572" t="s">
        <v>422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591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592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593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593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593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593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593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593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594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593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110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591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593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593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593"/>
      <c r="E22" s="109"/>
    </row>
    <row r="23" spans="1:5" s="524" customFormat="1" ht="12" customHeight="1" thickBot="1" x14ac:dyDescent="0.3">
      <c r="A23" s="574" t="s">
        <v>73</v>
      </c>
      <c r="B23" s="355" t="s">
        <v>477</v>
      </c>
      <c r="C23" s="431"/>
      <c r="D23" s="593"/>
      <c r="E23" s="109"/>
    </row>
    <row r="24" spans="1:5" s="524" customFormat="1" ht="12" customHeight="1" thickBot="1" x14ac:dyDescent="0.3">
      <c r="A24" s="561" t="s">
        <v>79</v>
      </c>
      <c r="B24" s="375" t="s">
        <v>303</v>
      </c>
      <c r="C24" s="41"/>
      <c r="D24" s="595"/>
      <c r="E24" s="567"/>
    </row>
    <row r="25" spans="1:5" s="524" customFormat="1" ht="12" customHeight="1" thickBot="1" x14ac:dyDescent="0.3">
      <c r="A25" s="561" t="s">
        <v>262</v>
      </c>
      <c r="B25" s="375" t="s">
        <v>456</v>
      </c>
      <c r="C25" s="434">
        <f>+C26+C27</f>
        <v>0</v>
      </c>
      <c r="D25" s="591">
        <f>+D26+D27</f>
        <v>0</v>
      </c>
      <c r="E25" s="568">
        <f>+E26+E27</f>
        <v>0</v>
      </c>
    </row>
    <row r="26" spans="1:5" s="524" customFormat="1" ht="12" customHeight="1" x14ac:dyDescent="0.25">
      <c r="A26" s="575" t="s">
        <v>95</v>
      </c>
      <c r="B26" s="576" t="s">
        <v>453</v>
      </c>
      <c r="C26" s="97"/>
      <c r="D26" s="582"/>
      <c r="E26" s="555"/>
    </row>
    <row r="27" spans="1:5" s="524" customFormat="1" ht="12" customHeight="1" x14ac:dyDescent="0.25">
      <c r="A27" s="575" t="s">
        <v>101</v>
      </c>
      <c r="B27" s="577" t="s">
        <v>457</v>
      </c>
      <c r="C27" s="435"/>
      <c r="D27" s="596"/>
      <c r="E27" s="554"/>
    </row>
    <row r="28" spans="1:5" s="524" customFormat="1" ht="12" customHeight="1" thickBot="1" x14ac:dyDescent="0.3">
      <c r="A28" s="574" t="s">
        <v>103</v>
      </c>
      <c r="B28" s="578" t="s">
        <v>478</v>
      </c>
      <c r="C28" s="558"/>
      <c r="D28" s="597"/>
      <c r="E28" s="553"/>
    </row>
    <row r="29" spans="1:5" s="524" customFormat="1" ht="12" customHeight="1" thickBot="1" x14ac:dyDescent="0.3">
      <c r="A29" s="561" t="s">
        <v>107</v>
      </c>
      <c r="B29" s="375" t="s">
        <v>459</v>
      </c>
      <c r="C29" s="434">
        <f>+C30+C31+C32</f>
        <v>0</v>
      </c>
      <c r="D29" s="591">
        <f>+D30+D31+D32</f>
        <v>0</v>
      </c>
      <c r="E29" s="568">
        <f>+E30+E31+E32</f>
        <v>0</v>
      </c>
    </row>
    <row r="30" spans="1:5" s="524" customFormat="1" ht="12" customHeight="1" x14ac:dyDescent="0.25">
      <c r="A30" s="575" t="s">
        <v>109</v>
      </c>
      <c r="B30" s="576" t="s">
        <v>132</v>
      </c>
      <c r="C30" s="97"/>
      <c r="D30" s="582"/>
      <c r="E30" s="555"/>
    </row>
    <row r="31" spans="1:5" s="524" customFormat="1" ht="12" customHeight="1" x14ac:dyDescent="0.25">
      <c r="A31" s="575" t="s">
        <v>111</v>
      </c>
      <c r="B31" s="577" t="s">
        <v>134</v>
      </c>
      <c r="C31" s="435"/>
      <c r="D31" s="596"/>
      <c r="E31" s="554"/>
    </row>
    <row r="32" spans="1:5" s="524" customFormat="1" ht="12" customHeight="1" thickBot="1" x14ac:dyDescent="0.3">
      <c r="A32" s="574" t="s">
        <v>113</v>
      </c>
      <c r="B32" s="560" t="s">
        <v>136</v>
      </c>
      <c r="C32" s="558"/>
      <c r="D32" s="597"/>
      <c r="E32" s="553"/>
    </row>
    <row r="33" spans="1:5" s="524" customFormat="1" ht="12" customHeight="1" thickBot="1" x14ac:dyDescent="0.3">
      <c r="A33" s="561" t="s">
        <v>129</v>
      </c>
      <c r="B33" s="375" t="s">
        <v>304</v>
      </c>
      <c r="C33" s="41"/>
      <c r="D33" s="595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595"/>
      <c r="E34" s="567"/>
    </row>
    <row r="35" spans="1:5" s="524" customFormat="1" ht="12" customHeight="1" thickBot="1" x14ac:dyDescent="0.3">
      <c r="A35" s="498" t="s">
        <v>151</v>
      </c>
      <c r="B35" s="375" t="s">
        <v>479</v>
      </c>
      <c r="C35" s="434">
        <f>+C8+C19+C24+C25+C29+C33+C34</f>
        <v>0</v>
      </c>
      <c r="D35" s="591">
        <f>+D8+D19+D24+D25+D29+D33+D34</f>
        <v>0</v>
      </c>
      <c r="E35" s="568">
        <f>+E8+E19+E24+E25+E29+E33+E34</f>
        <v>0</v>
      </c>
    </row>
    <row r="36" spans="1:5" s="551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591">
        <f>+D37+D38+D39</f>
        <v>0</v>
      </c>
      <c r="E36" s="568">
        <f>+E37+E38+E39</f>
        <v>0</v>
      </c>
    </row>
    <row r="37" spans="1:5" s="551" customFormat="1" ht="15" customHeight="1" x14ac:dyDescent="0.25">
      <c r="A37" s="575" t="s">
        <v>463</v>
      </c>
      <c r="B37" s="576" t="s">
        <v>359</v>
      </c>
      <c r="C37" s="97"/>
      <c r="D37" s="582"/>
      <c r="E37" s="555"/>
    </row>
    <row r="38" spans="1:5" s="551" customFormat="1" ht="15" customHeight="1" x14ac:dyDescent="0.25">
      <c r="A38" s="575" t="s">
        <v>464</v>
      </c>
      <c r="B38" s="577" t="s">
        <v>465</v>
      </c>
      <c r="C38" s="435"/>
      <c r="D38" s="596"/>
      <c r="E38" s="554"/>
    </row>
    <row r="39" spans="1:5" ht="13.8" thickBot="1" x14ac:dyDescent="0.3">
      <c r="A39" s="574" t="s">
        <v>466</v>
      </c>
      <c r="B39" s="560" t="s">
        <v>467</v>
      </c>
      <c r="C39" s="558"/>
      <c r="D39" s="597"/>
      <c r="E39" s="553"/>
    </row>
    <row r="40" spans="1:5" s="550" customFormat="1" ht="16.5" customHeight="1" thickBot="1" x14ac:dyDescent="0.25">
      <c r="A40" s="563" t="s">
        <v>285</v>
      </c>
      <c r="B40" s="564" t="s">
        <v>468</v>
      </c>
      <c r="C40" s="103">
        <f>+C35+C36</f>
        <v>0</v>
      </c>
      <c r="D40" s="598">
        <f>+D35+D36</f>
        <v>0</v>
      </c>
      <c r="E40" s="569">
        <f>+E35+E36</f>
        <v>0</v>
      </c>
    </row>
    <row r="41" spans="1:5" s="333" customFormat="1" ht="12" customHeight="1" x14ac:dyDescent="0.25">
      <c r="A41" s="506"/>
      <c r="B41" s="507"/>
      <c r="C41" s="522"/>
      <c r="D41" s="522"/>
      <c r="E41" s="522"/>
    </row>
    <row r="42" spans="1:5" ht="12" customHeight="1" thickBot="1" x14ac:dyDescent="0.3">
      <c r="A42" s="508"/>
      <c r="B42" s="509"/>
      <c r="C42" s="523"/>
      <c r="D42" s="523"/>
      <c r="E42" s="523"/>
    </row>
    <row r="43" spans="1:5" ht="12" customHeight="1" thickBot="1" x14ac:dyDescent="0.3">
      <c r="A43" s="1728" t="s">
        <v>292</v>
      </c>
      <c r="B43" s="1729"/>
      <c r="C43" s="1729"/>
      <c r="D43" s="1729"/>
      <c r="E43" s="1730"/>
    </row>
    <row r="44" spans="1:5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568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555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579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579"/>
    </row>
    <row r="48" spans="1:5" s="333" customFormat="1" ht="12" customHeight="1" x14ac:dyDescent="0.25">
      <c r="A48" s="574" t="s">
        <v>59</v>
      </c>
      <c r="B48" s="355" t="s">
        <v>218</v>
      </c>
      <c r="C48" s="428"/>
      <c r="D48" s="428"/>
      <c r="E48" s="579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579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568">
        <f>SUM(E51:E53)</f>
        <v>0</v>
      </c>
    </row>
    <row r="51" spans="1:5" ht="12" customHeight="1" x14ac:dyDescent="0.25">
      <c r="A51" s="574" t="s">
        <v>67</v>
      </c>
      <c r="B51" s="356" t="s">
        <v>241</v>
      </c>
      <c r="C51" s="97"/>
      <c r="D51" s="97"/>
      <c r="E51" s="555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579"/>
    </row>
    <row r="53" spans="1:5" ht="15" customHeight="1" x14ac:dyDescent="0.25">
      <c r="A53" s="574" t="s">
        <v>71</v>
      </c>
      <c r="B53" s="355" t="s">
        <v>471</v>
      </c>
      <c r="C53" s="428"/>
      <c r="D53" s="428"/>
      <c r="E53" s="579"/>
    </row>
    <row r="54" spans="1:5" ht="13.8" thickBot="1" x14ac:dyDescent="0.3">
      <c r="A54" s="574" t="s">
        <v>73</v>
      </c>
      <c r="B54" s="355" t="s">
        <v>480</v>
      </c>
      <c r="C54" s="428"/>
      <c r="D54" s="428"/>
      <c r="E54" s="579"/>
    </row>
    <row r="55" spans="1:5" ht="15" customHeight="1" thickBot="1" x14ac:dyDescent="0.3">
      <c r="A55" s="561" t="s">
        <v>79</v>
      </c>
      <c r="B55" s="565" t="s">
        <v>473</v>
      </c>
      <c r="C55" s="103">
        <f>+C44+C50</f>
        <v>0</v>
      </c>
      <c r="D55" s="103">
        <f>+D44+D50</f>
        <v>0</v>
      </c>
      <c r="E55" s="569">
        <f>+E44+E50</f>
        <v>0</v>
      </c>
    </row>
    <row r="56" spans="1:5" ht="13.8" thickBot="1" x14ac:dyDescent="0.3">
      <c r="C56" s="570"/>
      <c r="D56" s="570"/>
      <c r="E56" s="570"/>
    </row>
    <row r="57" spans="1:5" ht="13.8" thickBot="1" x14ac:dyDescent="0.3">
      <c r="A57" s="510" t="s">
        <v>437</v>
      </c>
      <c r="B57" s="511"/>
      <c r="C57" s="107"/>
      <c r="D57" s="107"/>
      <c r="E57" s="559"/>
    </row>
    <row r="58" spans="1:5" ht="13.8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ColWidth="9.33203125" defaultRowHeight="13.2" x14ac:dyDescent="0.25"/>
  <cols>
    <col min="1" max="1" width="18.6640625" style="566" customWidth="1"/>
    <col min="2" max="2" width="62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+CONCATENATE("8.2.1. melléklet a ……/",LEFT(ÖSSZEFÜGGÉSEK!A4,4)+1,". (……) önkormányzati rendelethez")</f>
        <v>8.2.1.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483</v>
      </c>
      <c r="C2" s="1732"/>
      <c r="D2" s="1733"/>
      <c r="E2" s="571" t="s">
        <v>445</v>
      </c>
    </row>
    <row r="3" spans="1:5" s="548" customFormat="1" ht="16.2" thickBot="1" x14ac:dyDescent="0.3">
      <c r="A3" s="546" t="s">
        <v>476</v>
      </c>
      <c r="B3" s="1734" t="s">
        <v>481</v>
      </c>
      <c r="C3" s="1737"/>
      <c r="D3" s="1738"/>
      <c r="E3" s="572" t="s">
        <v>440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591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592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593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593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593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593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593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593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594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593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110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591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593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593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593"/>
      <c r="E22" s="109"/>
    </row>
    <row r="23" spans="1:5" s="524" customFormat="1" ht="12" customHeight="1" thickBot="1" x14ac:dyDescent="0.3">
      <c r="A23" s="574" t="s">
        <v>73</v>
      </c>
      <c r="B23" s="355" t="s">
        <v>477</v>
      </c>
      <c r="C23" s="431"/>
      <c r="D23" s="593"/>
      <c r="E23" s="109"/>
    </row>
    <row r="24" spans="1:5" s="524" customFormat="1" ht="12" customHeight="1" thickBot="1" x14ac:dyDescent="0.3">
      <c r="A24" s="561" t="s">
        <v>79</v>
      </c>
      <c r="B24" s="375" t="s">
        <v>303</v>
      </c>
      <c r="C24" s="41"/>
      <c r="D24" s="595"/>
      <c r="E24" s="567"/>
    </row>
    <row r="25" spans="1:5" s="524" customFormat="1" ht="12" customHeight="1" thickBot="1" x14ac:dyDescent="0.3">
      <c r="A25" s="561" t="s">
        <v>262</v>
      </c>
      <c r="B25" s="375" t="s">
        <v>456</v>
      </c>
      <c r="C25" s="434">
        <f>+C26+C27</f>
        <v>0</v>
      </c>
      <c r="D25" s="591">
        <f>+D26+D27</f>
        <v>0</v>
      </c>
      <c r="E25" s="568">
        <f>+E26+E27</f>
        <v>0</v>
      </c>
    </row>
    <row r="26" spans="1:5" s="524" customFormat="1" ht="12" customHeight="1" x14ac:dyDescent="0.25">
      <c r="A26" s="575" t="s">
        <v>95</v>
      </c>
      <c r="B26" s="576" t="s">
        <v>453</v>
      </c>
      <c r="C26" s="97"/>
      <c r="D26" s="582"/>
      <c r="E26" s="555"/>
    </row>
    <row r="27" spans="1:5" s="524" customFormat="1" ht="12" customHeight="1" x14ac:dyDescent="0.25">
      <c r="A27" s="575" t="s">
        <v>101</v>
      </c>
      <c r="B27" s="577" t="s">
        <v>457</v>
      </c>
      <c r="C27" s="435"/>
      <c r="D27" s="596"/>
      <c r="E27" s="554"/>
    </row>
    <row r="28" spans="1:5" s="524" customFormat="1" ht="12" customHeight="1" thickBot="1" x14ac:dyDescent="0.3">
      <c r="A28" s="574" t="s">
        <v>103</v>
      </c>
      <c r="B28" s="578" t="s">
        <v>478</v>
      </c>
      <c r="C28" s="558"/>
      <c r="D28" s="597"/>
      <c r="E28" s="553"/>
    </row>
    <row r="29" spans="1:5" s="524" customFormat="1" ht="12" customHeight="1" thickBot="1" x14ac:dyDescent="0.3">
      <c r="A29" s="561" t="s">
        <v>107</v>
      </c>
      <c r="B29" s="375" t="s">
        <v>459</v>
      </c>
      <c r="C29" s="434">
        <f>+C30+C31+C32</f>
        <v>0</v>
      </c>
      <c r="D29" s="591">
        <f>+D30+D31+D32</f>
        <v>0</v>
      </c>
      <c r="E29" s="568">
        <f>+E30+E31+E32</f>
        <v>0</v>
      </c>
    </row>
    <row r="30" spans="1:5" s="524" customFormat="1" ht="12" customHeight="1" x14ac:dyDescent="0.25">
      <c r="A30" s="575" t="s">
        <v>109</v>
      </c>
      <c r="B30" s="576" t="s">
        <v>132</v>
      </c>
      <c r="C30" s="97"/>
      <c r="D30" s="582"/>
      <c r="E30" s="555"/>
    </row>
    <row r="31" spans="1:5" s="524" customFormat="1" ht="12" customHeight="1" x14ac:dyDescent="0.25">
      <c r="A31" s="575" t="s">
        <v>111</v>
      </c>
      <c r="B31" s="577" t="s">
        <v>134</v>
      </c>
      <c r="C31" s="435"/>
      <c r="D31" s="596"/>
      <c r="E31" s="554"/>
    </row>
    <row r="32" spans="1:5" s="524" customFormat="1" ht="12" customHeight="1" thickBot="1" x14ac:dyDescent="0.3">
      <c r="A32" s="574" t="s">
        <v>113</v>
      </c>
      <c r="B32" s="560" t="s">
        <v>136</v>
      </c>
      <c r="C32" s="558"/>
      <c r="D32" s="597"/>
      <c r="E32" s="553"/>
    </row>
    <row r="33" spans="1:5" s="524" customFormat="1" ht="12" customHeight="1" thickBot="1" x14ac:dyDescent="0.3">
      <c r="A33" s="561" t="s">
        <v>129</v>
      </c>
      <c r="B33" s="375" t="s">
        <v>304</v>
      </c>
      <c r="C33" s="41"/>
      <c r="D33" s="595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595"/>
      <c r="E34" s="567"/>
    </row>
    <row r="35" spans="1:5" s="524" customFormat="1" ht="12" customHeight="1" thickBot="1" x14ac:dyDescent="0.3">
      <c r="A35" s="498" t="s">
        <v>151</v>
      </c>
      <c r="B35" s="375" t="s">
        <v>479</v>
      </c>
      <c r="C35" s="434">
        <f>+C8+C19+C24+C25+C29+C33+C34</f>
        <v>0</v>
      </c>
      <c r="D35" s="591">
        <f>+D8+D19+D24+D25+D29+D33+D34</f>
        <v>0</v>
      </c>
      <c r="E35" s="568">
        <f>+E8+E19+E24+E25+E29+E33+E34</f>
        <v>0</v>
      </c>
    </row>
    <row r="36" spans="1:5" s="551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591">
        <f>+D37+D38+D39</f>
        <v>0</v>
      </c>
      <c r="E36" s="568">
        <f>+E37+E38+E39</f>
        <v>0</v>
      </c>
    </row>
    <row r="37" spans="1:5" s="551" customFormat="1" ht="15" customHeight="1" x14ac:dyDescent="0.25">
      <c r="A37" s="575" t="s">
        <v>463</v>
      </c>
      <c r="B37" s="576" t="s">
        <v>359</v>
      </c>
      <c r="C37" s="97"/>
      <c r="D37" s="582"/>
      <c r="E37" s="555"/>
    </row>
    <row r="38" spans="1:5" s="551" customFormat="1" ht="15" customHeight="1" x14ac:dyDescent="0.25">
      <c r="A38" s="575" t="s">
        <v>464</v>
      </c>
      <c r="B38" s="577" t="s">
        <v>465</v>
      </c>
      <c r="C38" s="435"/>
      <c r="D38" s="596"/>
      <c r="E38" s="554"/>
    </row>
    <row r="39" spans="1:5" ht="13.8" thickBot="1" x14ac:dyDescent="0.3">
      <c r="A39" s="574" t="s">
        <v>466</v>
      </c>
      <c r="B39" s="560" t="s">
        <v>467</v>
      </c>
      <c r="C39" s="558"/>
      <c r="D39" s="597"/>
      <c r="E39" s="553"/>
    </row>
    <row r="40" spans="1:5" s="550" customFormat="1" ht="16.5" customHeight="1" thickBot="1" x14ac:dyDescent="0.25">
      <c r="A40" s="563" t="s">
        <v>285</v>
      </c>
      <c r="B40" s="564" t="s">
        <v>468</v>
      </c>
      <c r="C40" s="103">
        <f>+C35+C36</f>
        <v>0</v>
      </c>
      <c r="D40" s="598">
        <f>+D35+D36</f>
        <v>0</v>
      </c>
      <c r="E40" s="569">
        <f>+E35+E36</f>
        <v>0</v>
      </c>
    </row>
    <row r="41" spans="1:5" s="333" customFormat="1" ht="12" customHeight="1" x14ac:dyDescent="0.25">
      <c r="A41" s="506"/>
      <c r="B41" s="507"/>
      <c r="C41" s="522"/>
      <c r="D41" s="522"/>
      <c r="E41" s="522"/>
    </row>
    <row r="42" spans="1:5" ht="12" customHeight="1" thickBot="1" x14ac:dyDescent="0.3">
      <c r="A42" s="508"/>
      <c r="B42" s="509"/>
      <c r="C42" s="523"/>
      <c r="D42" s="523"/>
      <c r="E42" s="523"/>
    </row>
    <row r="43" spans="1:5" ht="12" customHeight="1" thickBot="1" x14ac:dyDescent="0.3">
      <c r="A43" s="1728" t="s">
        <v>292</v>
      </c>
      <c r="B43" s="1729"/>
      <c r="C43" s="1729"/>
      <c r="D43" s="1729"/>
      <c r="E43" s="1730"/>
    </row>
    <row r="44" spans="1:5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568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555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579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579"/>
    </row>
    <row r="48" spans="1:5" s="333" customFormat="1" ht="12" customHeight="1" x14ac:dyDescent="0.25">
      <c r="A48" s="574" t="s">
        <v>59</v>
      </c>
      <c r="B48" s="355" t="s">
        <v>218</v>
      </c>
      <c r="C48" s="428"/>
      <c r="D48" s="428"/>
      <c r="E48" s="579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579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568">
        <f>SUM(E51:E53)</f>
        <v>0</v>
      </c>
    </row>
    <row r="51" spans="1:5" ht="12" customHeight="1" x14ac:dyDescent="0.25">
      <c r="A51" s="574" t="s">
        <v>67</v>
      </c>
      <c r="B51" s="356" t="s">
        <v>241</v>
      </c>
      <c r="C51" s="97"/>
      <c r="D51" s="97"/>
      <c r="E51" s="555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579"/>
    </row>
    <row r="53" spans="1:5" ht="15" customHeight="1" x14ac:dyDescent="0.25">
      <c r="A53" s="574" t="s">
        <v>71</v>
      </c>
      <c r="B53" s="355" t="s">
        <v>471</v>
      </c>
      <c r="C53" s="428"/>
      <c r="D53" s="428"/>
      <c r="E53" s="579"/>
    </row>
    <row r="54" spans="1:5" ht="13.8" thickBot="1" x14ac:dyDescent="0.3">
      <c r="A54" s="574" t="s">
        <v>73</v>
      </c>
      <c r="B54" s="355" t="s">
        <v>480</v>
      </c>
      <c r="C54" s="428"/>
      <c r="D54" s="428"/>
      <c r="E54" s="579"/>
    </row>
    <row r="55" spans="1:5" ht="15" customHeight="1" thickBot="1" x14ac:dyDescent="0.3">
      <c r="A55" s="561" t="s">
        <v>79</v>
      </c>
      <c r="B55" s="565" t="s">
        <v>473</v>
      </c>
      <c r="C55" s="103">
        <f>+C44+C50</f>
        <v>0</v>
      </c>
      <c r="D55" s="103">
        <f>+D44+D50</f>
        <v>0</v>
      </c>
      <c r="E55" s="569">
        <f>+E44+E50</f>
        <v>0</v>
      </c>
    </row>
    <row r="56" spans="1:5" ht="13.8" thickBot="1" x14ac:dyDescent="0.3">
      <c r="C56" s="570"/>
      <c r="D56" s="570"/>
      <c r="E56" s="570"/>
    </row>
    <row r="57" spans="1:5" ht="13.8" thickBot="1" x14ac:dyDescent="0.3">
      <c r="A57" s="510" t="s">
        <v>437</v>
      </c>
      <c r="B57" s="511"/>
      <c r="C57" s="107"/>
      <c r="D57" s="107"/>
      <c r="E57" s="559"/>
    </row>
    <row r="58" spans="1:5" ht="13.8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ColWidth="9.33203125" defaultRowHeight="13.2" x14ac:dyDescent="0.25"/>
  <cols>
    <col min="1" max="1" width="18.6640625" style="566" customWidth="1"/>
    <col min="2" max="2" width="62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+CONCATENATE("8.2.2. melléklet a ……/",LEFT(ÖSSZEFÜGGÉSEK!A4,4)+1,". (……) önkormányzati rendelethez")</f>
        <v>8.2.2.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483</v>
      </c>
      <c r="C2" s="1732"/>
      <c r="D2" s="1733"/>
      <c r="E2" s="571" t="s">
        <v>445</v>
      </c>
    </row>
    <row r="3" spans="1:5" s="548" customFormat="1" ht="16.2" thickBot="1" x14ac:dyDescent="0.3">
      <c r="A3" s="546" t="s">
        <v>476</v>
      </c>
      <c r="B3" s="1734" t="s">
        <v>474</v>
      </c>
      <c r="C3" s="1737"/>
      <c r="D3" s="1738"/>
      <c r="E3" s="572" t="s">
        <v>443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591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592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593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593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593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593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593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593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594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593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110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591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593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593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593"/>
      <c r="E22" s="109"/>
    </row>
    <row r="23" spans="1:5" s="524" customFormat="1" ht="12" customHeight="1" thickBot="1" x14ac:dyDescent="0.3">
      <c r="A23" s="574" t="s">
        <v>73</v>
      </c>
      <c r="B23" s="355" t="s">
        <v>477</v>
      </c>
      <c r="C23" s="431"/>
      <c r="D23" s="593"/>
      <c r="E23" s="109"/>
    </row>
    <row r="24" spans="1:5" s="524" customFormat="1" ht="12" customHeight="1" thickBot="1" x14ac:dyDescent="0.3">
      <c r="A24" s="561" t="s">
        <v>79</v>
      </c>
      <c r="B24" s="375" t="s">
        <v>303</v>
      </c>
      <c r="C24" s="41"/>
      <c r="D24" s="595"/>
      <c r="E24" s="567"/>
    </row>
    <row r="25" spans="1:5" s="524" customFormat="1" ht="12" customHeight="1" thickBot="1" x14ac:dyDescent="0.3">
      <c r="A25" s="561" t="s">
        <v>262</v>
      </c>
      <c r="B25" s="375" t="s">
        <v>456</v>
      </c>
      <c r="C25" s="434">
        <f>+C26+C27</f>
        <v>0</v>
      </c>
      <c r="D25" s="591">
        <f>+D26+D27</f>
        <v>0</v>
      </c>
      <c r="E25" s="568">
        <f>+E26+E27</f>
        <v>0</v>
      </c>
    </row>
    <row r="26" spans="1:5" s="524" customFormat="1" ht="12" customHeight="1" x14ac:dyDescent="0.25">
      <c r="A26" s="575" t="s">
        <v>95</v>
      </c>
      <c r="B26" s="576" t="s">
        <v>453</v>
      </c>
      <c r="C26" s="97"/>
      <c r="D26" s="582"/>
      <c r="E26" s="555"/>
    </row>
    <row r="27" spans="1:5" s="524" customFormat="1" ht="12" customHeight="1" x14ac:dyDescent="0.25">
      <c r="A27" s="575" t="s">
        <v>101</v>
      </c>
      <c r="B27" s="577" t="s">
        <v>457</v>
      </c>
      <c r="C27" s="435"/>
      <c r="D27" s="596"/>
      <c r="E27" s="554"/>
    </row>
    <row r="28" spans="1:5" s="524" customFormat="1" ht="12" customHeight="1" thickBot="1" x14ac:dyDescent="0.3">
      <c r="A28" s="574" t="s">
        <v>103</v>
      </c>
      <c r="B28" s="578" t="s">
        <v>478</v>
      </c>
      <c r="C28" s="558"/>
      <c r="D28" s="597"/>
      <c r="E28" s="553"/>
    </row>
    <row r="29" spans="1:5" s="524" customFormat="1" ht="12" customHeight="1" thickBot="1" x14ac:dyDescent="0.3">
      <c r="A29" s="561" t="s">
        <v>107</v>
      </c>
      <c r="B29" s="375" t="s">
        <v>459</v>
      </c>
      <c r="C29" s="434">
        <f>+C30+C31+C32</f>
        <v>0</v>
      </c>
      <c r="D29" s="591">
        <f>+D30+D31+D32</f>
        <v>0</v>
      </c>
      <c r="E29" s="568">
        <f>+E30+E31+E32</f>
        <v>0</v>
      </c>
    </row>
    <row r="30" spans="1:5" s="524" customFormat="1" ht="12" customHeight="1" x14ac:dyDescent="0.25">
      <c r="A30" s="575" t="s">
        <v>109</v>
      </c>
      <c r="B30" s="576" t="s">
        <v>132</v>
      </c>
      <c r="C30" s="97"/>
      <c r="D30" s="582"/>
      <c r="E30" s="555"/>
    </row>
    <row r="31" spans="1:5" s="524" customFormat="1" ht="12" customHeight="1" x14ac:dyDescent="0.25">
      <c r="A31" s="575" t="s">
        <v>111</v>
      </c>
      <c r="B31" s="577" t="s">
        <v>134</v>
      </c>
      <c r="C31" s="435"/>
      <c r="D31" s="596"/>
      <c r="E31" s="554"/>
    </row>
    <row r="32" spans="1:5" s="524" customFormat="1" ht="12" customHeight="1" thickBot="1" x14ac:dyDescent="0.3">
      <c r="A32" s="574" t="s">
        <v>113</v>
      </c>
      <c r="B32" s="560" t="s">
        <v>136</v>
      </c>
      <c r="C32" s="558"/>
      <c r="D32" s="597"/>
      <c r="E32" s="553"/>
    </row>
    <row r="33" spans="1:5" s="524" customFormat="1" ht="12" customHeight="1" thickBot="1" x14ac:dyDescent="0.3">
      <c r="A33" s="561" t="s">
        <v>129</v>
      </c>
      <c r="B33" s="375" t="s">
        <v>304</v>
      </c>
      <c r="C33" s="41"/>
      <c r="D33" s="595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595"/>
      <c r="E34" s="567"/>
    </row>
    <row r="35" spans="1:5" s="524" customFormat="1" ht="12" customHeight="1" thickBot="1" x14ac:dyDescent="0.3">
      <c r="A35" s="498" t="s">
        <v>151</v>
      </c>
      <c r="B35" s="375" t="s">
        <v>479</v>
      </c>
      <c r="C35" s="434">
        <f>+C8+C19+C24+C25+C29+C33+C34</f>
        <v>0</v>
      </c>
      <c r="D35" s="591">
        <f>+D8+D19+D24+D25+D29+D33+D34</f>
        <v>0</v>
      </c>
      <c r="E35" s="568">
        <f>+E8+E19+E24+E25+E29+E33+E34</f>
        <v>0</v>
      </c>
    </row>
    <row r="36" spans="1:5" s="551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591">
        <f>+D37+D38+D39</f>
        <v>0</v>
      </c>
      <c r="E36" s="568">
        <f>+E37+E38+E39</f>
        <v>0</v>
      </c>
    </row>
    <row r="37" spans="1:5" s="551" customFormat="1" ht="15" customHeight="1" x14ac:dyDescent="0.25">
      <c r="A37" s="575" t="s">
        <v>463</v>
      </c>
      <c r="B37" s="576" t="s">
        <v>359</v>
      </c>
      <c r="C37" s="97"/>
      <c r="D37" s="582"/>
      <c r="E37" s="555"/>
    </row>
    <row r="38" spans="1:5" s="551" customFormat="1" ht="15" customHeight="1" x14ac:dyDescent="0.25">
      <c r="A38" s="575" t="s">
        <v>464</v>
      </c>
      <c r="B38" s="577" t="s">
        <v>465</v>
      </c>
      <c r="C38" s="435"/>
      <c r="D38" s="596"/>
      <c r="E38" s="554"/>
    </row>
    <row r="39" spans="1:5" ht="13.8" thickBot="1" x14ac:dyDescent="0.3">
      <c r="A39" s="574" t="s">
        <v>466</v>
      </c>
      <c r="B39" s="560" t="s">
        <v>467</v>
      </c>
      <c r="C39" s="558"/>
      <c r="D39" s="597"/>
      <c r="E39" s="553"/>
    </row>
    <row r="40" spans="1:5" s="550" customFormat="1" ht="16.5" customHeight="1" thickBot="1" x14ac:dyDescent="0.25">
      <c r="A40" s="563" t="s">
        <v>285</v>
      </c>
      <c r="B40" s="564" t="s">
        <v>468</v>
      </c>
      <c r="C40" s="103">
        <f>+C35+C36</f>
        <v>0</v>
      </c>
      <c r="D40" s="598">
        <f>+D35+D36</f>
        <v>0</v>
      </c>
      <c r="E40" s="569">
        <f>+E35+E36</f>
        <v>0</v>
      </c>
    </row>
    <row r="41" spans="1:5" s="333" customFormat="1" ht="12" customHeight="1" x14ac:dyDescent="0.25">
      <c r="A41" s="506"/>
      <c r="B41" s="507"/>
      <c r="C41" s="522"/>
      <c r="D41" s="522"/>
      <c r="E41" s="522"/>
    </row>
    <row r="42" spans="1:5" ht="12" customHeight="1" thickBot="1" x14ac:dyDescent="0.3">
      <c r="A42" s="508"/>
      <c r="B42" s="509"/>
      <c r="C42" s="523"/>
      <c r="D42" s="523"/>
      <c r="E42" s="523"/>
    </row>
    <row r="43" spans="1:5" ht="12" customHeight="1" thickBot="1" x14ac:dyDescent="0.3">
      <c r="A43" s="1728" t="s">
        <v>292</v>
      </c>
      <c r="B43" s="1729"/>
      <c r="C43" s="1729"/>
      <c r="D43" s="1729"/>
      <c r="E43" s="1730"/>
    </row>
    <row r="44" spans="1:5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568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555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579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579"/>
    </row>
    <row r="48" spans="1:5" s="333" customFormat="1" ht="12" customHeight="1" x14ac:dyDescent="0.25">
      <c r="A48" s="574" t="s">
        <v>59</v>
      </c>
      <c r="B48" s="355" t="s">
        <v>218</v>
      </c>
      <c r="C48" s="428"/>
      <c r="D48" s="428"/>
      <c r="E48" s="579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579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568">
        <f>SUM(E51:E53)</f>
        <v>0</v>
      </c>
    </row>
    <row r="51" spans="1:5" ht="12" customHeight="1" x14ac:dyDescent="0.25">
      <c r="A51" s="574" t="s">
        <v>67</v>
      </c>
      <c r="B51" s="356" t="s">
        <v>241</v>
      </c>
      <c r="C51" s="97"/>
      <c r="D51" s="97"/>
      <c r="E51" s="555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579"/>
    </row>
    <row r="53" spans="1:5" ht="15" customHeight="1" x14ac:dyDescent="0.25">
      <c r="A53" s="574" t="s">
        <v>71</v>
      </c>
      <c r="B53" s="355" t="s">
        <v>471</v>
      </c>
      <c r="C53" s="428"/>
      <c r="D53" s="428"/>
      <c r="E53" s="579"/>
    </row>
    <row r="54" spans="1:5" ht="13.8" thickBot="1" x14ac:dyDescent="0.3">
      <c r="A54" s="574" t="s">
        <v>73</v>
      </c>
      <c r="B54" s="355" t="s">
        <v>480</v>
      </c>
      <c r="C54" s="428"/>
      <c r="D54" s="428"/>
      <c r="E54" s="579"/>
    </row>
    <row r="55" spans="1:5" ht="15" customHeight="1" thickBot="1" x14ac:dyDescent="0.3">
      <c r="A55" s="561" t="s">
        <v>79</v>
      </c>
      <c r="B55" s="565" t="s">
        <v>473</v>
      </c>
      <c r="C55" s="103">
        <f>+C44+C50</f>
        <v>0</v>
      </c>
      <c r="D55" s="103">
        <f>+D44+D50</f>
        <v>0</v>
      </c>
      <c r="E55" s="569">
        <f>+E44+E50</f>
        <v>0</v>
      </c>
    </row>
    <row r="56" spans="1:5" ht="13.8" thickBot="1" x14ac:dyDescent="0.3">
      <c r="C56" s="570"/>
      <c r="D56" s="570"/>
      <c r="E56" s="570"/>
    </row>
    <row r="57" spans="1:5" ht="13.8" thickBot="1" x14ac:dyDescent="0.3">
      <c r="A57" s="510" t="s">
        <v>437</v>
      </c>
      <c r="B57" s="511"/>
      <c r="C57" s="107"/>
      <c r="D57" s="107"/>
      <c r="E57" s="559"/>
    </row>
    <row r="58" spans="1:5" ht="13.8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ColWidth="9.33203125" defaultRowHeight="13.2" x14ac:dyDescent="0.25"/>
  <cols>
    <col min="1" max="1" width="18.6640625" style="566" customWidth="1"/>
    <col min="2" max="2" width="62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+CONCATENATE("8.2.3. melléklet a ……/",LEFT(ÖSSZEFÜGGÉSEK!A4,4)+1,". (……) önkormányzati rendelethez")</f>
        <v>8.2.3.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483</v>
      </c>
      <c r="C2" s="1732"/>
      <c r="D2" s="1733"/>
      <c r="E2" s="571" t="s">
        <v>445</v>
      </c>
    </row>
    <row r="3" spans="1:5" s="548" customFormat="1" ht="16.2" thickBot="1" x14ac:dyDescent="0.3">
      <c r="A3" s="546" t="s">
        <v>476</v>
      </c>
      <c r="B3" s="1734" t="s">
        <v>444</v>
      </c>
      <c r="C3" s="1737"/>
      <c r="D3" s="1738"/>
      <c r="E3" s="572" t="s">
        <v>445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591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592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593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593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593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593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593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593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594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593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110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591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593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593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593"/>
      <c r="E22" s="109"/>
    </row>
    <row r="23" spans="1:5" s="524" customFormat="1" ht="12" customHeight="1" thickBot="1" x14ac:dyDescent="0.3">
      <c r="A23" s="574" t="s">
        <v>73</v>
      </c>
      <c r="B23" s="355" t="s">
        <v>477</v>
      </c>
      <c r="C23" s="431"/>
      <c r="D23" s="593"/>
      <c r="E23" s="109"/>
    </row>
    <row r="24" spans="1:5" s="524" customFormat="1" ht="12" customHeight="1" thickBot="1" x14ac:dyDescent="0.3">
      <c r="A24" s="561" t="s">
        <v>79</v>
      </c>
      <c r="B24" s="375" t="s">
        <v>303</v>
      </c>
      <c r="C24" s="41"/>
      <c r="D24" s="595"/>
      <c r="E24" s="567"/>
    </row>
    <row r="25" spans="1:5" s="524" customFormat="1" ht="12" customHeight="1" thickBot="1" x14ac:dyDescent="0.3">
      <c r="A25" s="561" t="s">
        <v>262</v>
      </c>
      <c r="B25" s="375" t="s">
        <v>456</v>
      </c>
      <c r="C25" s="434">
        <f>+C26+C27</f>
        <v>0</v>
      </c>
      <c r="D25" s="591">
        <f>+D26+D27</f>
        <v>0</v>
      </c>
      <c r="E25" s="568">
        <f>+E26+E27</f>
        <v>0</v>
      </c>
    </row>
    <row r="26" spans="1:5" s="524" customFormat="1" ht="12" customHeight="1" x14ac:dyDescent="0.25">
      <c r="A26" s="575" t="s">
        <v>95</v>
      </c>
      <c r="B26" s="576" t="s">
        <v>453</v>
      </c>
      <c r="C26" s="97"/>
      <c r="D26" s="582"/>
      <c r="E26" s="555"/>
    </row>
    <row r="27" spans="1:5" s="524" customFormat="1" ht="12" customHeight="1" x14ac:dyDescent="0.25">
      <c r="A27" s="575" t="s">
        <v>101</v>
      </c>
      <c r="B27" s="577" t="s">
        <v>457</v>
      </c>
      <c r="C27" s="435"/>
      <c r="D27" s="596"/>
      <c r="E27" s="554"/>
    </row>
    <row r="28" spans="1:5" s="524" customFormat="1" ht="12" customHeight="1" thickBot="1" x14ac:dyDescent="0.3">
      <c r="A28" s="574" t="s">
        <v>103</v>
      </c>
      <c r="B28" s="578" t="s">
        <v>478</v>
      </c>
      <c r="C28" s="558"/>
      <c r="D28" s="597"/>
      <c r="E28" s="553"/>
    </row>
    <row r="29" spans="1:5" s="524" customFormat="1" ht="12" customHeight="1" thickBot="1" x14ac:dyDescent="0.3">
      <c r="A29" s="561" t="s">
        <v>107</v>
      </c>
      <c r="B29" s="375" t="s">
        <v>459</v>
      </c>
      <c r="C29" s="434">
        <f>+C30+C31+C32</f>
        <v>0</v>
      </c>
      <c r="D29" s="591">
        <f>+D30+D31+D32</f>
        <v>0</v>
      </c>
      <c r="E29" s="568">
        <f>+E30+E31+E32</f>
        <v>0</v>
      </c>
    </row>
    <row r="30" spans="1:5" s="524" customFormat="1" ht="12" customHeight="1" x14ac:dyDescent="0.25">
      <c r="A30" s="575" t="s">
        <v>109</v>
      </c>
      <c r="B30" s="576" t="s">
        <v>132</v>
      </c>
      <c r="C30" s="97"/>
      <c r="D30" s="582"/>
      <c r="E30" s="555"/>
    </row>
    <row r="31" spans="1:5" s="524" customFormat="1" ht="12" customHeight="1" x14ac:dyDescent="0.25">
      <c r="A31" s="575" t="s">
        <v>111</v>
      </c>
      <c r="B31" s="577" t="s">
        <v>134</v>
      </c>
      <c r="C31" s="435"/>
      <c r="D31" s="596"/>
      <c r="E31" s="554"/>
    </row>
    <row r="32" spans="1:5" s="524" customFormat="1" ht="12" customHeight="1" thickBot="1" x14ac:dyDescent="0.3">
      <c r="A32" s="574" t="s">
        <v>113</v>
      </c>
      <c r="B32" s="560" t="s">
        <v>136</v>
      </c>
      <c r="C32" s="558"/>
      <c r="D32" s="597"/>
      <c r="E32" s="553"/>
    </row>
    <row r="33" spans="1:5" s="524" customFormat="1" ht="12" customHeight="1" thickBot="1" x14ac:dyDescent="0.3">
      <c r="A33" s="561" t="s">
        <v>129</v>
      </c>
      <c r="B33" s="375" t="s">
        <v>304</v>
      </c>
      <c r="C33" s="41"/>
      <c r="D33" s="595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595"/>
      <c r="E34" s="567"/>
    </row>
    <row r="35" spans="1:5" s="524" customFormat="1" ht="12" customHeight="1" thickBot="1" x14ac:dyDescent="0.3">
      <c r="A35" s="498" t="s">
        <v>151</v>
      </c>
      <c r="B35" s="375" t="s">
        <v>479</v>
      </c>
      <c r="C35" s="434">
        <f>+C8+C19+C24+C25+C29+C33+C34</f>
        <v>0</v>
      </c>
      <c r="D35" s="591">
        <f>+D8+D19+D24+D25+D29+D33+D34</f>
        <v>0</v>
      </c>
      <c r="E35" s="568">
        <f>+E8+E19+E24+E25+E29+E33+E34</f>
        <v>0</v>
      </c>
    </row>
    <row r="36" spans="1:5" s="551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591">
        <f>+D37+D38+D39</f>
        <v>0</v>
      </c>
      <c r="E36" s="568">
        <f>+E37+E38+E39</f>
        <v>0</v>
      </c>
    </row>
    <row r="37" spans="1:5" s="551" customFormat="1" ht="15" customHeight="1" x14ac:dyDescent="0.25">
      <c r="A37" s="575" t="s">
        <v>463</v>
      </c>
      <c r="B37" s="576" t="s">
        <v>359</v>
      </c>
      <c r="C37" s="97"/>
      <c r="D37" s="582"/>
      <c r="E37" s="555"/>
    </row>
    <row r="38" spans="1:5" s="551" customFormat="1" ht="15" customHeight="1" x14ac:dyDescent="0.25">
      <c r="A38" s="575" t="s">
        <v>464</v>
      </c>
      <c r="B38" s="577" t="s">
        <v>465</v>
      </c>
      <c r="C38" s="435"/>
      <c r="D38" s="596"/>
      <c r="E38" s="554"/>
    </row>
    <row r="39" spans="1:5" ht="13.8" thickBot="1" x14ac:dyDescent="0.3">
      <c r="A39" s="574" t="s">
        <v>466</v>
      </c>
      <c r="B39" s="560" t="s">
        <v>467</v>
      </c>
      <c r="C39" s="558"/>
      <c r="D39" s="597"/>
      <c r="E39" s="553"/>
    </row>
    <row r="40" spans="1:5" s="550" customFormat="1" ht="16.5" customHeight="1" thickBot="1" x14ac:dyDescent="0.25">
      <c r="A40" s="563" t="s">
        <v>285</v>
      </c>
      <c r="B40" s="564" t="s">
        <v>468</v>
      </c>
      <c r="C40" s="103">
        <f>+C35+C36</f>
        <v>0</v>
      </c>
      <c r="D40" s="598">
        <f>+D35+D36</f>
        <v>0</v>
      </c>
      <c r="E40" s="569">
        <f>+E35+E36</f>
        <v>0</v>
      </c>
    </row>
    <row r="41" spans="1:5" s="333" customFormat="1" ht="12" customHeight="1" x14ac:dyDescent="0.25">
      <c r="A41" s="506"/>
      <c r="B41" s="507"/>
      <c r="C41" s="522"/>
      <c r="D41" s="522"/>
      <c r="E41" s="522"/>
    </row>
    <row r="42" spans="1:5" ht="12" customHeight="1" thickBot="1" x14ac:dyDescent="0.3">
      <c r="A42" s="508"/>
      <c r="B42" s="509"/>
      <c r="C42" s="523"/>
      <c r="D42" s="523"/>
      <c r="E42" s="523"/>
    </row>
    <row r="43" spans="1:5" ht="12" customHeight="1" thickBot="1" x14ac:dyDescent="0.3">
      <c r="A43" s="1728" t="s">
        <v>292</v>
      </c>
      <c r="B43" s="1729"/>
      <c r="C43" s="1729"/>
      <c r="D43" s="1729"/>
      <c r="E43" s="1730"/>
    </row>
    <row r="44" spans="1:5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568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555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579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579"/>
    </row>
    <row r="48" spans="1:5" s="333" customFormat="1" ht="12" customHeight="1" x14ac:dyDescent="0.25">
      <c r="A48" s="574" t="s">
        <v>59</v>
      </c>
      <c r="B48" s="355" t="s">
        <v>218</v>
      </c>
      <c r="C48" s="428"/>
      <c r="D48" s="428"/>
      <c r="E48" s="579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579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568">
        <f>SUM(E51:E53)</f>
        <v>0</v>
      </c>
    </row>
    <row r="51" spans="1:5" ht="12" customHeight="1" x14ac:dyDescent="0.25">
      <c r="A51" s="574" t="s">
        <v>67</v>
      </c>
      <c r="B51" s="356" t="s">
        <v>241</v>
      </c>
      <c r="C51" s="97"/>
      <c r="D51" s="97"/>
      <c r="E51" s="555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579"/>
    </row>
    <row r="53" spans="1:5" ht="15" customHeight="1" x14ac:dyDescent="0.25">
      <c r="A53" s="574" t="s">
        <v>71</v>
      </c>
      <c r="B53" s="355" t="s">
        <v>471</v>
      </c>
      <c r="C53" s="428"/>
      <c r="D53" s="428"/>
      <c r="E53" s="579"/>
    </row>
    <row r="54" spans="1:5" ht="13.8" thickBot="1" x14ac:dyDescent="0.3">
      <c r="A54" s="574" t="s">
        <v>73</v>
      </c>
      <c r="B54" s="355" t="s">
        <v>480</v>
      </c>
      <c r="C54" s="428"/>
      <c r="D54" s="428"/>
      <c r="E54" s="579"/>
    </row>
    <row r="55" spans="1:5" ht="15" customHeight="1" thickBot="1" x14ac:dyDescent="0.3">
      <c r="A55" s="561" t="s">
        <v>79</v>
      </c>
      <c r="B55" s="565" t="s">
        <v>473</v>
      </c>
      <c r="C55" s="103">
        <f>+C44+C50</f>
        <v>0</v>
      </c>
      <c r="D55" s="103">
        <f>+D44+D50</f>
        <v>0</v>
      </c>
      <c r="E55" s="569">
        <f>+E44+E50</f>
        <v>0</v>
      </c>
    </row>
    <row r="56" spans="1:5" ht="13.8" thickBot="1" x14ac:dyDescent="0.3">
      <c r="C56" s="570"/>
      <c r="D56" s="570"/>
      <c r="E56" s="570"/>
    </row>
    <row r="57" spans="1:5" ht="13.8" thickBot="1" x14ac:dyDescent="0.3">
      <c r="A57" s="510" t="s">
        <v>437</v>
      </c>
      <c r="B57" s="511"/>
      <c r="C57" s="107"/>
      <c r="D57" s="107"/>
      <c r="E57" s="559"/>
    </row>
    <row r="58" spans="1:5" ht="13.8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92D050"/>
  </sheetPr>
  <dimension ref="A1:E58"/>
  <sheetViews>
    <sheetView zoomScaleNormal="100" zoomScaleSheetLayoutView="145" workbookViewId="0">
      <selection activeCell="E1" sqref="E1"/>
    </sheetView>
  </sheetViews>
  <sheetFormatPr defaultColWidth="9.33203125" defaultRowHeight="13.2" x14ac:dyDescent="0.25"/>
  <cols>
    <col min="1" max="1" width="18.6640625" style="566" customWidth="1"/>
    <col min="2" max="2" width="62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+CONCATENATE("8.3. melléklet a ……/",LEFT(ÖSSZEFÜGGÉSEK!A4,4)+1,". (……) önkormányzati rendelethez")</f>
        <v>8.3.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484</v>
      </c>
      <c r="C2" s="1732"/>
      <c r="D2" s="1733"/>
      <c r="E2" s="571" t="s">
        <v>485</v>
      </c>
    </row>
    <row r="3" spans="1:5" s="548" customFormat="1" ht="16.2" thickBot="1" x14ac:dyDescent="0.3">
      <c r="A3" s="546" t="s">
        <v>476</v>
      </c>
      <c r="B3" s="1734" t="s">
        <v>424</v>
      </c>
      <c r="C3" s="1737"/>
      <c r="D3" s="1738"/>
      <c r="E3" s="572" t="s">
        <v>422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591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592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593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593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593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593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593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593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594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593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110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591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593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593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593"/>
      <c r="E22" s="109"/>
    </row>
    <row r="23" spans="1:5" s="524" customFormat="1" ht="12" customHeight="1" thickBot="1" x14ac:dyDescent="0.3">
      <c r="A23" s="574" t="s">
        <v>73</v>
      </c>
      <c r="B23" s="355" t="s">
        <v>477</v>
      </c>
      <c r="C23" s="431"/>
      <c r="D23" s="593"/>
      <c r="E23" s="109"/>
    </row>
    <row r="24" spans="1:5" s="524" customFormat="1" ht="12" customHeight="1" thickBot="1" x14ac:dyDescent="0.3">
      <c r="A24" s="561" t="s">
        <v>79</v>
      </c>
      <c r="B24" s="375" t="s">
        <v>303</v>
      </c>
      <c r="C24" s="41"/>
      <c r="D24" s="595"/>
      <c r="E24" s="567"/>
    </row>
    <row r="25" spans="1:5" s="524" customFormat="1" ht="12" customHeight="1" thickBot="1" x14ac:dyDescent="0.3">
      <c r="A25" s="561" t="s">
        <v>262</v>
      </c>
      <c r="B25" s="375" t="s">
        <v>456</v>
      </c>
      <c r="C25" s="434">
        <f>+C26+C27</f>
        <v>0</v>
      </c>
      <c r="D25" s="591">
        <f>+D26+D27</f>
        <v>0</v>
      </c>
      <c r="E25" s="568">
        <f>+E26+E27</f>
        <v>0</v>
      </c>
    </row>
    <row r="26" spans="1:5" s="524" customFormat="1" ht="12" customHeight="1" x14ac:dyDescent="0.25">
      <c r="A26" s="575" t="s">
        <v>95</v>
      </c>
      <c r="B26" s="576" t="s">
        <v>453</v>
      </c>
      <c r="C26" s="97"/>
      <c r="D26" s="582"/>
      <c r="E26" s="555"/>
    </row>
    <row r="27" spans="1:5" s="524" customFormat="1" ht="12" customHeight="1" x14ac:dyDescent="0.25">
      <c r="A27" s="575" t="s">
        <v>101</v>
      </c>
      <c r="B27" s="577" t="s">
        <v>457</v>
      </c>
      <c r="C27" s="435"/>
      <c r="D27" s="596"/>
      <c r="E27" s="554"/>
    </row>
    <row r="28" spans="1:5" s="524" customFormat="1" ht="12" customHeight="1" thickBot="1" x14ac:dyDescent="0.3">
      <c r="A28" s="574" t="s">
        <v>103</v>
      </c>
      <c r="B28" s="578" t="s">
        <v>478</v>
      </c>
      <c r="C28" s="558"/>
      <c r="D28" s="597"/>
      <c r="E28" s="553"/>
    </row>
    <row r="29" spans="1:5" s="524" customFormat="1" ht="12" customHeight="1" thickBot="1" x14ac:dyDescent="0.3">
      <c r="A29" s="561" t="s">
        <v>107</v>
      </c>
      <c r="B29" s="375" t="s">
        <v>459</v>
      </c>
      <c r="C29" s="434">
        <f>+C30+C31+C32</f>
        <v>0</v>
      </c>
      <c r="D29" s="591">
        <f>+D30+D31+D32</f>
        <v>0</v>
      </c>
      <c r="E29" s="568">
        <f>+E30+E31+E32</f>
        <v>0</v>
      </c>
    </row>
    <row r="30" spans="1:5" s="524" customFormat="1" ht="12" customHeight="1" x14ac:dyDescent="0.25">
      <c r="A30" s="575" t="s">
        <v>109</v>
      </c>
      <c r="B30" s="576" t="s">
        <v>132</v>
      </c>
      <c r="C30" s="97"/>
      <c r="D30" s="582"/>
      <c r="E30" s="555"/>
    </row>
    <row r="31" spans="1:5" s="524" customFormat="1" ht="12" customHeight="1" x14ac:dyDescent="0.25">
      <c r="A31" s="575" t="s">
        <v>111</v>
      </c>
      <c r="B31" s="577" t="s">
        <v>134</v>
      </c>
      <c r="C31" s="435"/>
      <c r="D31" s="596"/>
      <c r="E31" s="554"/>
    </row>
    <row r="32" spans="1:5" s="524" customFormat="1" ht="12" customHeight="1" thickBot="1" x14ac:dyDescent="0.3">
      <c r="A32" s="574" t="s">
        <v>113</v>
      </c>
      <c r="B32" s="560" t="s">
        <v>136</v>
      </c>
      <c r="C32" s="558"/>
      <c r="D32" s="597"/>
      <c r="E32" s="553"/>
    </row>
    <row r="33" spans="1:5" s="524" customFormat="1" ht="12" customHeight="1" thickBot="1" x14ac:dyDescent="0.3">
      <c r="A33" s="561" t="s">
        <v>129</v>
      </c>
      <c r="B33" s="375" t="s">
        <v>304</v>
      </c>
      <c r="C33" s="41"/>
      <c r="D33" s="595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595"/>
      <c r="E34" s="567"/>
    </row>
    <row r="35" spans="1:5" s="524" customFormat="1" ht="12" customHeight="1" thickBot="1" x14ac:dyDescent="0.3">
      <c r="A35" s="498" t="s">
        <v>151</v>
      </c>
      <c r="B35" s="375" t="s">
        <v>479</v>
      </c>
      <c r="C35" s="434">
        <f>+C8+C19+C24+C25+C29+C33+C34</f>
        <v>0</v>
      </c>
      <c r="D35" s="591">
        <f>+D8+D19+D24+D25+D29+D33+D34</f>
        <v>0</v>
      </c>
      <c r="E35" s="568">
        <f>+E8+E19+E24+E25+E29+E33+E34</f>
        <v>0</v>
      </c>
    </row>
    <row r="36" spans="1:5" s="551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591">
        <f>+D37+D38+D39</f>
        <v>0</v>
      </c>
      <c r="E36" s="568">
        <f>+E37+E38+E39</f>
        <v>0</v>
      </c>
    </row>
    <row r="37" spans="1:5" s="551" customFormat="1" ht="15" customHeight="1" x14ac:dyDescent="0.25">
      <c r="A37" s="575" t="s">
        <v>463</v>
      </c>
      <c r="B37" s="576" t="s">
        <v>359</v>
      </c>
      <c r="C37" s="97"/>
      <c r="D37" s="582"/>
      <c r="E37" s="555"/>
    </row>
    <row r="38" spans="1:5" s="551" customFormat="1" ht="15" customHeight="1" x14ac:dyDescent="0.25">
      <c r="A38" s="575" t="s">
        <v>464</v>
      </c>
      <c r="B38" s="577" t="s">
        <v>465</v>
      </c>
      <c r="C38" s="435"/>
      <c r="D38" s="596"/>
      <c r="E38" s="554"/>
    </row>
    <row r="39" spans="1:5" ht="13.8" thickBot="1" x14ac:dyDescent="0.3">
      <c r="A39" s="574" t="s">
        <v>466</v>
      </c>
      <c r="B39" s="560" t="s">
        <v>467</v>
      </c>
      <c r="C39" s="558"/>
      <c r="D39" s="597"/>
      <c r="E39" s="553"/>
    </row>
    <row r="40" spans="1:5" s="550" customFormat="1" ht="16.5" customHeight="1" thickBot="1" x14ac:dyDescent="0.25">
      <c r="A40" s="563" t="s">
        <v>285</v>
      </c>
      <c r="B40" s="564" t="s">
        <v>468</v>
      </c>
      <c r="C40" s="103">
        <f>+C35+C36</f>
        <v>0</v>
      </c>
      <c r="D40" s="598">
        <f>+D35+D36</f>
        <v>0</v>
      </c>
      <c r="E40" s="569">
        <f>+E35+E36</f>
        <v>0</v>
      </c>
    </row>
    <row r="41" spans="1:5" s="333" customFormat="1" ht="12" customHeight="1" x14ac:dyDescent="0.25">
      <c r="A41" s="506"/>
      <c r="B41" s="507"/>
      <c r="C41" s="522"/>
      <c r="D41" s="522"/>
      <c r="E41" s="522"/>
    </row>
    <row r="42" spans="1:5" ht="12" customHeight="1" thickBot="1" x14ac:dyDescent="0.3">
      <c r="A42" s="508"/>
      <c r="B42" s="509"/>
      <c r="C42" s="523"/>
      <c r="D42" s="523"/>
      <c r="E42" s="523"/>
    </row>
    <row r="43" spans="1:5" ht="12" customHeight="1" thickBot="1" x14ac:dyDescent="0.3">
      <c r="A43" s="1728" t="s">
        <v>292</v>
      </c>
      <c r="B43" s="1729"/>
      <c r="C43" s="1729"/>
      <c r="D43" s="1729"/>
      <c r="E43" s="1730"/>
    </row>
    <row r="44" spans="1:5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568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555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579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579"/>
    </row>
    <row r="48" spans="1:5" s="333" customFormat="1" ht="12" customHeight="1" x14ac:dyDescent="0.25">
      <c r="A48" s="574" t="s">
        <v>59</v>
      </c>
      <c r="B48" s="355" t="s">
        <v>218</v>
      </c>
      <c r="C48" s="428"/>
      <c r="D48" s="428"/>
      <c r="E48" s="579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579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568">
        <f>SUM(E51:E53)</f>
        <v>0</v>
      </c>
    </row>
    <row r="51" spans="1:5" ht="12" customHeight="1" x14ac:dyDescent="0.25">
      <c r="A51" s="574" t="s">
        <v>67</v>
      </c>
      <c r="B51" s="356" t="s">
        <v>241</v>
      </c>
      <c r="C51" s="97"/>
      <c r="D51" s="97"/>
      <c r="E51" s="555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579"/>
    </row>
    <row r="53" spans="1:5" ht="15" customHeight="1" x14ac:dyDescent="0.25">
      <c r="A53" s="574" t="s">
        <v>71</v>
      </c>
      <c r="B53" s="355" t="s">
        <v>471</v>
      </c>
      <c r="C53" s="428"/>
      <c r="D53" s="428"/>
      <c r="E53" s="579"/>
    </row>
    <row r="54" spans="1:5" ht="13.8" thickBot="1" x14ac:dyDescent="0.3">
      <c r="A54" s="574" t="s">
        <v>73</v>
      </c>
      <c r="B54" s="355" t="s">
        <v>480</v>
      </c>
      <c r="C54" s="428"/>
      <c r="D54" s="428"/>
      <c r="E54" s="579"/>
    </row>
    <row r="55" spans="1:5" ht="15" customHeight="1" thickBot="1" x14ac:dyDescent="0.3">
      <c r="A55" s="561" t="s">
        <v>79</v>
      </c>
      <c r="B55" s="565" t="s">
        <v>473</v>
      </c>
      <c r="C55" s="103">
        <f>+C44+C50</f>
        <v>0</v>
      </c>
      <c r="D55" s="103">
        <f>+D44+D50</f>
        <v>0</v>
      </c>
      <c r="E55" s="569">
        <f>+E44+E50</f>
        <v>0</v>
      </c>
    </row>
    <row r="56" spans="1:5" ht="13.8" thickBot="1" x14ac:dyDescent="0.3">
      <c r="C56" s="570"/>
      <c r="D56" s="570"/>
      <c r="E56" s="570"/>
    </row>
    <row r="57" spans="1:5" ht="13.8" thickBot="1" x14ac:dyDescent="0.3">
      <c r="A57" s="510" t="s">
        <v>437</v>
      </c>
      <c r="B57" s="511"/>
      <c r="C57" s="107"/>
      <c r="D57" s="107"/>
      <c r="E57" s="559"/>
    </row>
    <row r="58" spans="1:5" ht="13.8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ColWidth="9.33203125" defaultRowHeight="13.2" x14ac:dyDescent="0.25"/>
  <cols>
    <col min="1" max="1" width="18.6640625" style="566" customWidth="1"/>
    <col min="2" max="2" width="62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+CONCATENATE("8.3.1. melléklet a ……/",LEFT(ÖSSZEFÜGGÉSEK!A4,4)+1,". (……) önkormányzati rendelethez")</f>
        <v>8.3.1.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484</v>
      </c>
      <c r="C2" s="1732"/>
      <c r="D2" s="1733"/>
      <c r="E2" s="571" t="s">
        <v>485</v>
      </c>
    </row>
    <row r="3" spans="1:5" s="548" customFormat="1" ht="16.2" thickBot="1" x14ac:dyDescent="0.3">
      <c r="A3" s="546" t="s">
        <v>476</v>
      </c>
      <c r="B3" s="1734" t="s">
        <v>439</v>
      </c>
      <c r="C3" s="1737"/>
      <c r="D3" s="1738"/>
      <c r="E3" s="572" t="s">
        <v>440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591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592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593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593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593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593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593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593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594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593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110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591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593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593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593"/>
      <c r="E22" s="109"/>
    </row>
    <row r="23" spans="1:5" s="524" customFormat="1" ht="12" customHeight="1" thickBot="1" x14ac:dyDescent="0.3">
      <c r="A23" s="574" t="s">
        <v>73</v>
      </c>
      <c r="B23" s="355" t="s">
        <v>477</v>
      </c>
      <c r="C23" s="431"/>
      <c r="D23" s="593"/>
      <c r="E23" s="109"/>
    </row>
    <row r="24" spans="1:5" s="524" customFormat="1" ht="12" customHeight="1" thickBot="1" x14ac:dyDescent="0.3">
      <c r="A24" s="561" t="s">
        <v>79</v>
      </c>
      <c r="B24" s="375" t="s">
        <v>303</v>
      </c>
      <c r="C24" s="41"/>
      <c r="D24" s="595"/>
      <c r="E24" s="567"/>
    </row>
    <row r="25" spans="1:5" s="524" customFormat="1" ht="12" customHeight="1" thickBot="1" x14ac:dyDescent="0.3">
      <c r="A25" s="561" t="s">
        <v>262</v>
      </c>
      <c r="B25" s="375" t="s">
        <v>456</v>
      </c>
      <c r="C25" s="434">
        <f>+C26+C27</f>
        <v>0</v>
      </c>
      <c r="D25" s="591">
        <f>+D26+D27</f>
        <v>0</v>
      </c>
      <c r="E25" s="568">
        <f>+E26+E27</f>
        <v>0</v>
      </c>
    </row>
    <row r="26" spans="1:5" s="524" customFormat="1" ht="12" customHeight="1" x14ac:dyDescent="0.25">
      <c r="A26" s="575" t="s">
        <v>95</v>
      </c>
      <c r="B26" s="576" t="s">
        <v>453</v>
      </c>
      <c r="C26" s="97"/>
      <c r="D26" s="582"/>
      <c r="E26" s="555"/>
    </row>
    <row r="27" spans="1:5" s="524" customFormat="1" ht="12" customHeight="1" x14ac:dyDescent="0.25">
      <c r="A27" s="575" t="s">
        <v>101</v>
      </c>
      <c r="B27" s="577" t="s">
        <v>457</v>
      </c>
      <c r="C27" s="435"/>
      <c r="D27" s="596"/>
      <c r="E27" s="554"/>
    </row>
    <row r="28" spans="1:5" s="524" customFormat="1" ht="12" customHeight="1" thickBot="1" x14ac:dyDescent="0.3">
      <c r="A28" s="574" t="s">
        <v>103</v>
      </c>
      <c r="B28" s="578" t="s">
        <v>478</v>
      </c>
      <c r="C28" s="558"/>
      <c r="D28" s="597"/>
      <c r="E28" s="553"/>
    </row>
    <row r="29" spans="1:5" s="524" customFormat="1" ht="12" customHeight="1" thickBot="1" x14ac:dyDescent="0.3">
      <c r="A29" s="561" t="s">
        <v>107</v>
      </c>
      <c r="B29" s="375" t="s">
        <v>459</v>
      </c>
      <c r="C29" s="434">
        <f>+C30+C31+C32</f>
        <v>0</v>
      </c>
      <c r="D29" s="591">
        <f>+D30+D31+D32</f>
        <v>0</v>
      </c>
      <c r="E29" s="568">
        <f>+E30+E31+E32</f>
        <v>0</v>
      </c>
    </row>
    <row r="30" spans="1:5" s="524" customFormat="1" ht="12" customHeight="1" x14ac:dyDescent="0.25">
      <c r="A30" s="575" t="s">
        <v>109</v>
      </c>
      <c r="B30" s="576" t="s">
        <v>132</v>
      </c>
      <c r="C30" s="97"/>
      <c r="D30" s="582"/>
      <c r="E30" s="555"/>
    </row>
    <row r="31" spans="1:5" s="524" customFormat="1" ht="12" customHeight="1" x14ac:dyDescent="0.25">
      <c r="A31" s="575" t="s">
        <v>111</v>
      </c>
      <c r="B31" s="577" t="s">
        <v>134</v>
      </c>
      <c r="C31" s="435"/>
      <c r="D31" s="596"/>
      <c r="E31" s="554"/>
    </row>
    <row r="32" spans="1:5" s="524" customFormat="1" ht="12" customHeight="1" thickBot="1" x14ac:dyDescent="0.3">
      <c r="A32" s="574" t="s">
        <v>113</v>
      </c>
      <c r="B32" s="560" t="s">
        <v>136</v>
      </c>
      <c r="C32" s="558"/>
      <c r="D32" s="597"/>
      <c r="E32" s="553"/>
    </row>
    <row r="33" spans="1:5" s="524" customFormat="1" ht="12" customHeight="1" thickBot="1" x14ac:dyDescent="0.3">
      <c r="A33" s="561" t="s">
        <v>129</v>
      </c>
      <c r="B33" s="375" t="s">
        <v>304</v>
      </c>
      <c r="C33" s="41"/>
      <c r="D33" s="595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595"/>
      <c r="E34" s="567"/>
    </row>
    <row r="35" spans="1:5" s="524" customFormat="1" ht="12" customHeight="1" thickBot="1" x14ac:dyDescent="0.3">
      <c r="A35" s="498" t="s">
        <v>151</v>
      </c>
      <c r="B35" s="375" t="s">
        <v>479</v>
      </c>
      <c r="C35" s="434">
        <f>+C8+C19+C24+C25+C29+C33+C34</f>
        <v>0</v>
      </c>
      <c r="D35" s="591">
        <f>+D8+D19+D24+D25+D29+D33+D34</f>
        <v>0</v>
      </c>
      <c r="E35" s="568">
        <f>+E8+E19+E24+E25+E29+E33+E34</f>
        <v>0</v>
      </c>
    </row>
    <row r="36" spans="1:5" s="551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591">
        <f>+D37+D38+D39</f>
        <v>0</v>
      </c>
      <c r="E36" s="568">
        <f>+E37+E38+E39</f>
        <v>0</v>
      </c>
    </row>
    <row r="37" spans="1:5" s="551" customFormat="1" ht="15" customHeight="1" x14ac:dyDescent="0.25">
      <c r="A37" s="575" t="s">
        <v>463</v>
      </c>
      <c r="B37" s="576" t="s">
        <v>359</v>
      </c>
      <c r="C37" s="97"/>
      <c r="D37" s="582"/>
      <c r="E37" s="555"/>
    </row>
    <row r="38" spans="1:5" s="551" customFormat="1" ht="15" customHeight="1" x14ac:dyDescent="0.25">
      <c r="A38" s="575" t="s">
        <v>464</v>
      </c>
      <c r="B38" s="577" t="s">
        <v>465</v>
      </c>
      <c r="C38" s="435"/>
      <c r="D38" s="596"/>
      <c r="E38" s="554"/>
    </row>
    <row r="39" spans="1:5" ht="13.8" thickBot="1" x14ac:dyDescent="0.3">
      <c r="A39" s="574" t="s">
        <v>466</v>
      </c>
      <c r="B39" s="560" t="s">
        <v>467</v>
      </c>
      <c r="C39" s="558"/>
      <c r="D39" s="597"/>
      <c r="E39" s="553"/>
    </row>
    <row r="40" spans="1:5" s="550" customFormat="1" ht="16.5" customHeight="1" thickBot="1" x14ac:dyDescent="0.25">
      <c r="A40" s="563" t="s">
        <v>285</v>
      </c>
      <c r="B40" s="564" t="s">
        <v>468</v>
      </c>
      <c r="C40" s="103">
        <f>+C35+C36</f>
        <v>0</v>
      </c>
      <c r="D40" s="598">
        <f>+D35+D36</f>
        <v>0</v>
      </c>
      <c r="E40" s="569">
        <f>+E35+E36</f>
        <v>0</v>
      </c>
    </row>
    <row r="41" spans="1:5" s="333" customFormat="1" ht="12" customHeight="1" x14ac:dyDescent="0.25">
      <c r="A41" s="506"/>
      <c r="B41" s="507"/>
      <c r="C41" s="522"/>
      <c r="D41" s="522"/>
      <c r="E41" s="522"/>
    </row>
    <row r="42" spans="1:5" ht="12" customHeight="1" thickBot="1" x14ac:dyDescent="0.3">
      <c r="A42" s="508"/>
      <c r="B42" s="509"/>
      <c r="C42" s="523"/>
      <c r="D42" s="523"/>
      <c r="E42" s="523"/>
    </row>
    <row r="43" spans="1:5" ht="12" customHeight="1" thickBot="1" x14ac:dyDescent="0.3">
      <c r="A43" s="1728" t="s">
        <v>292</v>
      </c>
      <c r="B43" s="1729"/>
      <c r="C43" s="1729"/>
      <c r="D43" s="1729"/>
      <c r="E43" s="1730"/>
    </row>
    <row r="44" spans="1:5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568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555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579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579"/>
    </row>
    <row r="48" spans="1:5" s="333" customFormat="1" ht="12" customHeight="1" x14ac:dyDescent="0.25">
      <c r="A48" s="574" t="s">
        <v>59</v>
      </c>
      <c r="B48" s="355" t="s">
        <v>218</v>
      </c>
      <c r="C48" s="428"/>
      <c r="D48" s="428"/>
      <c r="E48" s="579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579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568">
        <f>SUM(E51:E53)</f>
        <v>0</v>
      </c>
    </row>
    <row r="51" spans="1:5" ht="12" customHeight="1" x14ac:dyDescent="0.25">
      <c r="A51" s="574" t="s">
        <v>67</v>
      </c>
      <c r="B51" s="356" t="s">
        <v>241</v>
      </c>
      <c r="C51" s="97"/>
      <c r="D51" s="97"/>
      <c r="E51" s="555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579"/>
    </row>
    <row r="53" spans="1:5" ht="15" customHeight="1" x14ac:dyDescent="0.25">
      <c r="A53" s="574" t="s">
        <v>71</v>
      </c>
      <c r="B53" s="355" t="s">
        <v>471</v>
      </c>
      <c r="C53" s="428"/>
      <c r="D53" s="428"/>
      <c r="E53" s="579"/>
    </row>
    <row r="54" spans="1:5" ht="13.8" thickBot="1" x14ac:dyDescent="0.3">
      <c r="A54" s="574" t="s">
        <v>73</v>
      </c>
      <c r="B54" s="355" t="s">
        <v>480</v>
      </c>
      <c r="C54" s="428"/>
      <c r="D54" s="428"/>
      <c r="E54" s="579"/>
    </row>
    <row r="55" spans="1:5" ht="15" customHeight="1" thickBot="1" x14ac:dyDescent="0.3">
      <c r="A55" s="561" t="s">
        <v>79</v>
      </c>
      <c r="B55" s="565" t="s">
        <v>473</v>
      </c>
      <c r="C55" s="103">
        <f>+C44+C50</f>
        <v>0</v>
      </c>
      <c r="D55" s="103">
        <f>+D44+D50</f>
        <v>0</v>
      </c>
      <c r="E55" s="569">
        <f>+E44+E50</f>
        <v>0</v>
      </c>
    </row>
    <row r="56" spans="1:5" ht="13.8" thickBot="1" x14ac:dyDescent="0.3">
      <c r="C56" s="570"/>
      <c r="D56" s="570"/>
      <c r="E56" s="570"/>
    </row>
    <row r="57" spans="1:5" ht="13.8" thickBot="1" x14ac:dyDescent="0.3">
      <c r="A57" s="510" t="s">
        <v>437</v>
      </c>
      <c r="B57" s="511"/>
      <c r="C57" s="107"/>
      <c r="D57" s="107"/>
      <c r="E57" s="559"/>
    </row>
    <row r="58" spans="1:5" ht="13.8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ColWidth="9.33203125" defaultRowHeight="13.2" x14ac:dyDescent="0.25"/>
  <cols>
    <col min="1" max="1" width="18.6640625" style="566" customWidth="1"/>
    <col min="2" max="2" width="62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+CONCATENATE("8.3.2. melléklet a ……/",LEFT(ÖSSZEFÜGGÉSEK!A4,4)+1,". (……) önkormányzati rendelethez")</f>
        <v>8.3.2.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484</v>
      </c>
      <c r="C2" s="1732"/>
      <c r="D2" s="1733"/>
      <c r="E2" s="571" t="s">
        <v>485</v>
      </c>
    </row>
    <row r="3" spans="1:5" s="548" customFormat="1" ht="16.2" thickBot="1" x14ac:dyDescent="0.3">
      <c r="A3" s="546" t="s">
        <v>476</v>
      </c>
      <c r="B3" s="1734" t="s">
        <v>442</v>
      </c>
      <c r="C3" s="1737"/>
      <c r="D3" s="1738"/>
      <c r="E3" s="572" t="s">
        <v>443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591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592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593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593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593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593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593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593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594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593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110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591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593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593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593"/>
      <c r="E22" s="109"/>
    </row>
    <row r="23" spans="1:5" s="524" customFormat="1" ht="12" customHeight="1" thickBot="1" x14ac:dyDescent="0.3">
      <c r="A23" s="574" t="s">
        <v>73</v>
      </c>
      <c r="B23" s="355" t="s">
        <v>477</v>
      </c>
      <c r="C23" s="431"/>
      <c r="D23" s="593"/>
      <c r="E23" s="109"/>
    </row>
    <row r="24" spans="1:5" s="524" customFormat="1" ht="12" customHeight="1" thickBot="1" x14ac:dyDescent="0.3">
      <c r="A24" s="561" t="s">
        <v>79</v>
      </c>
      <c r="B24" s="375" t="s">
        <v>303</v>
      </c>
      <c r="C24" s="41"/>
      <c r="D24" s="595"/>
      <c r="E24" s="567"/>
    </row>
    <row r="25" spans="1:5" s="524" customFormat="1" ht="12" customHeight="1" thickBot="1" x14ac:dyDescent="0.3">
      <c r="A25" s="561" t="s">
        <v>262</v>
      </c>
      <c r="B25" s="375" t="s">
        <v>456</v>
      </c>
      <c r="C25" s="434">
        <f>+C26+C27</f>
        <v>0</v>
      </c>
      <c r="D25" s="591">
        <f>+D26+D27</f>
        <v>0</v>
      </c>
      <c r="E25" s="568">
        <f>+E26+E27</f>
        <v>0</v>
      </c>
    </row>
    <row r="26" spans="1:5" s="524" customFormat="1" ht="12" customHeight="1" x14ac:dyDescent="0.25">
      <c r="A26" s="575" t="s">
        <v>95</v>
      </c>
      <c r="B26" s="576" t="s">
        <v>453</v>
      </c>
      <c r="C26" s="97"/>
      <c r="D26" s="582"/>
      <c r="E26" s="555"/>
    </row>
    <row r="27" spans="1:5" s="524" customFormat="1" ht="12" customHeight="1" x14ac:dyDescent="0.25">
      <c r="A27" s="575" t="s">
        <v>101</v>
      </c>
      <c r="B27" s="577" t="s">
        <v>457</v>
      </c>
      <c r="C27" s="435"/>
      <c r="D27" s="596"/>
      <c r="E27" s="554"/>
    </row>
    <row r="28" spans="1:5" s="524" customFormat="1" ht="12" customHeight="1" thickBot="1" x14ac:dyDescent="0.3">
      <c r="A28" s="574" t="s">
        <v>103</v>
      </c>
      <c r="B28" s="578" t="s">
        <v>478</v>
      </c>
      <c r="C28" s="558"/>
      <c r="D28" s="597"/>
      <c r="E28" s="553"/>
    </row>
    <row r="29" spans="1:5" s="524" customFormat="1" ht="12" customHeight="1" thickBot="1" x14ac:dyDescent="0.3">
      <c r="A29" s="561" t="s">
        <v>107</v>
      </c>
      <c r="B29" s="375" t="s">
        <v>459</v>
      </c>
      <c r="C29" s="434">
        <f>+C30+C31+C32</f>
        <v>0</v>
      </c>
      <c r="D29" s="591">
        <f>+D30+D31+D32</f>
        <v>0</v>
      </c>
      <c r="E29" s="568">
        <f>+E30+E31+E32</f>
        <v>0</v>
      </c>
    </row>
    <row r="30" spans="1:5" s="524" customFormat="1" ht="12" customHeight="1" x14ac:dyDescent="0.25">
      <c r="A30" s="575" t="s">
        <v>109</v>
      </c>
      <c r="B30" s="576" t="s">
        <v>132</v>
      </c>
      <c r="C30" s="97"/>
      <c r="D30" s="582"/>
      <c r="E30" s="555"/>
    </row>
    <row r="31" spans="1:5" s="524" customFormat="1" ht="12" customHeight="1" x14ac:dyDescent="0.25">
      <c r="A31" s="575" t="s">
        <v>111</v>
      </c>
      <c r="B31" s="577" t="s">
        <v>134</v>
      </c>
      <c r="C31" s="435"/>
      <c r="D31" s="596"/>
      <c r="E31" s="554"/>
    </row>
    <row r="32" spans="1:5" s="524" customFormat="1" ht="12" customHeight="1" thickBot="1" x14ac:dyDescent="0.3">
      <c r="A32" s="574" t="s">
        <v>113</v>
      </c>
      <c r="B32" s="560" t="s">
        <v>136</v>
      </c>
      <c r="C32" s="558"/>
      <c r="D32" s="597"/>
      <c r="E32" s="553"/>
    </row>
    <row r="33" spans="1:5" s="524" customFormat="1" ht="12" customHeight="1" thickBot="1" x14ac:dyDescent="0.3">
      <c r="A33" s="561" t="s">
        <v>129</v>
      </c>
      <c r="B33" s="375" t="s">
        <v>304</v>
      </c>
      <c r="C33" s="41"/>
      <c r="D33" s="595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595"/>
      <c r="E34" s="567"/>
    </row>
    <row r="35" spans="1:5" s="524" customFormat="1" ht="12" customHeight="1" thickBot="1" x14ac:dyDescent="0.3">
      <c r="A35" s="498" t="s">
        <v>151</v>
      </c>
      <c r="B35" s="375" t="s">
        <v>479</v>
      </c>
      <c r="C35" s="434">
        <f>+C8+C19+C24+C25+C29+C33+C34</f>
        <v>0</v>
      </c>
      <c r="D35" s="591">
        <f>+D8+D19+D24+D25+D29+D33+D34</f>
        <v>0</v>
      </c>
      <c r="E35" s="568">
        <f>+E8+E19+E24+E25+E29+E33+E34</f>
        <v>0</v>
      </c>
    </row>
    <row r="36" spans="1:5" s="551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591">
        <f>+D37+D38+D39</f>
        <v>0</v>
      </c>
      <c r="E36" s="568">
        <f>+E37+E38+E39</f>
        <v>0</v>
      </c>
    </row>
    <row r="37" spans="1:5" s="551" customFormat="1" ht="15" customHeight="1" x14ac:dyDescent="0.25">
      <c r="A37" s="575" t="s">
        <v>463</v>
      </c>
      <c r="B37" s="576" t="s">
        <v>359</v>
      </c>
      <c r="C37" s="97"/>
      <c r="D37" s="582"/>
      <c r="E37" s="555"/>
    </row>
    <row r="38" spans="1:5" s="551" customFormat="1" ht="15" customHeight="1" x14ac:dyDescent="0.25">
      <c r="A38" s="575" t="s">
        <v>464</v>
      </c>
      <c r="B38" s="577" t="s">
        <v>465</v>
      </c>
      <c r="C38" s="435"/>
      <c r="D38" s="596"/>
      <c r="E38" s="554"/>
    </row>
    <row r="39" spans="1:5" ht="13.8" thickBot="1" x14ac:dyDescent="0.3">
      <c r="A39" s="574" t="s">
        <v>466</v>
      </c>
      <c r="B39" s="560" t="s">
        <v>467</v>
      </c>
      <c r="C39" s="558"/>
      <c r="D39" s="597"/>
      <c r="E39" s="553"/>
    </row>
    <row r="40" spans="1:5" s="550" customFormat="1" ht="16.5" customHeight="1" thickBot="1" x14ac:dyDescent="0.25">
      <c r="A40" s="563" t="s">
        <v>285</v>
      </c>
      <c r="B40" s="564" t="s">
        <v>468</v>
      </c>
      <c r="C40" s="103">
        <f>+C35+C36</f>
        <v>0</v>
      </c>
      <c r="D40" s="598">
        <f>+D35+D36</f>
        <v>0</v>
      </c>
      <c r="E40" s="569">
        <f>+E35+E36</f>
        <v>0</v>
      </c>
    </row>
    <row r="41" spans="1:5" s="333" customFormat="1" ht="12" customHeight="1" x14ac:dyDescent="0.25">
      <c r="A41" s="506"/>
      <c r="B41" s="507"/>
      <c r="C41" s="522"/>
      <c r="D41" s="522"/>
      <c r="E41" s="522"/>
    </row>
    <row r="42" spans="1:5" ht="12" customHeight="1" thickBot="1" x14ac:dyDescent="0.3">
      <c r="A42" s="508"/>
      <c r="B42" s="509"/>
      <c r="C42" s="523"/>
      <c r="D42" s="523"/>
      <c r="E42" s="523"/>
    </row>
    <row r="43" spans="1:5" ht="12" customHeight="1" thickBot="1" x14ac:dyDescent="0.3">
      <c r="A43" s="1728" t="s">
        <v>292</v>
      </c>
      <c r="B43" s="1729"/>
      <c r="C43" s="1729"/>
      <c r="D43" s="1729"/>
      <c r="E43" s="1730"/>
    </row>
    <row r="44" spans="1:5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568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555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579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579"/>
    </row>
    <row r="48" spans="1:5" s="333" customFormat="1" ht="12" customHeight="1" x14ac:dyDescent="0.25">
      <c r="A48" s="574" t="s">
        <v>59</v>
      </c>
      <c r="B48" s="355" t="s">
        <v>218</v>
      </c>
      <c r="C48" s="428"/>
      <c r="D48" s="428"/>
      <c r="E48" s="579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579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568">
        <f>SUM(E51:E53)</f>
        <v>0</v>
      </c>
    </row>
    <row r="51" spans="1:5" ht="12" customHeight="1" x14ac:dyDescent="0.25">
      <c r="A51" s="574" t="s">
        <v>67</v>
      </c>
      <c r="B51" s="356" t="s">
        <v>241</v>
      </c>
      <c r="C51" s="97"/>
      <c r="D51" s="97"/>
      <c r="E51" s="555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579"/>
    </row>
    <row r="53" spans="1:5" ht="15" customHeight="1" x14ac:dyDescent="0.25">
      <c r="A53" s="574" t="s">
        <v>71</v>
      </c>
      <c r="B53" s="355" t="s">
        <v>471</v>
      </c>
      <c r="C53" s="428"/>
      <c r="D53" s="428"/>
      <c r="E53" s="579"/>
    </row>
    <row r="54" spans="1:5" ht="13.8" thickBot="1" x14ac:dyDescent="0.3">
      <c r="A54" s="574" t="s">
        <v>73</v>
      </c>
      <c r="B54" s="355" t="s">
        <v>480</v>
      </c>
      <c r="C54" s="428"/>
      <c r="D54" s="428"/>
      <c r="E54" s="579"/>
    </row>
    <row r="55" spans="1:5" ht="15" customHeight="1" thickBot="1" x14ac:dyDescent="0.3">
      <c r="A55" s="561" t="s">
        <v>79</v>
      </c>
      <c r="B55" s="565" t="s">
        <v>473</v>
      </c>
      <c r="C55" s="103">
        <f>+C44+C50</f>
        <v>0</v>
      </c>
      <c r="D55" s="103">
        <f>+D44+D50</f>
        <v>0</v>
      </c>
      <c r="E55" s="569">
        <f>+E44+E50</f>
        <v>0</v>
      </c>
    </row>
    <row r="56" spans="1:5" ht="13.8" thickBot="1" x14ac:dyDescent="0.3">
      <c r="C56" s="570"/>
      <c r="D56" s="570"/>
      <c r="E56" s="570"/>
    </row>
    <row r="57" spans="1:5" ht="13.8" thickBot="1" x14ac:dyDescent="0.3">
      <c r="A57" s="510" t="s">
        <v>437</v>
      </c>
      <c r="B57" s="511"/>
      <c r="C57" s="107"/>
      <c r="D57" s="107"/>
      <c r="E57" s="559"/>
    </row>
    <row r="58" spans="1:5" ht="13.8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92D050"/>
  </sheetPr>
  <dimension ref="A1:E58"/>
  <sheetViews>
    <sheetView zoomScaleNormal="100" zoomScaleSheetLayoutView="145" workbookViewId="0">
      <selection activeCell="B3" sqref="B3:D3"/>
    </sheetView>
  </sheetViews>
  <sheetFormatPr defaultColWidth="9.33203125" defaultRowHeight="13.2" x14ac:dyDescent="0.25"/>
  <cols>
    <col min="1" max="1" width="18.6640625" style="566" customWidth="1"/>
    <col min="2" max="2" width="62" style="32" customWidth="1"/>
    <col min="3" max="5" width="15.77734375" style="32" customWidth="1"/>
    <col min="6" max="16384" width="9.33203125" style="32"/>
  </cols>
  <sheetData>
    <row r="1" spans="1:5" s="501" customFormat="1" ht="21" customHeight="1" thickBot="1" x14ac:dyDescent="0.3">
      <c r="A1" s="500"/>
      <c r="B1" s="502"/>
      <c r="C1" s="547"/>
      <c r="D1" s="547"/>
      <c r="E1" s="646" t="str">
        <f>+CONCATENATE("8.3.3. melléklet a ……/",LEFT(ÖSSZEFÜGGÉSEK!A4,4)+1,". (……) önkormányzati rendelethez")</f>
        <v>8.3.3. melléklet a ……/2017. (……) önkormányzati rendelethez</v>
      </c>
    </row>
    <row r="2" spans="1:5" s="548" customFormat="1" ht="25.5" customHeight="1" x14ac:dyDescent="0.25">
      <c r="A2" s="528" t="s">
        <v>446</v>
      </c>
      <c r="B2" s="1731" t="s">
        <v>484</v>
      </c>
      <c r="C2" s="1732"/>
      <c r="D2" s="1733"/>
      <c r="E2" s="571" t="s">
        <v>485</v>
      </c>
    </row>
    <row r="3" spans="1:5" s="548" customFormat="1" ht="16.2" thickBot="1" x14ac:dyDescent="0.3">
      <c r="A3" s="546" t="s">
        <v>476</v>
      </c>
      <c r="B3" s="1734" t="s">
        <v>486</v>
      </c>
      <c r="C3" s="1737"/>
      <c r="D3" s="1738"/>
      <c r="E3" s="572" t="s">
        <v>445</v>
      </c>
    </row>
    <row r="4" spans="1:5" s="549" customFormat="1" ht="15.9" customHeight="1" thickBot="1" x14ac:dyDescent="0.35">
      <c r="A4" s="503"/>
      <c r="B4" s="503"/>
      <c r="C4" s="504"/>
      <c r="D4" s="504"/>
      <c r="E4" s="504" t="s">
        <v>425</v>
      </c>
    </row>
    <row r="5" spans="1:5" ht="23.4" thickBot="1" x14ac:dyDescent="0.3">
      <c r="A5" s="676" t="s">
        <v>426</v>
      </c>
      <c r="B5" s="677" t="s">
        <v>427</v>
      </c>
      <c r="C5" s="91" t="s">
        <v>43</v>
      </c>
      <c r="D5" s="91" t="s">
        <v>44</v>
      </c>
      <c r="E5" s="505" t="s">
        <v>45</v>
      </c>
    </row>
    <row r="6" spans="1:5" s="550" customFormat="1" ht="12.9" customHeight="1" thickBot="1" x14ac:dyDescent="0.3">
      <c r="A6" s="498" t="s">
        <v>46</v>
      </c>
      <c r="B6" s="499" t="s">
        <v>47</v>
      </c>
      <c r="C6" s="499" t="s">
        <v>48</v>
      </c>
      <c r="D6" s="106" t="s">
        <v>49</v>
      </c>
      <c r="E6" s="104" t="s">
        <v>50</v>
      </c>
    </row>
    <row r="7" spans="1:5" s="550" customFormat="1" ht="15.9" customHeight="1" thickBot="1" x14ac:dyDescent="0.3">
      <c r="A7" s="1728" t="s">
        <v>291</v>
      </c>
      <c r="B7" s="1729"/>
      <c r="C7" s="1729"/>
      <c r="D7" s="1729"/>
      <c r="E7" s="1730"/>
    </row>
    <row r="8" spans="1:5" s="524" customFormat="1" ht="12" customHeight="1" thickBot="1" x14ac:dyDescent="0.3">
      <c r="A8" s="498" t="s">
        <v>51</v>
      </c>
      <c r="B8" s="562" t="s">
        <v>449</v>
      </c>
      <c r="C8" s="434">
        <f>SUM(C9:C18)</f>
        <v>0</v>
      </c>
      <c r="D8" s="591">
        <f>SUM(D9:D18)</f>
        <v>0</v>
      </c>
      <c r="E8" s="568">
        <f>SUM(E9:E18)</f>
        <v>0</v>
      </c>
    </row>
    <row r="9" spans="1:5" s="524" customFormat="1" ht="12" customHeight="1" x14ac:dyDescent="0.25">
      <c r="A9" s="573" t="s">
        <v>53</v>
      </c>
      <c r="B9" s="357" t="s">
        <v>110</v>
      </c>
      <c r="C9" s="100"/>
      <c r="D9" s="592"/>
      <c r="E9" s="557"/>
    </row>
    <row r="10" spans="1:5" s="524" customFormat="1" ht="12" customHeight="1" x14ac:dyDescent="0.25">
      <c r="A10" s="574" t="s">
        <v>55</v>
      </c>
      <c r="B10" s="355" t="s">
        <v>112</v>
      </c>
      <c r="C10" s="431"/>
      <c r="D10" s="593"/>
      <c r="E10" s="109"/>
    </row>
    <row r="11" spans="1:5" s="524" customFormat="1" ht="12" customHeight="1" x14ac:dyDescent="0.25">
      <c r="A11" s="574" t="s">
        <v>57</v>
      </c>
      <c r="B11" s="355" t="s">
        <v>114</v>
      </c>
      <c r="C11" s="431"/>
      <c r="D11" s="593"/>
      <c r="E11" s="109"/>
    </row>
    <row r="12" spans="1:5" s="524" customFormat="1" ht="12" customHeight="1" x14ac:dyDescent="0.25">
      <c r="A12" s="574" t="s">
        <v>59</v>
      </c>
      <c r="B12" s="355" t="s">
        <v>116</v>
      </c>
      <c r="C12" s="431"/>
      <c r="D12" s="593"/>
      <c r="E12" s="109"/>
    </row>
    <row r="13" spans="1:5" s="524" customFormat="1" ht="12" customHeight="1" x14ac:dyDescent="0.25">
      <c r="A13" s="574" t="s">
        <v>61</v>
      </c>
      <c r="B13" s="355" t="s">
        <v>118</v>
      </c>
      <c r="C13" s="431"/>
      <c r="D13" s="593"/>
      <c r="E13" s="109"/>
    </row>
    <row r="14" spans="1:5" s="524" customFormat="1" ht="12" customHeight="1" x14ac:dyDescent="0.25">
      <c r="A14" s="574" t="s">
        <v>63</v>
      </c>
      <c r="B14" s="355" t="s">
        <v>450</v>
      </c>
      <c r="C14" s="431"/>
      <c r="D14" s="593"/>
      <c r="E14" s="109"/>
    </row>
    <row r="15" spans="1:5" s="551" customFormat="1" ht="12" customHeight="1" x14ac:dyDescent="0.25">
      <c r="A15" s="574" t="s">
        <v>222</v>
      </c>
      <c r="B15" s="354" t="s">
        <v>451</v>
      </c>
      <c r="C15" s="431"/>
      <c r="D15" s="593"/>
      <c r="E15" s="109"/>
    </row>
    <row r="16" spans="1:5" s="551" customFormat="1" ht="12" customHeight="1" x14ac:dyDescent="0.25">
      <c r="A16" s="574" t="s">
        <v>224</v>
      </c>
      <c r="B16" s="355" t="s">
        <v>124</v>
      </c>
      <c r="C16" s="101"/>
      <c r="D16" s="594"/>
      <c r="E16" s="556"/>
    </row>
    <row r="17" spans="1:5" s="524" customFormat="1" ht="12" customHeight="1" x14ac:dyDescent="0.25">
      <c r="A17" s="574" t="s">
        <v>226</v>
      </c>
      <c r="B17" s="355" t="s">
        <v>126</v>
      </c>
      <c r="C17" s="431"/>
      <c r="D17" s="593"/>
      <c r="E17" s="109"/>
    </row>
    <row r="18" spans="1:5" s="551" customFormat="1" ht="12" customHeight="1" thickBot="1" x14ac:dyDescent="0.3">
      <c r="A18" s="574" t="s">
        <v>228</v>
      </c>
      <c r="B18" s="354" t="s">
        <v>128</v>
      </c>
      <c r="C18" s="433"/>
      <c r="D18" s="110"/>
      <c r="E18" s="552"/>
    </row>
    <row r="19" spans="1:5" s="551" customFormat="1" ht="12" customHeight="1" thickBot="1" x14ac:dyDescent="0.3">
      <c r="A19" s="498" t="s">
        <v>65</v>
      </c>
      <c r="B19" s="562" t="s">
        <v>452</v>
      </c>
      <c r="C19" s="434">
        <f>SUM(C20:C22)</f>
        <v>0</v>
      </c>
      <c r="D19" s="591">
        <f>SUM(D20:D22)</f>
        <v>0</v>
      </c>
      <c r="E19" s="568">
        <f>SUM(E20:E22)</f>
        <v>0</v>
      </c>
    </row>
    <row r="20" spans="1:5" s="551" customFormat="1" ht="12" customHeight="1" x14ac:dyDescent="0.25">
      <c r="A20" s="574" t="s">
        <v>67</v>
      </c>
      <c r="B20" s="356" t="s">
        <v>68</v>
      </c>
      <c r="C20" s="431"/>
      <c r="D20" s="593"/>
      <c r="E20" s="109"/>
    </row>
    <row r="21" spans="1:5" s="551" customFormat="1" ht="12" customHeight="1" x14ac:dyDescent="0.25">
      <c r="A21" s="574" t="s">
        <v>69</v>
      </c>
      <c r="B21" s="355" t="s">
        <v>453</v>
      </c>
      <c r="C21" s="431"/>
      <c r="D21" s="593"/>
      <c r="E21" s="109"/>
    </row>
    <row r="22" spans="1:5" s="551" customFormat="1" ht="12" customHeight="1" x14ac:dyDescent="0.25">
      <c r="A22" s="574" t="s">
        <v>71</v>
      </c>
      <c r="B22" s="355" t="s">
        <v>454</v>
      </c>
      <c r="C22" s="431"/>
      <c r="D22" s="593"/>
      <c r="E22" s="109"/>
    </row>
    <row r="23" spans="1:5" s="524" customFormat="1" ht="12" customHeight="1" thickBot="1" x14ac:dyDescent="0.3">
      <c r="A23" s="574" t="s">
        <v>73</v>
      </c>
      <c r="B23" s="355" t="s">
        <v>477</v>
      </c>
      <c r="C23" s="431"/>
      <c r="D23" s="593"/>
      <c r="E23" s="109"/>
    </row>
    <row r="24" spans="1:5" s="524" customFormat="1" ht="12" customHeight="1" thickBot="1" x14ac:dyDescent="0.3">
      <c r="A24" s="561" t="s">
        <v>79</v>
      </c>
      <c r="B24" s="375" t="s">
        <v>303</v>
      </c>
      <c r="C24" s="41"/>
      <c r="D24" s="595"/>
      <c r="E24" s="567"/>
    </row>
    <row r="25" spans="1:5" s="524" customFormat="1" ht="12" customHeight="1" thickBot="1" x14ac:dyDescent="0.3">
      <c r="A25" s="561" t="s">
        <v>262</v>
      </c>
      <c r="B25" s="375" t="s">
        <v>456</v>
      </c>
      <c r="C25" s="434">
        <f>+C26+C27</f>
        <v>0</v>
      </c>
      <c r="D25" s="591">
        <f>+D26+D27</f>
        <v>0</v>
      </c>
      <c r="E25" s="568">
        <f>+E26+E27</f>
        <v>0</v>
      </c>
    </row>
    <row r="26" spans="1:5" s="524" customFormat="1" ht="12" customHeight="1" x14ac:dyDescent="0.25">
      <c r="A26" s="575" t="s">
        <v>95</v>
      </c>
      <c r="B26" s="576" t="s">
        <v>453</v>
      </c>
      <c r="C26" s="97"/>
      <c r="D26" s="582"/>
      <c r="E26" s="555"/>
    </row>
    <row r="27" spans="1:5" s="524" customFormat="1" ht="12" customHeight="1" x14ac:dyDescent="0.25">
      <c r="A27" s="575" t="s">
        <v>101</v>
      </c>
      <c r="B27" s="577" t="s">
        <v>457</v>
      </c>
      <c r="C27" s="435"/>
      <c r="D27" s="596"/>
      <c r="E27" s="554"/>
    </row>
    <row r="28" spans="1:5" s="524" customFormat="1" ht="12" customHeight="1" thickBot="1" x14ac:dyDescent="0.3">
      <c r="A28" s="574" t="s">
        <v>103</v>
      </c>
      <c r="B28" s="578" t="s">
        <v>478</v>
      </c>
      <c r="C28" s="558"/>
      <c r="D28" s="597"/>
      <c r="E28" s="553"/>
    </row>
    <row r="29" spans="1:5" s="524" customFormat="1" ht="12" customHeight="1" thickBot="1" x14ac:dyDescent="0.3">
      <c r="A29" s="561" t="s">
        <v>107</v>
      </c>
      <c r="B29" s="375" t="s">
        <v>459</v>
      </c>
      <c r="C29" s="434">
        <f>+C30+C31+C32</f>
        <v>0</v>
      </c>
      <c r="D29" s="591">
        <f>+D30+D31+D32</f>
        <v>0</v>
      </c>
      <c r="E29" s="568">
        <f>+E30+E31+E32</f>
        <v>0</v>
      </c>
    </row>
    <row r="30" spans="1:5" s="524" customFormat="1" ht="12" customHeight="1" x14ac:dyDescent="0.25">
      <c r="A30" s="575" t="s">
        <v>109</v>
      </c>
      <c r="B30" s="576" t="s">
        <v>132</v>
      </c>
      <c r="C30" s="97"/>
      <c r="D30" s="582"/>
      <c r="E30" s="555"/>
    </row>
    <row r="31" spans="1:5" s="524" customFormat="1" ht="12" customHeight="1" x14ac:dyDescent="0.25">
      <c r="A31" s="575" t="s">
        <v>111</v>
      </c>
      <c r="B31" s="577" t="s">
        <v>134</v>
      </c>
      <c r="C31" s="435"/>
      <c r="D31" s="596"/>
      <c r="E31" s="554"/>
    </row>
    <row r="32" spans="1:5" s="524" customFormat="1" ht="12" customHeight="1" thickBot="1" x14ac:dyDescent="0.3">
      <c r="A32" s="574" t="s">
        <v>113</v>
      </c>
      <c r="B32" s="560" t="s">
        <v>136</v>
      </c>
      <c r="C32" s="558"/>
      <c r="D32" s="597"/>
      <c r="E32" s="553"/>
    </row>
    <row r="33" spans="1:5" s="524" customFormat="1" ht="12" customHeight="1" thickBot="1" x14ac:dyDescent="0.3">
      <c r="A33" s="561" t="s">
        <v>129</v>
      </c>
      <c r="B33" s="375" t="s">
        <v>304</v>
      </c>
      <c r="C33" s="41"/>
      <c r="D33" s="595"/>
      <c r="E33" s="567"/>
    </row>
    <row r="34" spans="1:5" s="524" customFormat="1" ht="12" customHeight="1" thickBot="1" x14ac:dyDescent="0.3">
      <c r="A34" s="561" t="s">
        <v>273</v>
      </c>
      <c r="B34" s="375" t="s">
        <v>460</v>
      </c>
      <c r="C34" s="41"/>
      <c r="D34" s="595"/>
      <c r="E34" s="567"/>
    </row>
    <row r="35" spans="1:5" s="524" customFormat="1" ht="12" customHeight="1" thickBot="1" x14ac:dyDescent="0.3">
      <c r="A35" s="498" t="s">
        <v>151</v>
      </c>
      <c r="B35" s="375" t="s">
        <v>479</v>
      </c>
      <c r="C35" s="434">
        <f>+C8+C19+C24+C25+C29+C33+C34</f>
        <v>0</v>
      </c>
      <c r="D35" s="591">
        <f>+D8+D19+D24+D25+D29+D33+D34</f>
        <v>0</v>
      </c>
      <c r="E35" s="568">
        <f>+E8+E19+E24+E25+E29+E33+E34</f>
        <v>0</v>
      </c>
    </row>
    <row r="36" spans="1:5" s="551" customFormat="1" ht="12" customHeight="1" thickBot="1" x14ac:dyDescent="0.3">
      <c r="A36" s="563" t="s">
        <v>161</v>
      </c>
      <c r="B36" s="375" t="s">
        <v>462</v>
      </c>
      <c r="C36" s="434">
        <f>+C37+C38+C39</f>
        <v>0</v>
      </c>
      <c r="D36" s="591">
        <f>+D37+D38+D39</f>
        <v>0</v>
      </c>
      <c r="E36" s="568">
        <f>+E37+E38+E39</f>
        <v>0</v>
      </c>
    </row>
    <row r="37" spans="1:5" s="551" customFormat="1" ht="15" customHeight="1" x14ac:dyDescent="0.25">
      <c r="A37" s="575" t="s">
        <v>463</v>
      </c>
      <c r="B37" s="576" t="s">
        <v>359</v>
      </c>
      <c r="C37" s="97"/>
      <c r="D37" s="582"/>
      <c r="E37" s="555"/>
    </row>
    <row r="38" spans="1:5" s="551" customFormat="1" ht="15" customHeight="1" x14ac:dyDescent="0.25">
      <c r="A38" s="575" t="s">
        <v>464</v>
      </c>
      <c r="B38" s="577" t="s">
        <v>465</v>
      </c>
      <c r="C38" s="435"/>
      <c r="D38" s="596"/>
      <c r="E38" s="554"/>
    </row>
    <row r="39" spans="1:5" ht="13.8" thickBot="1" x14ac:dyDescent="0.3">
      <c r="A39" s="574" t="s">
        <v>466</v>
      </c>
      <c r="B39" s="560" t="s">
        <v>467</v>
      </c>
      <c r="C39" s="558"/>
      <c r="D39" s="597"/>
      <c r="E39" s="553"/>
    </row>
    <row r="40" spans="1:5" s="550" customFormat="1" ht="16.5" customHeight="1" thickBot="1" x14ac:dyDescent="0.25">
      <c r="A40" s="563" t="s">
        <v>285</v>
      </c>
      <c r="B40" s="564" t="s">
        <v>468</v>
      </c>
      <c r="C40" s="103">
        <f>+C35+C36</f>
        <v>0</v>
      </c>
      <c r="D40" s="598">
        <f>+D35+D36</f>
        <v>0</v>
      </c>
      <c r="E40" s="569">
        <f>+E35+E36</f>
        <v>0</v>
      </c>
    </row>
    <row r="41" spans="1:5" s="333" customFormat="1" ht="12" customHeight="1" x14ac:dyDescent="0.25">
      <c r="A41" s="506"/>
      <c r="B41" s="507"/>
      <c r="C41" s="522"/>
      <c r="D41" s="522"/>
      <c r="E41" s="522"/>
    </row>
    <row r="42" spans="1:5" ht="12" customHeight="1" thickBot="1" x14ac:dyDescent="0.3">
      <c r="A42" s="508"/>
      <c r="B42" s="509"/>
      <c r="C42" s="523"/>
      <c r="D42" s="523"/>
      <c r="E42" s="523"/>
    </row>
    <row r="43" spans="1:5" ht="12" customHeight="1" thickBot="1" x14ac:dyDescent="0.3">
      <c r="A43" s="1728" t="s">
        <v>292</v>
      </c>
      <c r="B43" s="1729"/>
      <c r="C43" s="1729"/>
      <c r="D43" s="1729"/>
      <c r="E43" s="1730"/>
    </row>
    <row r="44" spans="1:5" ht="12" customHeight="1" thickBot="1" x14ac:dyDescent="0.3">
      <c r="A44" s="561" t="s">
        <v>51</v>
      </c>
      <c r="B44" s="375" t="s">
        <v>469</v>
      </c>
      <c r="C44" s="434">
        <f>SUM(C45:C49)</f>
        <v>0</v>
      </c>
      <c r="D44" s="434">
        <f>SUM(D45:D49)</f>
        <v>0</v>
      </c>
      <c r="E44" s="568">
        <f>SUM(E45:E49)</f>
        <v>0</v>
      </c>
    </row>
    <row r="45" spans="1:5" ht="12" customHeight="1" x14ac:dyDescent="0.25">
      <c r="A45" s="574" t="s">
        <v>53</v>
      </c>
      <c r="B45" s="356" t="s">
        <v>215</v>
      </c>
      <c r="C45" s="97"/>
      <c r="D45" s="97"/>
      <c r="E45" s="555"/>
    </row>
    <row r="46" spans="1:5" ht="12" customHeight="1" x14ac:dyDescent="0.25">
      <c r="A46" s="574" t="s">
        <v>55</v>
      </c>
      <c r="B46" s="355" t="s">
        <v>216</v>
      </c>
      <c r="C46" s="428"/>
      <c r="D46" s="428"/>
      <c r="E46" s="579"/>
    </row>
    <row r="47" spans="1:5" ht="12" customHeight="1" x14ac:dyDescent="0.25">
      <c r="A47" s="574" t="s">
        <v>57</v>
      </c>
      <c r="B47" s="355" t="s">
        <v>217</v>
      </c>
      <c r="C47" s="428"/>
      <c r="D47" s="428"/>
      <c r="E47" s="579"/>
    </row>
    <row r="48" spans="1:5" s="333" customFormat="1" ht="12" customHeight="1" x14ac:dyDescent="0.25">
      <c r="A48" s="574" t="s">
        <v>59</v>
      </c>
      <c r="B48" s="355" t="s">
        <v>218</v>
      </c>
      <c r="C48" s="428"/>
      <c r="D48" s="428"/>
      <c r="E48" s="579"/>
    </row>
    <row r="49" spans="1:5" ht="12" customHeight="1" thickBot="1" x14ac:dyDescent="0.3">
      <c r="A49" s="574" t="s">
        <v>61</v>
      </c>
      <c r="B49" s="355" t="s">
        <v>220</v>
      </c>
      <c r="C49" s="428"/>
      <c r="D49" s="428"/>
      <c r="E49" s="579"/>
    </row>
    <row r="50" spans="1:5" ht="12" customHeight="1" thickBot="1" x14ac:dyDescent="0.3">
      <c r="A50" s="561" t="s">
        <v>65</v>
      </c>
      <c r="B50" s="375" t="s">
        <v>470</v>
      </c>
      <c r="C50" s="434">
        <f>SUM(C51:C53)</f>
        <v>0</v>
      </c>
      <c r="D50" s="434">
        <f>SUM(D51:D53)</f>
        <v>0</v>
      </c>
      <c r="E50" s="568">
        <f>SUM(E51:E53)</f>
        <v>0</v>
      </c>
    </row>
    <row r="51" spans="1:5" ht="12" customHeight="1" x14ac:dyDescent="0.25">
      <c r="A51" s="574" t="s">
        <v>67</v>
      </c>
      <c r="B51" s="356" t="s">
        <v>241</v>
      </c>
      <c r="C51" s="97"/>
      <c r="D51" s="97"/>
      <c r="E51" s="555"/>
    </row>
    <row r="52" spans="1:5" ht="12" customHeight="1" x14ac:dyDescent="0.25">
      <c r="A52" s="574" t="s">
        <v>69</v>
      </c>
      <c r="B52" s="355" t="s">
        <v>243</v>
      </c>
      <c r="C52" s="428"/>
      <c r="D52" s="428"/>
      <c r="E52" s="579"/>
    </row>
    <row r="53" spans="1:5" ht="15" customHeight="1" x14ac:dyDescent="0.25">
      <c r="A53" s="574" t="s">
        <v>71</v>
      </c>
      <c r="B53" s="355" t="s">
        <v>471</v>
      </c>
      <c r="C53" s="428"/>
      <c r="D53" s="428"/>
      <c r="E53" s="579"/>
    </row>
    <row r="54" spans="1:5" ht="13.8" thickBot="1" x14ac:dyDescent="0.3">
      <c r="A54" s="574" t="s">
        <v>73</v>
      </c>
      <c r="B54" s="355" t="s">
        <v>480</v>
      </c>
      <c r="C54" s="428"/>
      <c r="D54" s="428"/>
      <c r="E54" s="579"/>
    </row>
    <row r="55" spans="1:5" ht="15" customHeight="1" thickBot="1" x14ac:dyDescent="0.3">
      <c r="A55" s="561" t="s">
        <v>79</v>
      </c>
      <c r="B55" s="565" t="s">
        <v>473</v>
      </c>
      <c r="C55" s="103">
        <f>+C44+C50</f>
        <v>0</v>
      </c>
      <c r="D55" s="103">
        <f>+D44+D50</f>
        <v>0</v>
      </c>
      <c r="E55" s="569">
        <f>+E44+E50</f>
        <v>0</v>
      </c>
    </row>
    <row r="56" spans="1:5" ht="13.8" thickBot="1" x14ac:dyDescent="0.3">
      <c r="C56" s="570"/>
      <c r="D56" s="570"/>
      <c r="E56" s="570"/>
    </row>
    <row r="57" spans="1:5" ht="13.8" thickBot="1" x14ac:dyDescent="0.3">
      <c r="A57" s="510" t="s">
        <v>437</v>
      </c>
      <c r="B57" s="511"/>
      <c r="C57" s="107"/>
      <c r="D57" s="107"/>
      <c r="E57" s="559"/>
    </row>
    <row r="58" spans="1:5" ht="13.8" thickBot="1" x14ac:dyDescent="0.3">
      <c r="A58" s="510" t="s">
        <v>438</v>
      </c>
      <c r="B58" s="511"/>
      <c r="C58" s="107"/>
      <c r="D58" s="107"/>
      <c r="E58" s="559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H158"/>
  <sheetViews>
    <sheetView showGridLines="0" view="pageLayout" topLeftCell="A87" zoomScaleNormal="130" zoomScaleSheetLayoutView="100" workbookViewId="0">
      <selection activeCell="I100" sqref="I100"/>
    </sheetView>
  </sheetViews>
  <sheetFormatPr defaultColWidth="9.33203125" defaultRowHeight="15.6" x14ac:dyDescent="0.3"/>
  <cols>
    <col min="1" max="1" width="9.44140625" style="395" customWidth="1"/>
    <col min="2" max="2" width="60.77734375" style="395" customWidth="1"/>
    <col min="3" max="3" width="15.77734375" style="396" customWidth="1"/>
    <col min="4" max="4" width="13.33203125" style="396" customWidth="1"/>
    <col min="5" max="5" width="14.109375" style="396" customWidth="1"/>
    <col min="6" max="6" width="12.77734375" style="406" customWidth="1"/>
    <col min="7" max="7" width="13" style="406" customWidth="1"/>
    <col min="8" max="16384" width="9.33203125" style="406"/>
  </cols>
  <sheetData>
    <row r="1" spans="1:8" ht="15.9" customHeight="1" x14ac:dyDescent="0.3">
      <c r="A1" s="1617" t="s">
        <v>39</v>
      </c>
      <c r="B1" s="1618"/>
      <c r="C1" s="1618"/>
      <c r="D1" s="1618"/>
      <c r="E1" s="1618"/>
      <c r="F1" s="1542"/>
      <c r="G1" s="1543"/>
    </row>
    <row r="2" spans="1:8" ht="15.9" customHeight="1" thickBot="1" x14ac:dyDescent="0.35">
      <c r="A2" s="1405" t="s">
        <v>2115</v>
      </c>
      <c r="B2" s="42"/>
      <c r="C2" s="393"/>
      <c r="D2" s="393"/>
      <c r="E2" s="1546"/>
      <c r="F2" s="1544"/>
      <c r="G2" s="1406" t="s">
        <v>1690</v>
      </c>
    </row>
    <row r="3" spans="1:8" ht="15.9" customHeight="1" thickBot="1" x14ac:dyDescent="0.35">
      <c r="A3" s="1624" t="s">
        <v>41</v>
      </c>
      <c r="B3" s="1626" t="s">
        <v>42</v>
      </c>
      <c r="C3" s="1628" t="s">
        <v>1795</v>
      </c>
      <c r="D3" s="1629"/>
      <c r="E3" s="1629"/>
      <c r="F3" s="1629"/>
      <c r="G3" s="1630"/>
    </row>
    <row r="4" spans="1:8" ht="38.1" customHeight="1" thickBot="1" x14ac:dyDescent="0.35">
      <c r="A4" s="1625"/>
      <c r="B4" s="1627"/>
      <c r="C4" s="1538" t="s">
        <v>43</v>
      </c>
      <c r="D4" s="1538" t="s">
        <v>2175</v>
      </c>
      <c r="E4" s="1538" t="s">
        <v>2173</v>
      </c>
      <c r="F4" s="1541" t="s">
        <v>2174</v>
      </c>
      <c r="G4" s="1541" t="s">
        <v>2182</v>
      </c>
    </row>
    <row r="5" spans="1:8" s="407" customFormat="1" ht="12" customHeight="1" thickBot="1" x14ac:dyDescent="0.25">
      <c r="A5" s="372" t="s">
        <v>46</v>
      </c>
      <c r="B5" s="373" t="s">
        <v>47</v>
      </c>
      <c r="C5" s="373" t="s">
        <v>48</v>
      </c>
      <c r="D5" s="373" t="s">
        <v>49</v>
      </c>
      <c r="E5" s="373" t="s">
        <v>50</v>
      </c>
      <c r="F5" s="373" t="s">
        <v>50</v>
      </c>
      <c r="G5" s="373" t="s">
        <v>50</v>
      </c>
    </row>
    <row r="6" spans="1:8" s="408" customFormat="1" ht="12" customHeight="1" thickBot="1" x14ac:dyDescent="0.3">
      <c r="A6" s="367" t="s">
        <v>51</v>
      </c>
      <c r="B6" s="368" t="s">
        <v>52</v>
      </c>
      <c r="C6" s="398">
        <f>SUM(C7:C12)</f>
        <v>0</v>
      </c>
      <c r="D6" s="398">
        <f>SUM(D7:D12)</f>
        <v>0</v>
      </c>
      <c r="E6" s="398">
        <f>SUM(E7:E12)</f>
        <v>0</v>
      </c>
      <c r="F6" s="398">
        <f>SUM(F7:F12)</f>
        <v>0</v>
      </c>
      <c r="G6" s="398">
        <f>SUM(G7:G12)</f>
        <v>0</v>
      </c>
      <c r="H6" s="912">
        <f>G6-F6</f>
        <v>0</v>
      </c>
    </row>
    <row r="7" spans="1:8" s="408" customFormat="1" ht="12" customHeight="1" x14ac:dyDescent="0.25">
      <c r="A7" s="362" t="s">
        <v>53</v>
      </c>
      <c r="B7" s="409" t="s">
        <v>54</v>
      </c>
      <c r="C7" s="400"/>
      <c r="D7" s="400"/>
      <c r="E7" s="400"/>
      <c r="F7" s="400"/>
      <c r="G7" s="400"/>
      <c r="H7" s="912">
        <f t="shared" ref="H7:H70" si="0">G7-F7</f>
        <v>0</v>
      </c>
    </row>
    <row r="8" spans="1:8" s="408" customFormat="1" ht="12" customHeight="1" x14ac:dyDescent="0.25">
      <c r="A8" s="361" t="s">
        <v>55</v>
      </c>
      <c r="B8" s="410" t="s">
        <v>56</v>
      </c>
      <c r="C8" s="399"/>
      <c r="D8" s="399"/>
      <c r="E8" s="399"/>
      <c r="F8" s="399"/>
      <c r="G8" s="399"/>
      <c r="H8" s="912">
        <f t="shared" si="0"/>
        <v>0</v>
      </c>
    </row>
    <row r="9" spans="1:8" s="408" customFormat="1" ht="12" customHeight="1" x14ac:dyDescent="0.25">
      <c r="A9" s="361" t="s">
        <v>57</v>
      </c>
      <c r="B9" s="410" t="s">
        <v>58</v>
      </c>
      <c r="C9" s="399"/>
      <c r="D9" s="399"/>
      <c r="E9" s="399"/>
      <c r="F9" s="399"/>
      <c r="G9" s="399"/>
      <c r="H9" s="912">
        <f t="shared" si="0"/>
        <v>0</v>
      </c>
    </row>
    <row r="10" spans="1:8" s="408" customFormat="1" ht="12" customHeight="1" x14ac:dyDescent="0.25">
      <c r="A10" s="361" t="s">
        <v>59</v>
      </c>
      <c r="B10" s="410" t="s">
        <v>60</v>
      </c>
      <c r="C10" s="399"/>
      <c r="D10" s="399"/>
      <c r="E10" s="399"/>
      <c r="F10" s="399"/>
      <c r="G10" s="399"/>
      <c r="H10" s="912">
        <f t="shared" si="0"/>
        <v>0</v>
      </c>
    </row>
    <row r="11" spans="1:8" s="408" customFormat="1" ht="12" customHeight="1" x14ac:dyDescent="0.25">
      <c r="A11" s="361" t="s">
        <v>61</v>
      </c>
      <c r="B11" s="410" t="s">
        <v>287</v>
      </c>
      <c r="C11" s="399"/>
      <c r="D11" s="399"/>
      <c r="E11" s="399"/>
      <c r="F11" s="399"/>
      <c r="G11" s="399"/>
      <c r="H11" s="912">
        <f t="shared" si="0"/>
        <v>0</v>
      </c>
    </row>
    <row r="12" spans="1:8" s="408" customFormat="1" ht="12" customHeight="1" thickBot="1" x14ac:dyDescent="0.3">
      <c r="A12" s="363" t="s">
        <v>63</v>
      </c>
      <c r="B12" s="411" t="s">
        <v>64</v>
      </c>
      <c r="C12" s="401"/>
      <c r="D12" s="401"/>
      <c r="E12" s="401"/>
      <c r="F12" s="401"/>
      <c r="G12" s="401"/>
      <c r="H12" s="912">
        <f t="shared" si="0"/>
        <v>0</v>
      </c>
    </row>
    <row r="13" spans="1:8" s="408" customFormat="1" ht="12" customHeight="1" thickBot="1" x14ac:dyDescent="0.3">
      <c r="A13" s="367" t="s">
        <v>65</v>
      </c>
      <c r="B13" s="388" t="s">
        <v>66</v>
      </c>
      <c r="C13" s="398">
        <f>SUM(C14:C18)</f>
        <v>0</v>
      </c>
      <c r="D13" s="398">
        <f>SUM(D14:D18)</f>
        <v>0</v>
      </c>
      <c r="E13" s="398">
        <f>SUM(E14:E18)</f>
        <v>0</v>
      </c>
      <c r="F13" s="398">
        <f>SUM(F14:F18)</f>
        <v>4666483</v>
      </c>
      <c r="G13" s="398">
        <f>SUM(G14:G18)</f>
        <v>4761011</v>
      </c>
      <c r="H13" s="912">
        <f t="shared" si="0"/>
        <v>94528</v>
      </c>
    </row>
    <row r="14" spans="1:8" s="408" customFormat="1" ht="12" customHeight="1" x14ac:dyDescent="0.25">
      <c r="A14" s="362" t="s">
        <v>67</v>
      </c>
      <c r="B14" s="409" t="s">
        <v>68</v>
      </c>
      <c r="C14" s="400"/>
      <c r="D14" s="400"/>
      <c r="E14" s="400"/>
      <c r="F14" s="400"/>
      <c r="G14" s="400"/>
      <c r="H14" s="912">
        <f t="shared" si="0"/>
        <v>0</v>
      </c>
    </row>
    <row r="15" spans="1:8" s="408" customFormat="1" ht="12" customHeight="1" x14ac:dyDescent="0.25">
      <c r="A15" s="361" t="s">
        <v>69</v>
      </c>
      <c r="B15" s="410" t="s">
        <v>70</v>
      </c>
      <c r="C15" s="399"/>
      <c r="D15" s="399"/>
      <c r="E15" s="399"/>
      <c r="F15" s="399"/>
      <c r="G15" s="399"/>
      <c r="H15" s="912">
        <f t="shared" si="0"/>
        <v>0</v>
      </c>
    </row>
    <row r="16" spans="1:8" s="408" customFormat="1" ht="12" customHeight="1" x14ac:dyDescent="0.25">
      <c r="A16" s="361" t="s">
        <v>71</v>
      </c>
      <c r="B16" s="410" t="s">
        <v>72</v>
      </c>
      <c r="C16" s="399"/>
      <c r="D16" s="399"/>
      <c r="E16" s="399"/>
      <c r="F16" s="399"/>
      <c r="G16" s="399"/>
      <c r="H16" s="912">
        <f t="shared" si="0"/>
        <v>0</v>
      </c>
    </row>
    <row r="17" spans="1:8" s="408" customFormat="1" ht="12" customHeight="1" x14ac:dyDescent="0.25">
      <c r="A17" s="361" t="s">
        <v>73</v>
      </c>
      <c r="B17" s="410" t="s">
        <v>74</v>
      </c>
      <c r="C17" s="399"/>
      <c r="D17" s="399"/>
      <c r="E17" s="399"/>
      <c r="F17" s="399"/>
      <c r="G17" s="399"/>
      <c r="H17" s="912">
        <f t="shared" si="0"/>
        <v>0</v>
      </c>
    </row>
    <row r="18" spans="1:8" s="408" customFormat="1" ht="12" customHeight="1" x14ac:dyDescent="0.25">
      <c r="A18" s="361" t="s">
        <v>75</v>
      </c>
      <c r="B18" s="410" t="s">
        <v>76</v>
      </c>
      <c r="C18" s="399"/>
      <c r="D18" s="399"/>
      <c r="E18" s="399"/>
      <c r="F18" s="399">
        <f>1987206+2679277</f>
        <v>4666483</v>
      </c>
      <c r="G18" s="399">
        <v>4761011</v>
      </c>
      <c r="H18" s="912">
        <f t="shared" si="0"/>
        <v>94528</v>
      </c>
    </row>
    <row r="19" spans="1:8" s="408" customFormat="1" ht="12" customHeight="1" thickBot="1" x14ac:dyDescent="0.3">
      <c r="A19" s="363" t="s">
        <v>77</v>
      </c>
      <c r="B19" s="411" t="s">
        <v>78</v>
      </c>
      <c r="C19" s="401"/>
      <c r="D19" s="401"/>
      <c r="E19" s="401"/>
      <c r="F19" s="401"/>
      <c r="G19" s="401"/>
      <c r="H19" s="912">
        <f t="shared" si="0"/>
        <v>0</v>
      </c>
    </row>
    <row r="20" spans="1:8" s="408" customFormat="1" ht="12" customHeight="1" thickBot="1" x14ac:dyDescent="0.3">
      <c r="A20" s="367" t="s">
        <v>79</v>
      </c>
      <c r="B20" s="368" t="s">
        <v>80</v>
      </c>
      <c r="C20" s="398">
        <f>SUM(C21:C25)</f>
        <v>0</v>
      </c>
      <c r="D20" s="398">
        <f>SUM(D21:D25)</f>
        <v>0</v>
      </c>
      <c r="E20" s="398">
        <f>SUM(E21:E25)</f>
        <v>0</v>
      </c>
      <c r="F20" s="398">
        <f>SUM(F21:F25)</f>
        <v>0</v>
      </c>
      <c r="G20" s="398">
        <f>SUM(G21:G25)</f>
        <v>0</v>
      </c>
      <c r="H20" s="912">
        <f t="shared" si="0"/>
        <v>0</v>
      </c>
    </row>
    <row r="21" spans="1:8" s="408" customFormat="1" ht="12" customHeight="1" x14ac:dyDescent="0.25">
      <c r="A21" s="362" t="s">
        <v>81</v>
      </c>
      <c r="B21" s="409" t="s">
        <v>82</v>
      </c>
      <c r="C21" s="400"/>
      <c r="D21" s="400"/>
      <c r="E21" s="400"/>
      <c r="F21" s="400"/>
      <c r="G21" s="400"/>
      <c r="H21" s="912">
        <f t="shared" si="0"/>
        <v>0</v>
      </c>
    </row>
    <row r="22" spans="1:8" s="408" customFormat="1" ht="12" customHeight="1" x14ac:dyDescent="0.25">
      <c r="A22" s="361" t="s">
        <v>83</v>
      </c>
      <c r="B22" s="410" t="s">
        <v>84</v>
      </c>
      <c r="C22" s="399"/>
      <c r="D22" s="399"/>
      <c r="E22" s="399"/>
      <c r="F22" s="399"/>
      <c r="G22" s="399"/>
      <c r="H22" s="912">
        <f t="shared" si="0"/>
        <v>0</v>
      </c>
    </row>
    <row r="23" spans="1:8" s="408" customFormat="1" ht="12" customHeight="1" x14ac:dyDescent="0.25">
      <c r="A23" s="361" t="s">
        <v>85</v>
      </c>
      <c r="B23" s="410" t="s">
        <v>86</v>
      </c>
      <c r="C23" s="399"/>
      <c r="D23" s="399"/>
      <c r="E23" s="399"/>
      <c r="F23" s="399"/>
      <c r="G23" s="399"/>
      <c r="H23" s="912">
        <f t="shared" si="0"/>
        <v>0</v>
      </c>
    </row>
    <row r="24" spans="1:8" s="408" customFormat="1" ht="12" customHeight="1" x14ac:dyDescent="0.25">
      <c r="A24" s="361" t="s">
        <v>87</v>
      </c>
      <c r="B24" s="410" t="s">
        <v>88</v>
      </c>
      <c r="C24" s="399"/>
      <c r="D24" s="399"/>
      <c r="E24" s="399"/>
      <c r="F24" s="399"/>
      <c r="G24" s="399"/>
      <c r="H24" s="912">
        <f t="shared" si="0"/>
        <v>0</v>
      </c>
    </row>
    <row r="25" spans="1:8" s="408" customFormat="1" ht="12" customHeight="1" x14ac:dyDescent="0.25">
      <c r="A25" s="361" t="s">
        <v>89</v>
      </c>
      <c r="B25" s="410" t="s">
        <v>90</v>
      </c>
      <c r="C25" s="399"/>
      <c r="D25" s="399"/>
      <c r="E25" s="399"/>
      <c r="F25" s="399"/>
      <c r="G25" s="399"/>
      <c r="H25" s="912">
        <f t="shared" si="0"/>
        <v>0</v>
      </c>
    </row>
    <row r="26" spans="1:8" s="408" customFormat="1" ht="12" customHeight="1" thickBot="1" x14ac:dyDescent="0.3">
      <c r="A26" s="363" t="s">
        <v>91</v>
      </c>
      <c r="B26" s="411" t="s">
        <v>92</v>
      </c>
      <c r="C26" s="401"/>
      <c r="D26" s="401"/>
      <c r="E26" s="401"/>
      <c r="F26" s="401"/>
      <c r="G26" s="401"/>
      <c r="H26" s="912">
        <f t="shared" si="0"/>
        <v>0</v>
      </c>
    </row>
    <row r="27" spans="1:8" s="408" customFormat="1" ht="12" customHeight="1" thickBot="1" x14ac:dyDescent="0.3">
      <c r="A27" s="367" t="s">
        <v>93</v>
      </c>
      <c r="B27" s="368" t="s">
        <v>94</v>
      </c>
      <c r="C27" s="404">
        <f>+C28+C31+C32+C33</f>
        <v>0</v>
      </c>
      <c r="D27" s="404">
        <f>+D28+D31+D32+D33</f>
        <v>0</v>
      </c>
      <c r="E27" s="404">
        <f>+E28+E31+E32+E33</f>
        <v>0</v>
      </c>
      <c r="F27" s="404">
        <f>+F28+F31+F32+F33</f>
        <v>0</v>
      </c>
      <c r="G27" s="404">
        <f>+G28+G31+G32+G33</f>
        <v>0</v>
      </c>
      <c r="H27" s="912">
        <f t="shared" si="0"/>
        <v>0</v>
      </c>
    </row>
    <row r="28" spans="1:8" s="408" customFormat="1" ht="12" customHeight="1" x14ac:dyDescent="0.25">
      <c r="A28" s="362" t="s">
        <v>95</v>
      </c>
      <c r="B28" s="409" t="s">
        <v>96</v>
      </c>
      <c r="C28" s="419">
        <f>+C29+C30</f>
        <v>0</v>
      </c>
      <c r="D28" s="419">
        <f>+D29+D30</f>
        <v>0</v>
      </c>
      <c r="E28" s="419">
        <f>+E29+E30</f>
        <v>0</v>
      </c>
      <c r="F28" s="419">
        <f>+F29+F30</f>
        <v>0</v>
      </c>
      <c r="G28" s="419">
        <f>+G29+G30</f>
        <v>0</v>
      </c>
      <c r="H28" s="912">
        <f t="shared" si="0"/>
        <v>0</v>
      </c>
    </row>
    <row r="29" spans="1:8" s="408" customFormat="1" ht="12" customHeight="1" x14ac:dyDescent="0.25">
      <c r="A29" s="361" t="s">
        <v>97</v>
      </c>
      <c r="B29" s="410" t="s">
        <v>98</v>
      </c>
      <c r="C29" s="399"/>
      <c r="D29" s="399"/>
      <c r="E29" s="399"/>
      <c r="F29" s="399"/>
      <c r="G29" s="399"/>
      <c r="H29" s="912">
        <f t="shared" si="0"/>
        <v>0</v>
      </c>
    </row>
    <row r="30" spans="1:8" s="408" customFormat="1" ht="12" customHeight="1" x14ac:dyDescent="0.25">
      <c r="A30" s="361" t="s">
        <v>99</v>
      </c>
      <c r="B30" s="410" t="s">
        <v>100</v>
      </c>
      <c r="C30" s="399"/>
      <c r="D30" s="399"/>
      <c r="E30" s="399"/>
      <c r="F30" s="399"/>
      <c r="G30" s="399"/>
      <c r="H30" s="912">
        <f t="shared" si="0"/>
        <v>0</v>
      </c>
    </row>
    <row r="31" spans="1:8" s="408" customFormat="1" ht="12" customHeight="1" x14ac:dyDescent="0.25">
      <c r="A31" s="361" t="s">
        <v>101</v>
      </c>
      <c r="B31" s="410" t="s">
        <v>102</v>
      </c>
      <c r="C31" s="399"/>
      <c r="D31" s="399"/>
      <c r="E31" s="399"/>
      <c r="F31" s="399"/>
      <c r="G31" s="399"/>
      <c r="H31" s="912">
        <f t="shared" si="0"/>
        <v>0</v>
      </c>
    </row>
    <row r="32" spans="1:8" s="408" customFormat="1" ht="12" customHeight="1" x14ac:dyDescent="0.25">
      <c r="A32" s="361" t="s">
        <v>103</v>
      </c>
      <c r="B32" s="410" t="s">
        <v>104</v>
      </c>
      <c r="C32" s="399"/>
      <c r="D32" s="399"/>
      <c r="E32" s="399"/>
      <c r="F32" s="399"/>
      <c r="G32" s="399"/>
      <c r="H32" s="912">
        <f t="shared" si="0"/>
        <v>0</v>
      </c>
    </row>
    <row r="33" spans="1:8" s="408" customFormat="1" ht="12" customHeight="1" thickBot="1" x14ac:dyDescent="0.3">
      <c r="A33" s="363" t="s">
        <v>105</v>
      </c>
      <c r="B33" s="411" t="s">
        <v>106</v>
      </c>
      <c r="C33" s="401"/>
      <c r="D33" s="401"/>
      <c r="E33" s="401"/>
      <c r="F33" s="401"/>
      <c r="G33" s="401"/>
      <c r="H33" s="912">
        <f t="shared" si="0"/>
        <v>0</v>
      </c>
    </row>
    <row r="34" spans="1:8" s="408" customFormat="1" ht="12" customHeight="1" thickBot="1" x14ac:dyDescent="0.3">
      <c r="A34" s="367" t="s">
        <v>107</v>
      </c>
      <c r="B34" s="368" t="s">
        <v>108</v>
      </c>
      <c r="C34" s="398">
        <f>SUM(C35:C44)</f>
        <v>1143000</v>
      </c>
      <c r="D34" s="398">
        <f>SUM(D35:D44)</f>
        <v>1143000</v>
      </c>
      <c r="E34" s="398">
        <f>SUM(E35:E44)</f>
        <v>1143000</v>
      </c>
      <c r="F34" s="398">
        <f>SUM(F35:F44)</f>
        <v>1143000</v>
      </c>
      <c r="G34" s="398">
        <f>SUM(G35:G44)</f>
        <v>1048472</v>
      </c>
      <c r="H34" s="912">
        <f t="shared" si="0"/>
        <v>-94528</v>
      </c>
    </row>
    <row r="35" spans="1:8" s="408" customFormat="1" ht="12" customHeight="1" x14ac:dyDescent="0.25">
      <c r="A35" s="362" t="s">
        <v>109</v>
      </c>
      <c r="B35" s="409" t="s">
        <v>110</v>
      </c>
      <c r="C35" s="400"/>
      <c r="D35" s="400"/>
      <c r="E35" s="400"/>
      <c r="F35" s="400"/>
      <c r="G35" s="400"/>
      <c r="H35" s="912">
        <f t="shared" si="0"/>
        <v>0</v>
      </c>
    </row>
    <row r="36" spans="1:8" s="408" customFormat="1" ht="12" customHeight="1" x14ac:dyDescent="0.25">
      <c r="A36" s="361" t="s">
        <v>111</v>
      </c>
      <c r="B36" s="410" t="s">
        <v>112</v>
      </c>
      <c r="C36" s="399"/>
      <c r="D36" s="399"/>
      <c r="E36" s="399"/>
      <c r="F36" s="399"/>
      <c r="G36" s="399">
        <v>588638</v>
      </c>
      <c r="H36" s="912">
        <f t="shared" si="0"/>
        <v>588638</v>
      </c>
    </row>
    <row r="37" spans="1:8" s="408" customFormat="1" ht="12" customHeight="1" x14ac:dyDescent="0.25">
      <c r="A37" s="361" t="s">
        <v>113</v>
      </c>
      <c r="B37" s="410" t="s">
        <v>114</v>
      </c>
      <c r="C37" s="399">
        <v>900000</v>
      </c>
      <c r="D37" s="399">
        <v>900000</v>
      </c>
      <c r="E37" s="399">
        <v>900000</v>
      </c>
      <c r="F37" s="399">
        <v>900000</v>
      </c>
      <c r="G37" s="399">
        <v>184834</v>
      </c>
      <c r="H37" s="912">
        <f t="shared" si="0"/>
        <v>-715166</v>
      </c>
    </row>
    <row r="38" spans="1:8" s="408" customFormat="1" ht="12" customHeight="1" x14ac:dyDescent="0.25">
      <c r="A38" s="361" t="s">
        <v>115</v>
      </c>
      <c r="B38" s="410" t="s">
        <v>116</v>
      </c>
      <c r="C38" s="399"/>
      <c r="D38" s="399"/>
      <c r="E38" s="399"/>
      <c r="F38" s="399"/>
      <c r="G38" s="399"/>
      <c r="H38" s="912">
        <f t="shared" si="0"/>
        <v>0</v>
      </c>
    </row>
    <row r="39" spans="1:8" s="408" customFormat="1" ht="12" customHeight="1" x14ac:dyDescent="0.25">
      <c r="A39" s="361" t="s">
        <v>117</v>
      </c>
      <c r="B39" s="410" t="s">
        <v>118</v>
      </c>
      <c r="C39" s="399"/>
      <c r="D39" s="399"/>
      <c r="E39" s="399"/>
      <c r="F39" s="399"/>
      <c r="G39" s="399"/>
      <c r="H39" s="912">
        <f t="shared" si="0"/>
        <v>0</v>
      </c>
    </row>
    <row r="40" spans="1:8" s="408" customFormat="1" ht="12" customHeight="1" x14ac:dyDescent="0.25">
      <c r="A40" s="361" t="s">
        <v>119</v>
      </c>
      <c r="B40" s="410" t="s">
        <v>120</v>
      </c>
      <c r="C40" s="399">
        <v>243000</v>
      </c>
      <c r="D40" s="399">
        <v>243000</v>
      </c>
      <c r="E40" s="399">
        <v>243000</v>
      </c>
      <c r="F40" s="399">
        <v>243000</v>
      </c>
      <c r="G40" s="399">
        <v>243000</v>
      </c>
      <c r="H40" s="912">
        <f t="shared" si="0"/>
        <v>0</v>
      </c>
    </row>
    <row r="41" spans="1:8" s="408" customFormat="1" ht="12" customHeight="1" x14ac:dyDescent="0.25">
      <c r="A41" s="361" t="s">
        <v>121</v>
      </c>
      <c r="B41" s="410" t="s">
        <v>122</v>
      </c>
      <c r="C41" s="399"/>
      <c r="D41" s="399"/>
      <c r="E41" s="399"/>
      <c r="F41" s="399"/>
      <c r="G41" s="399"/>
      <c r="H41" s="912">
        <f t="shared" si="0"/>
        <v>0</v>
      </c>
    </row>
    <row r="42" spans="1:8" s="408" customFormat="1" ht="12" customHeight="1" x14ac:dyDescent="0.25">
      <c r="A42" s="361" t="s">
        <v>123</v>
      </c>
      <c r="B42" s="410" t="s">
        <v>124</v>
      </c>
      <c r="C42" s="399"/>
      <c r="D42" s="399"/>
      <c r="E42" s="399"/>
      <c r="F42" s="399"/>
      <c r="G42" s="399">
        <v>1000</v>
      </c>
      <c r="H42" s="912">
        <f t="shared" si="0"/>
        <v>1000</v>
      </c>
    </row>
    <row r="43" spans="1:8" s="408" customFormat="1" ht="12" customHeight="1" x14ac:dyDescent="0.25">
      <c r="A43" s="361" t="s">
        <v>125</v>
      </c>
      <c r="B43" s="410" t="s">
        <v>126</v>
      </c>
      <c r="C43" s="402"/>
      <c r="D43" s="402"/>
      <c r="E43" s="402"/>
      <c r="F43" s="402"/>
      <c r="G43" s="402"/>
      <c r="H43" s="912">
        <f t="shared" si="0"/>
        <v>0</v>
      </c>
    </row>
    <row r="44" spans="1:8" s="408" customFormat="1" ht="12" customHeight="1" thickBot="1" x14ac:dyDescent="0.3">
      <c r="A44" s="363" t="s">
        <v>127</v>
      </c>
      <c r="B44" s="411" t="s">
        <v>128</v>
      </c>
      <c r="C44" s="403"/>
      <c r="D44" s="403"/>
      <c r="E44" s="403"/>
      <c r="F44" s="403"/>
      <c r="G44" s="403">
        <v>31000</v>
      </c>
      <c r="H44" s="912">
        <f t="shared" si="0"/>
        <v>31000</v>
      </c>
    </row>
    <row r="45" spans="1:8" s="408" customFormat="1" ht="12" customHeight="1" thickBot="1" x14ac:dyDescent="0.3">
      <c r="A45" s="367" t="s">
        <v>129</v>
      </c>
      <c r="B45" s="368" t="s">
        <v>130</v>
      </c>
      <c r="C45" s="398">
        <f>SUM(C46:C50)</f>
        <v>0</v>
      </c>
      <c r="D45" s="398">
        <f>SUM(D46:D50)</f>
        <v>0</v>
      </c>
      <c r="E45" s="398">
        <f>SUM(E46:E50)</f>
        <v>0</v>
      </c>
      <c r="F45" s="398">
        <f>SUM(F46:F50)</f>
        <v>0</v>
      </c>
      <c r="G45" s="398">
        <f>SUM(G46:G50)</f>
        <v>0</v>
      </c>
      <c r="H45" s="912">
        <f t="shared" si="0"/>
        <v>0</v>
      </c>
    </row>
    <row r="46" spans="1:8" s="408" customFormat="1" ht="12" customHeight="1" x14ac:dyDescent="0.25">
      <c r="A46" s="362" t="s">
        <v>131</v>
      </c>
      <c r="B46" s="409" t="s">
        <v>132</v>
      </c>
      <c r="C46" s="421"/>
      <c r="D46" s="421"/>
      <c r="E46" s="421"/>
      <c r="F46" s="421"/>
      <c r="G46" s="421"/>
      <c r="H46" s="912">
        <f t="shared" si="0"/>
        <v>0</v>
      </c>
    </row>
    <row r="47" spans="1:8" s="408" customFormat="1" ht="12" customHeight="1" x14ac:dyDescent="0.25">
      <c r="A47" s="361" t="s">
        <v>133</v>
      </c>
      <c r="B47" s="410" t="s">
        <v>134</v>
      </c>
      <c r="C47" s="402"/>
      <c r="D47" s="402"/>
      <c r="E47" s="402"/>
      <c r="F47" s="402"/>
      <c r="G47" s="402"/>
      <c r="H47" s="912">
        <f t="shared" si="0"/>
        <v>0</v>
      </c>
    </row>
    <row r="48" spans="1:8" s="408" customFormat="1" ht="12" customHeight="1" x14ac:dyDescent="0.25">
      <c r="A48" s="361" t="s">
        <v>135</v>
      </c>
      <c r="B48" s="410" t="s">
        <v>136</v>
      </c>
      <c r="C48" s="402"/>
      <c r="D48" s="402"/>
      <c r="E48" s="402"/>
      <c r="F48" s="402"/>
      <c r="G48" s="402"/>
      <c r="H48" s="912">
        <f t="shared" si="0"/>
        <v>0</v>
      </c>
    </row>
    <row r="49" spans="1:8" s="408" customFormat="1" ht="12" customHeight="1" x14ac:dyDescent="0.25">
      <c r="A49" s="361" t="s">
        <v>137</v>
      </c>
      <c r="B49" s="410" t="s">
        <v>138</v>
      </c>
      <c r="C49" s="402"/>
      <c r="D49" s="402"/>
      <c r="E49" s="402"/>
      <c r="F49" s="402"/>
      <c r="G49" s="402"/>
      <c r="H49" s="912">
        <f t="shared" si="0"/>
        <v>0</v>
      </c>
    </row>
    <row r="50" spans="1:8" s="408" customFormat="1" ht="12" customHeight="1" thickBot="1" x14ac:dyDescent="0.3">
      <c r="A50" s="363" t="s">
        <v>139</v>
      </c>
      <c r="B50" s="411" t="s">
        <v>140</v>
      </c>
      <c r="C50" s="403"/>
      <c r="D50" s="403"/>
      <c r="E50" s="403"/>
      <c r="F50" s="403"/>
      <c r="G50" s="403"/>
      <c r="H50" s="912">
        <f t="shared" si="0"/>
        <v>0</v>
      </c>
    </row>
    <row r="51" spans="1:8" s="408" customFormat="1" ht="17.25" customHeight="1" thickBot="1" x14ac:dyDescent="0.3">
      <c r="A51" s="367" t="s">
        <v>141</v>
      </c>
      <c r="B51" s="368" t="s">
        <v>142</v>
      </c>
      <c r="C51" s="398">
        <f>SUM(C52:C54)</f>
        <v>0</v>
      </c>
      <c r="D51" s="398">
        <f>SUM(D52:D54)</f>
        <v>0</v>
      </c>
      <c r="E51" s="398">
        <f>SUM(E52:E54)</f>
        <v>0</v>
      </c>
      <c r="F51" s="398">
        <f>SUM(F52:F54)</f>
        <v>0</v>
      </c>
      <c r="G51" s="398">
        <f>SUM(G52:G54)</f>
        <v>0</v>
      </c>
      <c r="H51" s="912">
        <f t="shared" si="0"/>
        <v>0</v>
      </c>
    </row>
    <row r="52" spans="1:8" s="408" customFormat="1" ht="12" customHeight="1" x14ac:dyDescent="0.25">
      <c r="A52" s="362" t="s">
        <v>143</v>
      </c>
      <c r="B52" s="409" t="s">
        <v>144</v>
      </c>
      <c r="C52" s="400"/>
      <c r="D52" s="400"/>
      <c r="E52" s="400"/>
      <c r="F52" s="400"/>
      <c r="G52" s="400"/>
      <c r="H52" s="912">
        <f t="shared" si="0"/>
        <v>0</v>
      </c>
    </row>
    <row r="53" spans="1:8" s="408" customFormat="1" ht="12" customHeight="1" x14ac:dyDescent="0.25">
      <c r="A53" s="361" t="s">
        <v>145</v>
      </c>
      <c r="B53" s="410" t="s">
        <v>146</v>
      </c>
      <c r="C53" s="399"/>
      <c r="D53" s="399"/>
      <c r="E53" s="399"/>
      <c r="F53" s="399"/>
      <c r="G53" s="399"/>
      <c r="H53" s="912">
        <f t="shared" si="0"/>
        <v>0</v>
      </c>
    </row>
    <row r="54" spans="1:8" s="408" customFormat="1" ht="12" customHeight="1" x14ac:dyDescent="0.25">
      <c r="A54" s="361" t="s">
        <v>147</v>
      </c>
      <c r="B54" s="410" t="s">
        <v>148</v>
      </c>
      <c r="C54" s="399"/>
      <c r="D54" s="399"/>
      <c r="E54" s="399"/>
      <c r="F54" s="399"/>
      <c r="G54" s="399"/>
      <c r="H54" s="912">
        <f t="shared" si="0"/>
        <v>0</v>
      </c>
    </row>
    <row r="55" spans="1:8" s="408" customFormat="1" ht="12" customHeight="1" thickBot="1" x14ac:dyDescent="0.3">
      <c r="A55" s="363" t="s">
        <v>149</v>
      </c>
      <c r="B55" s="411" t="s">
        <v>150</v>
      </c>
      <c r="C55" s="401"/>
      <c r="D55" s="401"/>
      <c r="E55" s="401"/>
      <c r="F55" s="401"/>
      <c r="G55" s="401"/>
      <c r="H55" s="912">
        <f t="shared" si="0"/>
        <v>0</v>
      </c>
    </row>
    <row r="56" spans="1:8" s="408" customFormat="1" ht="12" customHeight="1" thickBot="1" x14ac:dyDescent="0.3">
      <c r="A56" s="367" t="s">
        <v>151</v>
      </c>
      <c r="B56" s="388" t="s">
        <v>152</v>
      </c>
      <c r="C56" s="398">
        <f>SUM(C57:C59)</f>
        <v>0</v>
      </c>
      <c r="D56" s="398">
        <f>SUM(D57:D59)</f>
        <v>0</v>
      </c>
      <c r="E56" s="398">
        <f>SUM(E57:E59)</f>
        <v>0</v>
      </c>
      <c r="F56" s="398">
        <f>SUM(F57:F59)</f>
        <v>0</v>
      </c>
      <c r="G56" s="398">
        <f>SUM(G57:G59)</f>
        <v>0</v>
      </c>
      <c r="H56" s="912">
        <f t="shared" si="0"/>
        <v>0</v>
      </c>
    </row>
    <row r="57" spans="1:8" s="408" customFormat="1" ht="12" customHeight="1" x14ac:dyDescent="0.25">
      <c r="A57" s="362" t="s">
        <v>153</v>
      </c>
      <c r="B57" s="409" t="s">
        <v>154</v>
      </c>
      <c r="C57" s="402"/>
      <c r="D57" s="402"/>
      <c r="E57" s="402"/>
      <c r="F57" s="402"/>
      <c r="G57" s="402"/>
      <c r="H57" s="912">
        <f t="shared" si="0"/>
        <v>0</v>
      </c>
    </row>
    <row r="58" spans="1:8" s="408" customFormat="1" ht="12" customHeight="1" x14ac:dyDescent="0.25">
      <c r="A58" s="361" t="s">
        <v>155</v>
      </c>
      <c r="B58" s="410" t="s">
        <v>156</v>
      </c>
      <c r="C58" s="402"/>
      <c r="D58" s="402"/>
      <c r="E58" s="402"/>
      <c r="F58" s="402"/>
      <c r="G58" s="402"/>
      <c r="H58" s="912">
        <f t="shared" si="0"/>
        <v>0</v>
      </c>
    </row>
    <row r="59" spans="1:8" s="408" customFormat="1" ht="12" customHeight="1" x14ac:dyDescent="0.25">
      <c r="A59" s="361" t="s">
        <v>157</v>
      </c>
      <c r="B59" s="410" t="s">
        <v>158</v>
      </c>
      <c r="C59" s="402"/>
      <c r="D59" s="402"/>
      <c r="E59" s="402"/>
      <c r="F59" s="402"/>
      <c r="G59" s="402"/>
      <c r="H59" s="912">
        <f t="shared" si="0"/>
        <v>0</v>
      </c>
    </row>
    <row r="60" spans="1:8" s="408" customFormat="1" ht="12" customHeight="1" thickBot="1" x14ac:dyDescent="0.3">
      <c r="A60" s="363" t="s">
        <v>159</v>
      </c>
      <c r="B60" s="411" t="s">
        <v>160</v>
      </c>
      <c r="C60" s="402"/>
      <c r="D60" s="402"/>
      <c r="E60" s="402"/>
      <c r="F60" s="402"/>
      <c r="G60" s="402"/>
      <c r="H60" s="912">
        <f t="shared" si="0"/>
        <v>0</v>
      </c>
    </row>
    <row r="61" spans="1:8" s="408" customFormat="1" ht="12" customHeight="1" thickBot="1" x14ac:dyDescent="0.3">
      <c r="A61" s="367" t="s">
        <v>161</v>
      </c>
      <c r="B61" s="368" t="s">
        <v>162</v>
      </c>
      <c r="C61" s="404">
        <f>+C6+C13+C20+C27+C34+C45+C51+C56</f>
        <v>1143000</v>
      </c>
      <c r="D61" s="404">
        <f>+D6+D13+D20+D27+D34+D45+D51+D56</f>
        <v>1143000</v>
      </c>
      <c r="E61" s="404">
        <f>+E6+E13+E20+E27+E34+E45+E51+E56</f>
        <v>1143000</v>
      </c>
      <c r="F61" s="404">
        <f>+F6+F13+F20+F27+F34+F45+F51+F56</f>
        <v>5809483</v>
      </c>
      <c r="G61" s="404">
        <f>+G6+G13+G20+G27+G34+G45+G51+G56</f>
        <v>5809483</v>
      </c>
      <c r="H61" s="912">
        <f t="shared" si="0"/>
        <v>0</v>
      </c>
    </row>
    <row r="62" spans="1:8" s="408" customFormat="1" ht="12" customHeight="1" thickBot="1" x14ac:dyDescent="0.3">
      <c r="A62" s="422" t="s">
        <v>163</v>
      </c>
      <c r="B62" s="388" t="s">
        <v>164</v>
      </c>
      <c r="C62" s="398">
        <f>+C63+C64+C65</f>
        <v>0</v>
      </c>
      <c r="D62" s="398">
        <f>+D63+D64+D65</f>
        <v>0</v>
      </c>
      <c r="E62" s="398">
        <f>+E63+E64+E65</f>
        <v>0</v>
      </c>
      <c r="F62" s="398">
        <f>+F63+F64+F65</f>
        <v>0</v>
      </c>
      <c r="G62" s="398">
        <f>+G63+G64+G65</f>
        <v>0</v>
      </c>
      <c r="H62" s="912">
        <f t="shared" si="0"/>
        <v>0</v>
      </c>
    </row>
    <row r="63" spans="1:8" s="408" customFormat="1" ht="12" customHeight="1" x14ac:dyDescent="0.25">
      <c r="A63" s="362" t="s">
        <v>165</v>
      </c>
      <c r="B63" s="409" t="s">
        <v>166</v>
      </c>
      <c r="C63" s="402"/>
      <c r="D63" s="402"/>
      <c r="E63" s="402"/>
      <c r="F63" s="402"/>
      <c r="G63" s="402"/>
      <c r="H63" s="912">
        <f t="shared" si="0"/>
        <v>0</v>
      </c>
    </row>
    <row r="64" spans="1:8" s="408" customFormat="1" ht="12" customHeight="1" x14ac:dyDescent="0.25">
      <c r="A64" s="361" t="s">
        <v>167</v>
      </c>
      <c r="B64" s="410" t="s">
        <v>168</v>
      </c>
      <c r="C64" s="402"/>
      <c r="D64" s="402"/>
      <c r="E64" s="402"/>
      <c r="F64" s="402"/>
      <c r="G64" s="402"/>
      <c r="H64" s="912">
        <f t="shared" si="0"/>
        <v>0</v>
      </c>
    </row>
    <row r="65" spans="1:8" s="408" customFormat="1" ht="12" customHeight="1" thickBot="1" x14ac:dyDescent="0.3">
      <c r="A65" s="363" t="s">
        <v>169</v>
      </c>
      <c r="B65" s="347" t="s">
        <v>170</v>
      </c>
      <c r="C65" s="402"/>
      <c r="D65" s="402"/>
      <c r="E65" s="402"/>
      <c r="F65" s="402"/>
      <c r="G65" s="402"/>
      <c r="H65" s="912">
        <f t="shared" si="0"/>
        <v>0</v>
      </c>
    </row>
    <row r="66" spans="1:8" s="408" customFormat="1" ht="12" customHeight="1" thickBot="1" x14ac:dyDescent="0.3">
      <c r="A66" s="422" t="s">
        <v>171</v>
      </c>
      <c r="B66" s="388" t="s">
        <v>172</v>
      </c>
      <c r="C66" s="398">
        <f>+C67+C68+C69+C70</f>
        <v>0</v>
      </c>
      <c r="D66" s="398">
        <f>+D67+D68+D69+D70</f>
        <v>0</v>
      </c>
      <c r="E66" s="398">
        <f>+E67+E68+E69+E70</f>
        <v>0</v>
      </c>
      <c r="F66" s="398">
        <f>+F67+F68+F69+F70</f>
        <v>0</v>
      </c>
      <c r="G66" s="398">
        <f>+G67+G68+G69+G70</f>
        <v>0</v>
      </c>
      <c r="H66" s="912">
        <f t="shared" si="0"/>
        <v>0</v>
      </c>
    </row>
    <row r="67" spans="1:8" s="408" customFormat="1" ht="13.5" customHeight="1" x14ac:dyDescent="0.25">
      <c r="A67" s="362" t="s">
        <v>173</v>
      </c>
      <c r="B67" s="409" t="s">
        <v>174</v>
      </c>
      <c r="C67" s="402"/>
      <c r="D67" s="402"/>
      <c r="E67" s="402"/>
      <c r="F67" s="402"/>
      <c r="G67" s="402"/>
      <c r="H67" s="912">
        <f t="shared" si="0"/>
        <v>0</v>
      </c>
    </row>
    <row r="68" spans="1:8" s="408" customFormat="1" ht="12" customHeight="1" x14ac:dyDescent="0.25">
      <c r="A68" s="361" t="s">
        <v>175</v>
      </c>
      <c r="B68" s="410" t="s">
        <v>176</v>
      </c>
      <c r="C68" s="402"/>
      <c r="D68" s="402"/>
      <c r="E68" s="402"/>
      <c r="F68" s="402"/>
      <c r="G68" s="402"/>
      <c r="H68" s="912">
        <f t="shared" si="0"/>
        <v>0</v>
      </c>
    </row>
    <row r="69" spans="1:8" s="408" customFormat="1" ht="12" customHeight="1" x14ac:dyDescent="0.25">
      <c r="A69" s="361" t="s">
        <v>177</v>
      </c>
      <c r="B69" s="410" t="s">
        <v>178</v>
      </c>
      <c r="C69" s="402"/>
      <c r="D69" s="402"/>
      <c r="E69" s="402"/>
      <c r="F69" s="402"/>
      <c r="G69" s="402"/>
      <c r="H69" s="912">
        <f t="shared" si="0"/>
        <v>0</v>
      </c>
    </row>
    <row r="70" spans="1:8" s="408" customFormat="1" ht="12" customHeight="1" thickBot="1" x14ac:dyDescent="0.3">
      <c r="A70" s="363" t="s">
        <v>179</v>
      </c>
      <c r="B70" s="411" t="s">
        <v>180</v>
      </c>
      <c r="C70" s="402"/>
      <c r="D70" s="402"/>
      <c r="E70" s="402"/>
      <c r="F70" s="402"/>
      <c r="G70" s="402"/>
      <c r="H70" s="912">
        <f t="shared" si="0"/>
        <v>0</v>
      </c>
    </row>
    <row r="71" spans="1:8" s="408" customFormat="1" ht="12" customHeight="1" thickBot="1" x14ac:dyDescent="0.3">
      <c r="A71" s="422" t="s">
        <v>181</v>
      </c>
      <c r="B71" s="388" t="s">
        <v>182</v>
      </c>
      <c r="C71" s="398">
        <f>+C72+C73</f>
        <v>0</v>
      </c>
      <c r="D71" s="398">
        <f>+D72+D73</f>
        <v>2110035</v>
      </c>
      <c r="E71" s="398">
        <f>+E72+E73</f>
        <v>2110035</v>
      </c>
      <c r="F71" s="398">
        <f>+F72+F73</f>
        <v>2110035</v>
      </c>
      <c r="G71" s="398">
        <f>+G72+G73</f>
        <v>2110035</v>
      </c>
      <c r="H71" s="912">
        <f t="shared" ref="H71:H134" si="1">G71-F71</f>
        <v>0</v>
      </c>
    </row>
    <row r="72" spans="1:8" s="408" customFormat="1" ht="12" customHeight="1" x14ac:dyDescent="0.25">
      <c r="A72" s="362" t="s">
        <v>183</v>
      </c>
      <c r="B72" s="409" t="s">
        <v>184</v>
      </c>
      <c r="C72" s="402"/>
      <c r="D72" s="402">
        <v>2110035</v>
      </c>
      <c r="E72" s="402">
        <v>2110035</v>
      </c>
      <c r="F72" s="402">
        <v>2110035</v>
      </c>
      <c r="G72" s="402">
        <v>2110035</v>
      </c>
      <c r="H72" s="912">
        <f t="shared" si="1"/>
        <v>0</v>
      </c>
    </row>
    <row r="73" spans="1:8" s="408" customFormat="1" ht="12" customHeight="1" thickBot="1" x14ac:dyDescent="0.3">
      <c r="A73" s="363" t="s">
        <v>185</v>
      </c>
      <c r="B73" s="411" t="s">
        <v>186</v>
      </c>
      <c r="C73" s="402"/>
      <c r="D73" s="402"/>
      <c r="E73" s="402"/>
      <c r="F73" s="402"/>
      <c r="G73" s="402"/>
      <c r="H73" s="912">
        <f t="shared" si="1"/>
        <v>0</v>
      </c>
    </row>
    <row r="74" spans="1:8" s="408" customFormat="1" ht="12" customHeight="1" thickBot="1" x14ac:dyDescent="0.3">
      <c r="A74" s="422" t="s">
        <v>187</v>
      </c>
      <c r="B74" s="388" t="s">
        <v>188</v>
      </c>
      <c r="C74" s="398">
        <f>+C75+C76+C77</f>
        <v>340946119</v>
      </c>
      <c r="D74" s="398">
        <f>+D75+D76+D77</f>
        <v>391476973</v>
      </c>
      <c r="E74" s="398">
        <f>+E75+E76+E77</f>
        <v>368711546</v>
      </c>
      <c r="F74" s="398">
        <f>+F75+F76+F77</f>
        <v>410230058</v>
      </c>
      <c r="G74" s="398">
        <f>+G75+G76+G77</f>
        <v>410230058</v>
      </c>
      <c r="H74" s="912">
        <f t="shared" si="1"/>
        <v>0</v>
      </c>
    </row>
    <row r="75" spans="1:8" s="408" customFormat="1" ht="12" customHeight="1" x14ac:dyDescent="0.25">
      <c r="A75" s="362" t="s">
        <v>189</v>
      </c>
      <c r="B75" s="409" t="s">
        <v>190</v>
      </c>
      <c r="C75" s="402"/>
      <c r="D75" s="402"/>
      <c r="E75" s="402"/>
      <c r="F75" s="402"/>
      <c r="G75" s="402"/>
      <c r="H75" s="912">
        <f t="shared" si="1"/>
        <v>0</v>
      </c>
    </row>
    <row r="76" spans="1:8" s="408" customFormat="1" ht="12" customHeight="1" x14ac:dyDescent="0.25">
      <c r="A76" s="361" t="s">
        <v>191</v>
      </c>
      <c r="B76" s="410" t="s">
        <v>192</v>
      </c>
      <c r="C76" s="402"/>
      <c r="D76" s="402"/>
      <c r="E76" s="402"/>
      <c r="F76" s="402"/>
      <c r="G76" s="402"/>
      <c r="H76" s="912">
        <f t="shared" si="1"/>
        <v>0</v>
      </c>
    </row>
    <row r="77" spans="1:8" s="408" customFormat="1" ht="12" customHeight="1" thickBot="1" x14ac:dyDescent="0.3">
      <c r="A77" s="363" t="s">
        <v>193</v>
      </c>
      <c r="B77" s="390" t="s">
        <v>1794</v>
      </c>
      <c r="C77" s="402">
        <v>340946119</v>
      </c>
      <c r="D77" s="402">
        <f>340946119-2000000+52530854</f>
        <v>391476973</v>
      </c>
      <c r="E77" s="402">
        <f>D77-26265427+3500000</f>
        <v>368711546</v>
      </c>
      <c r="F77" s="402">
        <f>E77+31518512+7000000+3000000</f>
        <v>410230058</v>
      </c>
      <c r="G77" s="402">
        <f>F77</f>
        <v>410230058</v>
      </c>
      <c r="H77" s="912">
        <f t="shared" si="1"/>
        <v>0</v>
      </c>
    </row>
    <row r="78" spans="1:8" s="408" customFormat="1" ht="12" customHeight="1" thickBot="1" x14ac:dyDescent="0.3">
      <c r="A78" s="422" t="s">
        <v>195</v>
      </c>
      <c r="B78" s="388" t="s">
        <v>196</v>
      </c>
      <c r="C78" s="398">
        <f>+C79+C80+C81+C82</f>
        <v>0</v>
      </c>
      <c r="D78" s="398">
        <f>+D79+D80+D81+D82</f>
        <v>0</v>
      </c>
      <c r="E78" s="398">
        <f>+E79+E80+E81+E82</f>
        <v>0</v>
      </c>
      <c r="F78" s="398">
        <f>+F79+F80+F81+F82</f>
        <v>0</v>
      </c>
      <c r="G78" s="398">
        <f>+G79+G80+G81+G82</f>
        <v>0</v>
      </c>
      <c r="H78" s="912">
        <f t="shared" si="1"/>
        <v>0</v>
      </c>
    </row>
    <row r="79" spans="1:8" s="408" customFormat="1" ht="12" customHeight="1" x14ac:dyDescent="0.25">
      <c r="A79" s="412" t="s">
        <v>197</v>
      </c>
      <c r="B79" s="409" t="s">
        <v>198</v>
      </c>
      <c r="C79" s="402"/>
      <c r="D79" s="402"/>
      <c r="E79" s="402"/>
      <c r="F79" s="402"/>
      <c r="G79" s="402"/>
      <c r="H79" s="912">
        <f t="shared" si="1"/>
        <v>0</v>
      </c>
    </row>
    <row r="80" spans="1:8" s="408" customFormat="1" ht="12" customHeight="1" x14ac:dyDescent="0.25">
      <c r="A80" s="413" t="s">
        <v>199</v>
      </c>
      <c r="B80" s="410" t="s">
        <v>200</v>
      </c>
      <c r="C80" s="402"/>
      <c r="D80" s="402"/>
      <c r="E80" s="402"/>
      <c r="F80" s="402"/>
      <c r="G80" s="402"/>
      <c r="H80" s="912">
        <f t="shared" si="1"/>
        <v>0</v>
      </c>
    </row>
    <row r="81" spans="1:8" s="408" customFormat="1" ht="12" customHeight="1" x14ac:dyDescent="0.25">
      <c r="A81" s="413" t="s">
        <v>201</v>
      </c>
      <c r="B81" s="410" t="s">
        <v>202</v>
      </c>
      <c r="C81" s="402"/>
      <c r="D81" s="402"/>
      <c r="E81" s="402"/>
      <c r="F81" s="402"/>
      <c r="G81" s="402"/>
      <c r="H81" s="912">
        <f t="shared" si="1"/>
        <v>0</v>
      </c>
    </row>
    <row r="82" spans="1:8" s="408" customFormat="1" ht="12" customHeight="1" thickBot="1" x14ac:dyDescent="0.3">
      <c r="A82" s="423" t="s">
        <v>203</v>
      </c>
      <c r="B82" s="390" t="s">
        <v>204</v>
      </c>
      <c r="C82" s="402"/>
      <c r="D82" s="402"/>
      <c r="E82" s="402"/>
      <c r="F82" s="402"/>
      <c r="G82" s="402"/>
      <c r="H82" s="912">
        <f t="shared" si="1"/>
        <v>0</v>
      </c>
    </row>
    <row r="83" spans="1:8" s="408" customFormat="1" ht="12" customHeight="1" thickBot="1" x14ac:dyDescent="0.3">
      <c r="A83" s="422" t="s">
        <v>205</v>
      </c>
      <c r="B83" s="388" t="s">
        <v>206</v>
      </c>
      <c r="C83" s="425"/>
      <c r="D83" s="425"/>
      <c r="E83" s="425"/>
      <c r="F83" s="425"/>
      <c r="G83" s="425"/>
      <c r="H83" s="912">
        <f t="shared" si="1"/>
        <v>0</v>
      </c>
    </row>
    <row r="84" spans="1:8" s="408" customFormat="1" ht="12" customHeight="1" thickBot="1" x14ac:dyDescent="0.3">
      <c r="A84" s="422" t="s">
        <v>207</v>
      </c>
      <c r="B84" s="345" t="s">
        <v>208</v>
      </c>
      <c r="C84" s="404">
        <f>+C62+C66+C71+C74+C78+C83</f>
        <v>340946119</v>
      </c>
      <c r="D84" s="404">
        <f>+D62+D66+D71+D74+D78+D83</f>
        <v>393587008</v>
      </c>
      <c r="E84" s="404">
        <f>+E62+E66+E71+E74+E78+E83</f>
        <v>370821581</v>
      </c>
      <c r="F84" s="404">
        <f>+F62+F66+F71+F74+F78+F83</f>
        <v>412340093</v>
      </c>
      <c r="G84" s="404">
        <f>+G62+G66+G71+G74+G78+G83</f>
        <v>412340093</v>
      </c>
      <c r="H84" s="912">
        <f t="shared" si="1"/>
        <v>0</v>
      </c>
    </row>
    <row r="85" spans="1:8" s="408" customFormat="1" ht="18.75" customHeight="1" thickBot="1" x14ac:dyDescent="0.3">
      <c r="A85" s="424" t="s">
        <v>209</v>
      </c>
      <c r="B85" s="348" t="s">
        <v>210</v>
      </c>
      <c r="C85" s="404">
        <f>+C61+C84</f>
        <v>342089119</v>
      </c>
      <c r="D85" s="404">
        <f>+D61+D84</f>
        <v>394730008</v>
      </c>
      <c r="E85" s="404">
        <f>+E61+E84</f>
        <v>371964581</v>
      </c>
      <c r="F85" s="404">
        <f>+F61+F84</f>
        <v>418149576</v>
      </c>
      <c r="G85" s="404">
        <f>+G61+G84</f>
        <v>418149576</v>
      </c>
      <c r="H85" s="912">
        <f t="shared" si="1"/>
        <v>0</v>
      </c>
    </row>
    <row r="86" spans="1:8" s="408" customFormat="1" ht="12" customHeight="1" thickBot="1" x14ac:dyDescent="0.3">
      <c r="A86" s="343"/>
      <c r="B86" s="343"/>
      <c r="C86" s="344"/>
      <c r="D86" s="344"/>
      <c r="E86" s="344"/>
      <c r="G86" s="912"/>
      <c r="H86" s="912">
        <f t="shared" si="1"/>
        <v>0</v>
      </c>
    </row>
    <row r="87" spans="1:8" s="408" customFormat="1" ht="12" customHeight="1" x14ac:dyDescent="0.25">
      <c r="A87" s="1547"/>
      <c r="B87" s="1548"/>
      <c r="C87" s="1549"/>
      <c r="D87" s="1549"/>
      <c r="E87" s="1549"/>
      <c r="F87" s="1550"/>
      <c r="G87" s="1551"/>
      <c r="H87" s="912">
        <f t="shared" si="1"/>
        <v>0</v>
      </c>
    </row>
    <row r="88" spans="1:8" ht="16.5" customHeight="1" x14ac:dyDescent="0.3">
      <c r="A88" s="1638" t="s">
        <v>211</v>
      </c>
      <c r="B88" s="1637"/>
      <c r="C88" s="1637"/>
      <c r="D88" s="1637"/>
      <c r="E88" s="1637"/>
      <c r="F88" s="1552"/>
      <c r="G88" s="1553"/>
      <c r="H88" s="912">
        <f t="shared" si="1"/>
        <v>0</v>
      </c>
    </row>
    <row r="89" spans="1:8" s="414" customFormat="1" ht="16.5" customHeight="1" thickBot="1" x14ac:dyDescent="0.35">
      <c r="A89" s="1409" t="s">
        <v>2116</v>
      </c>
      <c r="B89" s="43"/>
      <c r="C89" s="376"/>
      <c r="D89" s="376"/>
      <c r="E89" s="1554"/>
      <c r="F89" s="1554"/>
      <c r="G89" s="1555" t="s">
        <v>1690</v>
      </c>
      <c r="H89" s="912" t="e">
        <f t="shared" si="1"/>
        <v>#VALUE!</v>
      </c>
    </row>
    <row r="90" spans="1:8" s="414" customFormat="1" ht="16.5" customHeight="1" thickBot="1" x14ac:dyDescent="0.35">
      <c r="A90" s="1624" t="s">
        <v>41</v>
      </c>
      <c r="B90" s="1626" t="s">
        <v>213</v>
      </c>
      <c r="C90" s="1628" t="str">
        <f>+C3</f>
        <v>2019. évi</v>
      </c>
      <c r="D90" s="1629"/>
      <c r="E90" s="1629"/>
      <c r="F90" s="1629"/>
      <c r="G90" s="1630"/>
      <c r="H90" s="912">
        <f t="shared" si="1"/>
        <v>0</v>
      </c>
    </row>
    <row r="91" spans="1:8" ht="38.1" customHeight="1" thickBot="1" x14ac:dyDescent="0.35">
      <c r="A91" s="1625"/>
      <c r="B91" s="1627"/>
      <c r="C91" s="1538" t="s">
        <v>43</v>
      </c>
      <c r="D91" s="1538" t="s">
        <v>2175</v>
      </c>
      <c r="E91" s="1538" t="s">
        <v>2173</v>
      </c>
      <c r="F91" s="1541" t="s">
        <v>2174</v>
      </c>
      <c r="G91" s="1541" t="s">
        <v>2182</v>
      </c>
      <c r="H91" s="912" t="e">
        <f t="shared" si="1"/>
        <v>#VALUE!</v>
      </c>
    </row>
    <row r="92" spans="1:8" s="407" customFormat="1" ht="12" customHeight="1" thickBot="1" x14ac:dyDescent="0.3">
      <c r="A92" s="372" t="s">
        <v>46</v>
      </c>
      <c r="B92" s="373" t="s">
        <v>47</v>
      </c>
      <c r="C92" s="373" t="s">
        <v>48</v>
      </c>
      <c r="D92" s="373" t="s">
        <v>49</v>
      </c>
      <c r="E92" s="373" t="s">
        <v>50</v>
      </c>
      <c r="F92" s="373" t="s">
        <v>50</v>
      </c>
      <c r="G92" s="373" t="s">
        <v>50</v>
      </c>
      <c r="H92" s="912" t="e">
        <f t="shared" si="1"/>
        <v>#VALUE!</v>
      </c>
    </row>
    <row r="93" spans="1:8" ht="12" customHeight="1" thickBot="1" x14ac:dyDescent="0.35">
      <c r="A93" s="369" t="s">
        <v>51</v>
      </c>
      <c r="B93" s="371" t="s">
        <v>288</v>
      </c>
      <c r="C93" s="397">
        <f>SUM(C94:C98)</f>
        <v>336615419</v>
      </c>
      <c r="D93" s="397">
        <f>SUM(D94:D98)</f>
        <v>389256308</v>
      </c>
      <c r="E93" s="397">
        <f>SUM(E94:E98)</f>
        <v>340225454</v>
      </c>
      <c r="F93" s="397">
        <f>SUM(F94:F98)</f>
        <v>412662414</v>
      </c>
      <c r="G93" s="397">
        <f>SUM(G94:G98)</f>
        <v>412662414</v>
      </c>
      <c r="H93" s="912">
        <f t="shared" si="1"/>
        <v>0</v>
      </c>
    </row>
    <row r="94" spans="1:8" ht="12" customHeight="1" x14ac:dyDescent="0.3">
      <c r="A94" s="364" t="s">
        <v>53</v>
      </c>
      <c r="B94" s="357" t="s">
        <v>215</v>
      </c>
      <c r="C94" s="92">
        <v>243246727</v>
      </c>
      <c r="D94" s="92">
        <v>243246727</v>
      </c>
      <c r="E94" s="92">
        <f>D94+2979000</f>
        <v>246225727</v>
      </c>
      <c r="F94" s="92">
        <f>E94+1420400+2008800+7000000+3000000</f>
        <v>259654927</v>
      </c>
      <c r="G94" s="92">
        <v>259654927</v>
      </c>
      <c r="H94" s="912">
        <f t="shared" si="1"/>
        <v>0</v>
      </c>
    </row>
    <row r="95" spans="1:8" ht="12" customHeight="1" x14ac:dyDescent="0.3">
      <c r="A95" s="361" t="s">
        <v>55</v>
      </c>
      <c r="B95" s="355" t="s">
        <v>216</v>
      </c>
      <c r="C95" s="399">
        <v>50628112</v>
      </c>
      <c r="D95" s="399">
        <v>50628112</v>
      </c>
      <c r="E95" s="399">
        <f>D95+521000</f>
        <v>51149112</v>
      </c>
      <c r="F95" s="399">
        <f>E95+293205+381516</f>
        <v>51823833</v>
      </c>
      <c r="G95" s="399">
        <f>F95</f>
        <v>51823833</v>
      </c>
      <c r="H95" s="912">
        <f t="shared" si="1"/>
        <v>0</v>
      </c>
    </row>
    <row r="96" spans="1:8" ht="12" customHeight="1" x14ac:dyDescent="0.3">
      <c r="A96" s="361" t="s">
        <v>57</v>
      </c>
      <c r="B96" s="355" t="s">
        <v>217</v>
      </c>
      <c r="C96" s="401">
        <v>42740580</v>
      </c>
      <c r="D96" s="401">
        <f>43799680-2000000+52530854</f>
        <v>94330534</v>
      </c>
      <c r="E96" s="401">
        <f>D96-26265427-26265427</f>
        <v>41799680</v>
      </c>
      <c r="F96" s="401">
        <f>E96+26265427-13462+253594+256726+31518512</f>
        <v>100080477</v>
      </c>
      <c r="G96" s="401">
        <v>100063107</v>
      </c>
      <c r="H96" s="912">
        <f t="shared" si="1"/>
        <v>-17370</v>
      </c>
    </row>
    <row r="97" spans="1:8" ht="12" customHeight="1" x14ac:dyDescent="0.3">
      <c r="A97" s="361" t="s">
        <v>59</v>
      </c>
      <c r="B97" s="358" t="s">
        <v>218</v>
      </c>
      <c r="C97" s="401"/>
      <c r="D97" s="401"/>
      <c r="E97" s="401"/>
      <c r="F97" s="401"/>
      <c r="G97" s="401"/>
      <c r="H97" s="912">
        <f t="shared" si="1"/>
        <v>0</v>
      </c>
    </row>
    <row r="98" spans="1:8" ht="12" customHeight="1" x14ac:dyDescent="0.3">
      <c r="A98" s="361" t="s">
        <v>219</v>
      </c>
      <c r="B98" s="366" t="s">
        <v>220</v>
      </c>
      <c r="C98" s="401"/>
      <c r="D98" s="401">
        <f>SUM(D99:D108)</f>
        <v>1050935</v>
      </c>
      <c r="E98" s="401">
        <f>SUM(E99:E108)</f>
        <v>1050935</v>
      </c>
      <c r="F98" s="401">
        <f>SUM(F99:F108)</f>
        <v>1103177</v>
      </c>
      <c r="G98" s="401">
        <f>SUM(G99:G108)</f>
        <v>1120547</v>
      </c>
      <c r="H98" s="912">
        <f t="shared" si="1"/>
        <v>17370</v>
      </c>
    </row>
    <row r="99" spans="1:8" ht="12" customHeight="1" x14ac:dyDescent="0.3">
      <c r="A99" s="361" t="s">
        <v>63</v>
      </c>
      <c r="B99" s="355" t="s">
        <v>221</v>
      </c>
      <c r="C99" s="401"/>
      <c r="D99" s="401">
        <v>1050935</v>
      </c>
      <c r="E99" s="401">
        <v>1050935</v>
      </c>
      <c r="F99" s="401">
        <v>1050935</v>
      </c>
      <c r="G99" s="401">
        <v>1050935</v>
      </c>
      <c r="H99" s="912">
        <f t="shared" si="1"/>
        <v>0</v>
      </c>
    </row>
    <row r="100" spans="1:8" ht="12" customHeight="1" x14ac:dyDescent="0.3">
      <c r="A100" s="361" t="s">
        <v>222</v>
      </c>
      <c r="B100" s="377" t="s">
        <v>223</v>
      </c>
      <c r="C100" s="401"/>
      <c r="D100" s="401"/>
      <c r="E100" s="401"/>
      <c r="F100" s="401"/>
      <c r="G100" s="401"/>
      <c r="H100" s="912">
        <f t="shared" si="1"/>
        <v>0</v>
      </c>
    </row>
    <row r="101" spans="1:8" ht="12" customHeight="1" x14ac:dyDescent="0.3">
      <c r="A101" s="361" t="s">
        <v>224</v>
      </c>
      <c r="B101" s="378" t="s">
        <v>225</v>
      </c>
      <c r="C101" s="401"/>
      <c r="D101" s="401"/>
      <c r="E101" s="401"/>
      <c r="F101" s="401"/>
      <c r="G101" s="401"/>
      <c r="H101" s="912">
        <f t="shared" si="1"/>
        <v>0</v>
      </c>
    </row>
    <row r="102" spans="1:8" ht="12" customHeight="1" x14ac:dyDescent="0.3">
      <c r="A102" s="361" t="s">
        <v>226</v>
      </c>
      <c r="B102" s="378" t="s">
        <v>227</v>
      </c>
      <c r="C102" s="401"/>
      <c r="D102" s="401"/>
      <c r="E102" s="401"/>
      <c r="F102" s="401"/>
      <c r="G102" s="401"/>
      <c r="H102" s="912">
        <f t="shared" si="1"/>
        <v>0</v>
      </c>
    </row>
    <row r="103" spans="1:8" ht="12" customHeight="1" x14ac:dyDescent="0.3">
      <c r="A103" s="361" t="s">
        <v>228</v>
      </c>
      <c r="B103" s="377" t="s">
        <v>229</v>
      </c>
      <c r="C103" s="401"/>
      <c r="D103" s="401"/>
      <c r="E103" s="401"/>
      <c r="F103" s="401">
        <f>14093</f>
        <v>14093</v>
      </c>
      <c r="G103" s="401">
        <v>31463</v>
      </c>
      <c r="H103" s="912">
        <f t="shared" si="1"/>
        <v>17370</v>
      </c>
    </row>
    <row r="104" spans="1:8" ht="12" customHeight="1" x14ac:dyDescent="0.3">
      <c r="A104" s="361" t="s">
        <v>230</v>
      </c>
      <c r="B104" s="377" t="s">
        <v>231</v>
      </c>
      <c r="C104" s="401"/>
      <c r="D104" s="401"/>
      <c r="E104" s="401"/>
      <c r="F104" s="401"/>
      <c r="G104" s="401" t="s">
        <v>1688</v>
      </c>
      <c r="H104" s="912" t="e">
        <f t="shared" si="1"/>
        <v>#VALUE!</v>
      </c>
    </row>
    <row r="105" spans="1:8" ht="12" customHeight="1" x14ac:dyDescent="0.3">
      <c r="A105" s="361" t="s">
        <v>232</v>
      </c>
      <c r="B105" s="378" t="s">
        <v>233</v>
      </c>
      <c r="C105" s="401"/>
      <c r="D105" s="401"/>
      <c r="E105" s="401"/>
      <c r="F105" s="401"/>
      <c r="G105" s="401"/>
      <c r="H105" s="912">
        <f t="shared" si="1"/>
        <v>0</v>
      </c>
    </row>
    <row r="106" spans="1:8" ht="12" customHeight="1" x14ac:dyDescent="0.3">
      <c r="A106" s="360" t="s">
        <v>234</v>
      </c>
      <c r="B106" s="379" t="s">
        <v>235</v>
      </c>
      <c r="C106" s="401"/>
      <c r="D106" s="401"/>
      <c r="E106" s="401"/>
      <c r="F106" s="401"/>
      <c r="G106" s="401"/>
      <c r="H106" s="912">
        <f t="shared" si="1"/>
        <v>0</v>
      </c>
    </row>
    <row r="107" spans="1:8" ht="12" customHeight="1" x14ac:dyDescent="0.3">
      <c r="A107" s="361" t="s">
        <v>236</v>
      </c>
      <c r="B107" s="379" t="s">
        <v>237</v>
      </c>
      <c r="C107" s="401"/>
      <c r="D107" s="401"/>
      <c r="E107" s="401"/>
      <c r="F107" s="401"/>
      <c r="G107" s="401"/>
      <c r="H107" s="912">
        <f t="shared" si="1"/>
        <v>0</v>
      </c>
    </row>
    <row r="108" spans="1:8" ht="12" customHeight="1" thickBot="1" x14ac:dyDescent="0.35">
      <c r="A108" s="365" t="s">
        <v>238</v>
      </c>
      <c r="B108" s="380" t="s">
        <v>239</v>
      </c>
      <c r="C108" s="93"/>
      <c r="D108" s="93"/>
      <c r="E108" s="93"/>
      <c r="F108" s="93">
        <f>18142+20007</f>
        <v>38149</v>
      </c>
      <c r="G108" s="93">
        <f>18142+20007</f>
        <v>38149</v>
      </c>
      <c r="H108" s="912">
        <f t="shared" si="1"/>
        <v>0</v>
      </c>
    </row>
    <row r="109" spans="1:8" ht="12" customHeight="1" thickBot="1" x14ac:dyDescent="0.35">
      <c r="A109" s="367" t="s">
        <v>65</v>
      </c>
      <c r="B109" s="370" t="s">
        <v>289</v>
      </c>
      <c r="C109" s="398">
        <f>+C110+C112+C114</f>
        <v>5473700</v>
      </c>
      <c r="D109" s="398">
        <f>+D110+D112+D114</f>
        <v>5473700</v>
      </c>
      <c r="E109" s="398">
        <f>+E110+E112+E114</f>
        <v>5473700</v>
      </c>
      <c r="F109" s="398">
        <f>+F110+F112+F114</f>
        <v>5487162</v>
      </c>
      <c r="G109" s="398">
        <f>+G110+G112+G114</f>
        <v>5487162</v>
      </c>
      <c r="H109" s="912">
        <f t="shared" si="1"/>
        <v>0</v>
      </c>
    </row>
    <row r="110" spans="1:8" ht="12" customHeight="1" x14ac:dyDescent="0.3">
      <c r="A110" s="362" t="s">
        <v>67</v>
      </c>
      <c r="B110" s="355" t="s">
        <v>241</v>
      </c>
      <c r="C110" s="400">
        <v>5473700</v>
      </c>
      <c r="D110" s="400">
        <v>5473700</v>
      </c>
      <c r="E110" s="400">
        <v>5473700</v>
      </c>
      <c r="F110" s="400">
        <f>5473700+13462</f>
        <v>5487162</v>
      </c>
      <c r="G110" s="400">
        <f>5473700+13462</f>
        <v>5487162</v>
      </c>
      <c r="H110" s="912">
        <f t="shared" si="1"/>
        <v>0</v>
      </c>
    </row>
    <row r="111" spans="1:8" ht="12" customHeight="1" x14ac:dyDescent="0.3">
      <c r="A111" s="362" t="s">
        <v>69</v>
      </c>
      <c r="B111" s="359" t="s">
        <v>242</v>
      </c>
      <c r="C111" s="400"/>
      <c r="D111" s="400"/>
      <c r="E111" s="400"/>
      <c r="F111" s="400"/>
      <c r="G111" s="400"/>
      <c r="H111" s="912">
        <f t="shared" si="1"/>
        <v>0</v>
      </c>
    </row>
    <row r="112" spans="1:8" x14ac:dyDescent="0.3">
      <c r="A112" s="362" t="s">
        <v>71</v>
      </c>
      <c r="B112" s="359" t="s">
        <v>243</v>
      </c>
      <c r="C112" s="399"/>
      <c r="D112" s="399"/>
      <c r="E112" s="399"/>
      <c r="F112" s="399"/>
      <c r="G112" s="399"/>
      <c r="H112" s="912">
        <f t="shared" si="1"/>
        <v>0</v>
      </c>
    </row>
    <row r="113" spans="1:8" ht="12" customHeight="1" x14ac:dyDescent="0.3">
      <c r="A113" s="362" t="s">
        <v>73</v>
      </c>
      <c r="B113" s="359" t="s">
        <v>244</v>
      </c>
      <c r="C113" s="399"/>
      <c r="D113" s="399"/>
      <c r="E113" s="399"/>
      <c r="F113" s="399"/>
      <c r="G113" s="399"/>
      <c r="H113" s="912">
        <f t="shared" si="1"/>
        <v>0</v>
      </c>
    </row>
    <row r="114" spans="1:8" ht="12" customHeight="1" x14ac:dyDescent="0.3">
      <c r="A114" s="362" t="s">
        <v>75</v>
      </c>
      <c r="B114" s="390" t="s">
        <v>245</v>
      </c>
      <c r="C114" s="399"/>
      <c r="D114" s="399"/>
      <c r="E114" s="399"/>
      <c r="F114" s="399"/>
      <c r="G114" s="399"/>
      <c r="H114" s="912">
        <f t="shared" si="1"/>
        <v>0</v>
      </c>
    </row>
    <row r="115" spans="1:8" ht="21.75" customHeight="1" x14ac:dyDescent="0.3">
      <c r="A115" s="362" t="s">
        <v>77</v>
      </c>
      <c r="B115" s="389" t="s">
        <v>246</v>
      </c>
      <c r="C115" s="399"/>
      <c r="D115" s="399"/>
      <c r="E115" s="399"/>
      <c r="F115" s="399"/>
      <c r="G115" s="399"/>
      <c r="H115" s="912">
        <f t="shared" si="1"/>
        <v>0</v>
      </c>
    </row>
    <row r="116" spans="1:8" ht="24" customHeight="1" x14ac:dyDescent="0.3">
      <c r="A116" s="362" t="s">
        <v>247</v>
      </c>
      <c r="B116" s="405" t="s">
        <v>248</v>
      </c>
      <c r="C116" s="399"/>
      <c r="D116" s="399"/>
      <c r="E116" s="399"/>
      <c r="F116" s="399"/>
      <c r="G116" s="399"/>
      <c r="H116" s="912">
        <f t="shared" si="1"/>
        <v>0</v>
      </c>
    </row>
    <row r="117" spans="1:8" ht="12" customHeight="1" x14ac:dyDescent="0.3">
      <c r="A117" s="362" t="s">
        <v>249</v>
      </c>
      <c r="B117" s="378" t="s">
        <v>227</v>
      </c>
      <c r="C117" s="399"/>
      <c r="D117" s="399"/>
      <c r="E117" s="399"/>
      <c r="F117" s="399"/>
      <c r="G117" s="399"/>
      <c r="H117" s="912">
        <f t="shared" si="1"/>
        <v>0</v>
      </c>
    </row>
    <row r="118" spans="1:8" ht="12" customHeight="1" x14ac:dyDescent="0.3">
      <c r="A118" s="362" t="s">
        <v>250</v>
      </c>
      <c r="B118" s="378" t="s">
        <v>251</v>
      </c>
      <c r="C118" s="399"/>
      <c r="D118" s="399"/>
      <c r="E118" s="399"/>
      <c r="F118" s="399"/>
      <c r="G118" s="399"/>
      <c r="H118" s="912">
        <f t="shared" si="1"/>
        <v>0</v>
      </c>
    </row>
    <row r="119" spans="1:8" ht="12" customHeight="1" x14ac:dyDescent="0.3">
      <c r="A119" s="362" t="s">
        <v>252</v>
      </c>
      <c r="B119" s="378" t="s">
        <v>253</v>
      </c>
      <c r="C119" s="399"/>
      <c r="D119" s="399"/>
      <c r="E119" s="399"/>
      <c r="F119" s="399"/>
      <c r="G119" s="399"/>
      <c r="H119" s="912">
        <f t="shared" si="1"/>
        <v>0</v>
      </c>
    </row>
    <row r="120" spans="1:8" s="427" customFormat="1" ht="12" customHeight="1" x14ac:dyDescent="0.25">
      <c r="A120" s="362" t="s">
        <v>254</v>
      </c>
      <c r="B120" s="378" t="s">
        <v>233</v>
      </c>
      <c r="C120" s="399"/>
      <c r="D120" s="399"/>
      <c r="E120" s="399"/>
      <c r="F120" s="399"/>
      <c r="G120" s="399"/>
      <c r="H120" s="912">
        <f t="shared" si="1"/>
        <v>0</v>
      </c>
    </row>
    <row r="121" spans="1:8" ht="12" customHeight="1" x14ac:dyDescent="0.3">
      <c r="A121" s="362" t="s">
        <v>255</v>
      </c>
      <c r="B121" s="378" t="s">
        <v>256</v>
      </c>
      <c r="C121" s="399"/>
      <c r="D121" s="399"/>
      <c r="E121" s="399"/>
      <c r="F121" s="399"/>
      <c r="G121" s="399"/>
      <c r="H121" s="912">
        <f t="shared" si="1"/>
        <v>0</v>
      </c>
    </row>
    <row r="122" spans="1:8" ht="12" customHeight="1" thickBot="1" x14ac:dyDescent="0.35">
      <c r="A122" s="360" t="s">
        <v>257</v>
      </c>
      <c r="B122" s="378" t="s">
        <v>258</v>
      </c>
      <c r="C122" s="401"/>
      <c r="D122" s="401"/>
      <c r="E122" s="401"/>
      <c r="F122" s="401"/>
      <c r="G122" s="401"/>
      <c r="H122" s="912">
        <f t="shared" si="1"/>
        <v>0</v>
      </c>
    </row>
    <row r="123" spans="1:8" ht="12" customHeight="1" thickBot="1" x14ac:dyDescent="0.35">
      <c r="A123" s="367" t="s">
        <v>79</v>
      </c>
      <c r="B123" s="375" t="s">
        <v>259</v>
      </c>
      <c r="C123" s="398">
        <f>+C124+C125</f>
        <v>0</v>
      </c>
      <c r="D123" s="398">
        <f>+D124+D125</f>
        <v>0</v>
      </c>
      <c r="E123" s="398">
        <f>+E124+E125</f>
        <v>26265427</v>
      </c>
      <c r="F123" s="398">
        <f>+F124+F125</f>
        <v>0</v>
      </c>
      <c r="G123" s="398">
        <f>+G124+G125</f>
        <v>0</v>
      </c>
      <c r="H123" s="912">
        <f t="shared" si="1"/>
        <v>0</v>
      </c>
    </row>
    <row r="124" spans="1:8" ht="12" customHeight="1" x14ac:dyDescent="0.3">
      <c r="A124" s="362" t="s">
        <v>81</v>
      </c>
      <c r="B124" s="356" t="s">
        <v>260</v>
      </c>
      <c r="C124" s="400"/>
      <c r="D124" s="400"/>
      <c r="E124" s="400"/>
      <c r="F124" s="400"/>
      <c r="G124" s="400"/>
      <c r="H124" s="912">
        <f t="shared" si="1"/>
        <v>0</v>
      </c>
    </row>
    <row r="125" spans="1:8" ht="12" customHeight="1" thickBot="1" x14ac:dyDescent="0.35">
      <c r="A125" s="363" t="s">
        <v>83</v>
      </c>
      <c r="B125" s="359" t="s">
        <v>261</v>
      </c>
      <c r="C125" s="401"/>
      <c r="D125" s="401"/>
      <c r="E125" s="401">
        <v>26265427</v>
      </c>
      <c r="F125" s="401">
        <f>26265427-26265427</f>
        <v>0</v>
      </c>
      <c r="G125" s="401">
        <f>26265427-26265427</f>
        <v>0</v>
      </c>
      <c r="H125" s="912">
        <f t="shared" si="1"/>
        <v>0</v>
      </c>
    </row>
    <row r="126" spans="1:8" ht="12" customHeight="1" thickBot="1" x14ac:dyDescent="0.35">
      <c r="A126" s="367" t="s">
        <v>262</v>
      </c>
      <c r="B126" s="375" t="s">
        <v>263</v>
      </c>
      <c r="C126" s="398">
        <f>+C93+C109+C123</f>
        <v>342089119</v>
      </c>
      <c r="D126" s="398">
        <f>+D93+D109+D123</f>
        <v>394730008</v>
      </c>
      <c r="E126" s="398">
        <f>+E93+E109+E123</f>
        <v>371964581</v>
      </c>
      <c r="F126" s="398">
        <f>+F93+F109+F123</f>
        <v>418149576</v>
      </c>
      <c r="G126" s="398">
        <f>+G93+G109+G123</f>
        <v>418149576</v>
      </c>
      <c r="H126" s="912">
        <f t="shared" si="1"/>
        <v>0</v>
      </c>
    </row>
    <row r="127" spans="1:8" ht="12" customHeight="1" thickBot="1" x14ac:dyDescent="0.35">
      <c r="A127" s="367" t="s">
        <v>107</v>
      </c>
      <c r="B127" s="375" t="s">
        <v>264</v>
      </c>
      <c r="C127" s="398">
        <f>+C128+C129+C130</f>
        <v>0</v>
      </c>
      <c r="D127" s="398">
        <f>+D128+D129+D130</f>
        <v>0</v>
      </c>
      <c r="E127" s="398">
        <f>+E128+E129+E130</f>
        <v>0</v>
      </c>
      <c r="F127" s="398">
        <f>+F128+F129+F130</f>
        <v>0</v>
      </c>
      <c r="G127" s="398">
        <f>+G128+G129+G130</f>
        <v>0</v>
      </c>
      <c r="H127" s="912">
        <f t="shared" si="1"/>
        <v>0</v>
      </c>
    </row>
    <row r="128" spans="1:8" ht="12" customHeight="1" x14ac:dyDescent="0.3">
      <c r="A128" s="362" t="s">
        <v>109</v>
      </c>
      <c r="B128" s="356" t="s">
        <v>265</v>
      </c>
      <c r="C128" s="399"/>
      <c r="D128" s="399"/>
      <c r="E128" s="399"/>
      <c r="F128" s="399"/>
      <c r="G128" s="399"/>
      <c r="H128" s="912">
        <f t="shared" si="1"/>
        <v>0</v>
      </c>
    </row>
    <row r="129" spans="1:8" ht="12" customHeight="1" x14ac:dyDescent="0.3">
      <c r="A129" s="362" t="s">
        <v>111</v>
      </c>
      <c r="B129" s="356" t="s">
        <v>266</v>
      </c>
      <c r="C129" s="399"/>
      <c r="D129" s="399"/>
      <c r="E129" s="399"/>
      <c r="F129" s="399"/>
      <c r="G129" s="399"/>
      <c r="H129" s="912">
        <f t="shared" si="1"/>
        <v>0</v>
      </c>
    </row>
    <row r="130" spans="1:8" ht="12" customHeight="1" thickBot="1" x14ac:dyDescent="0.35">
      <c r="A130" s="360" t="s">
        <v>113</v>
      </c>
      <c r="B130" s="354" t="s">
        <v>267</v>
      </c>
      <c r="C130" s="399"/>
      <c r="D130" s="399"/>
      <c r="E130" s="399"/>
      <c r="F130" s="399"/>
      <c r="G130" s="399"/>
      <c r="H130" s="912">
        <f t="shared" si="1"/>
        <v>0</v>
      </c>
    </row>
    <row r="131" spans="1:8" ht="12" customHeight="1" thickBot="1" x14ac:dyDescent="0.35">
      <c r="A131" s="367" t="s">
        <v>129</v>
      </c>
      <c r="B131" s="375" t="s">
        <v>268</v>
      </c>
      <c r="C131" s="398">
        <f>+C132+C133+C135+C134</f>
        <v>0</v>
      </c>
      <c r="D131" s="398">
        <f>+D132+D133+D135+D134</f>
        <v>0</v>
      </c>
      <c r="E131" s="398">
        <f>+E132+E133+E135+E134</f>
        <v>0</v>
      </c>
      <c r="F131" s="398">
        <f>+F132+F133+F135+F134</f>
        <v>0</v>
      </c>
      <c r="G131" s="398">
        <f>+G132+G133+G135+G134</f>
        <v>0</v>
      </c>
      <c r="H131" s="912">
        <f t="shared" si="1"/>
        <v>0</v>
      </c>
    </row>
    <row r="132" spans="1:8" ht="12" customHeight="1" x14ac:dyDescent="0.3">
      <c r="A132" s="362" t="s">
        <v>131</v>
      </c>
      <c r="B132" s="356" t="s">
        <v>269</v>
      </c>
      <c r="C132" s="399"/>
      <c r="D132" s="399"/>
      <c r="E132" s="399"/>
      <c r="F132" s="399"/>
      <c r="G132" s="399"/>
      <c r="H132" s="912">
        <f t="shared" si="1"/>
        <v>0</v>
      </c>
    </row>
    <row r="133" spans="1:8" ht="12" customHeight="1" x14ac:dyDescent="0.3">
      <c r="A133" s="362" t="s">
        <v>133</v>
      </c>
      <c r="B133" s="356" t="s">
        <v>270</v>
      </c>
      <c r="C133" s="399"/>
      <c r="D133" s="399"/>
      <c r="E133" s="399"/>
      <c r="F133" s="399"/>
      <c r="G133" s="399"/>
      <c r="H133" s="912">
        <f t="shared" si="1"/>
        <v>0</v>
      </c>
    </row>
    <row r="134" spans="1:8" ht="12" customHeight="1" x14ac:dyDescent="0.3">
      <c r="A134" s="362" t="s">
        <v>135</v>
      </c>
      <c r="B134" s="356" t="s">
        <v>271</v>
      </c>
      <c r="C134" s="399"/>
      <c r="D134" s="399"/>
      <c r="E134" s="399"/>
      <c r="F134" s="399"/>
      <c r="G134" s="399"/>
      <c r="H134" s="912">
        <f t="shared" si="1"/>
        <v>0</v>
      </c>
    </row>
    <row r="135" spans="1:8" ht="12" customHeight="1" thickBot="1" x14ac:dyDescent="0.35">
      <c r="A135" s="360" t="s">
        <v>137</v>
      </c>
      <c r="B135" s="354" t="s">
        <v>272</v>
      </c>
      <c r="C135" s="399"/>
      <c r="D135" s="399"/>
      <c r="E135" s="399"/>
      <c r="F135" s="399"/>
      <c r="G135" s="399"/>
      <c r="H135" s="912">
        <f t="shared" ref="H135:H147" si="2">G135-F135</f>
        <v>0</v>
      </c>
    </row>
    <row r="136" spans="1:8" ht="12" customHeight="1" thickBot="1" x14ac:dyDescent="0.35">
      <c r="A136" s="367" t="s">
        <v>273</v>
      </c>
      <c r="B136" s="375" t="s">
        <v>274</v>
      </c>
      <c r="C136" s="404">
        <f>+C137+C138+C139+C140</f>
        <v>0</v>
      </c>
      <c r="D136" s="404">
        <f>+D137+D138+D139+D140</f>
        <v>0</v>
      </c>
      <c r="E136" s="404">
        <f>+E137+E138+E139+E140</f>
        <v>0</v>
      </c>
      <c r="F136" s="404">
        <f>+F137+F138+F139+F140</f>
        <v>0</v>
      </c>
      <c r="G136" s="404">
        <f>+G137+G138+G139+G140</f>
        <v>0</v>
      </c>
      <c r="H136" s="912">
        <f t="shared" si="2"/>
        <v>0</v>
      </c>
    </row>
    <row r="137" spans="1:8" ht="12" customHeight="1" x14ac:dyDescent="0.3">
      <c r="A137" s="362" t="s">
        <v>143</v>
      </c>
      <c r="B137" s="356" t="s">
        <v>275</v>
      </c>
      <c r="C137" s="399"/>
      <c r="D137" s="399"/>
      <c r="E137" s="399"/>
      <c r="F137" s="399"/>
      <c r="G137" s="399"/>
      <c r="H137" s="912">
        <f t="shared" si="2"/>
        <v>0</v>
      </c>
    </row>
    <row r="138" spans="1:8" ht="12" customHeight="1" x14ac:dyDescent="0.3">
      <c r="A138" s="362" t="s">
        <v>145</v>
      </c>
      <c r="B138" s="356" t="s">
        <v>276</v>
      </c>
      <c r="C138" s="399"/>
      <c r="D138" s="399"/>
      <c r="E138" s="399"/>
      <c r="F138" s="399"/>
      <c r="G138" s="399"/>
      <c r="H138" s="912">
        <f t="shared" si="2"/>
        <v>0</v>
      </c>
    </row>
    <row r="139" spans="1:8" ht="12" customHeight="1" x14ac:dyDescent="0.3">
      <c r="A139" s="362" t="s">
        <v>147</v>
      </c>
      <c r="B139" s="356" t="s">
        <v>277</v>
      </c>
      <c r="C139" s="399"/>
      <c r="D139" s="399"/>
      <c r="E139" s="399"/>
      <c r="F139" s="399"/>
      <c r="G139" s="399"/>
      <c r="H139" s="912">
        <f t="shared" si="2"/>
        <v>0</v>
      </c>
    </row>
    <row r="140" spans="1:8" ht="12" customHeight="1" thickBot="1" x14ac:dyDescent="0.35">
      <c r="A140" s="360" t="s">
        <v>149</v>
      </c>
      <c r="B140" s="354" t="s">
        <v>278</v>
      </c>
      <c r="C140" s="399"/>
      <c r="D140" s="399"/>
      <c r="E140" s="399"/>
      <c r="F140" s="399"/>
      <c r="G140" s="399"/>
      <c r="H140" s="912">
        <f t="shared" si="2"/>
        <v>0</v>
      </c>
    </row>
    <row r="141" spans="1:8" ht="15" customHeight="1" thickBot="1" x14ac:dyDescent="0.35">
      <c r="A141" s="367" t="s">
        <v>151</v>
      </c>
      <c r="B141" s="375" t="s">
        <v>279</v>
      </c>
      <c r="C141" s="94">
        <f>+C142+C143+C144+C145</f>
        <v>0</v>
      </c>
      <c r="D141" s="94">
        <f>+D142+D143+D144+D145</f>
        <v>0</v>
      </c>
      <c r="E141" s="94">
        <f>+E142+E143+E144+E145</f>
        <v>0</v>
      </c>
      <c r="F141" s="94">
        <f>+F142+F143+F144+F145</f>
        <v>0</v>
      </c>
      <c r="G141" s="94">
        <f>+G142+G143+G144+G145</f>
        <v>0</v>
      </c>
      <c r="H141" s="912">
        <f t="shared" si="2"/>
        <v>0</v>
      </c>
    </row>
    <row r="142" spans="1:8" s="408" customFormat="1" ht="12.9" customHeight="1" x14ac:dyDescent="0.25">
      <c r="A142" s="362" t="s">
        <v>153</v>
      </c>
      <c r="B142" s="356" t="s">
        <v>280</v>
      </c>
      <c r="C142" s="399"/>
      <c r="D142" s="399"/>
      <c r="E142" s="399"/>
      <c r="F142" s="399"/>
      <c r="G142" s="399"/>
      <c r="H142" s="912">
        <f t="shared" si="2"/>
        <v>0</v>
      </c>
    </row>
    <row r="143" spans="1:8" ht="12.75" customHeight="1" x14ac:dyDescent="0.3">
      <c r="A143" s="362" t="s">
        <v>155</v>
      </c>
      <c r="B143" s="356" t="s">
        <v>281</v>
      </c>
      <c r="C143" s="399"/>
      <c r="D143" s="399"/>
      <c r="E143" s="399"/>
      <c r="F143" s="399"/>
      <c r="G143" s="399"/>
      <c r="H143" s="912">
        <f t="shared" si="2"/>
        <v>0</v>
      </c>
    </row>
    <row r="144" spans="1:8" ht="12.75" customHeight="1" x14ac:dyDescent="0.3">
      <c r="A144" s="362" t="s">
        <v>157</v>
      </c>
      <c r="B144" s="356" t="s">
        <v>282</v>
      </c>
      <c r="C144" s="399"/>
      <c r="D144" s="399"/>
      <c r="E144" s="399"/>
      <c r="F144" s="399"/>
      <c r="G144" s="399"/>
      <c r="H144" s="912">
        <f t="shared" si="2"/>
        <v>0</v>
      </c>
    </row>
    <row r="145" spans="1:8" ht="12.75" customHeight="1" thickBot="1" x14ac:dyDescent="0.35">
      <c r="A145" s="362" t="s">
        <v>159</v>
      </c>
      <c r="B145" s="356" t="s">
        <v>283</v>
      </c>
      <c r="C145" s="399"/>
      <c r="D145" s="399"/>
      <c r="E145" s="399"/>
      <c r="F145" s="399"/>
      <c r="G145" s="399"/>
      <c r="H145" s="912">
        <f t="shared" si="2"/>
        <v>0</v>
      </c>
    </row>
    <row r="146" spans="1:8" ht="16.2" thickBot="1" x14ac:dyDescent="0.35">
      <c r="A146" s="367" t="s">
        <v>161</v>
      </c>
      <c r="B146" s="375" t="s">
        <v>284</v>
      </c>
      <c r="C146" s="349">
        <f>+C127+C131+C136+C141</f>
        <v>0</v>
      </c>
      <c r="D146" s="349">
        <f>+D127+D131+D136+D141</f>
        <v>0</v>
      </c>
      <c r="E146" s="349">
        <f>+E127+E131+E136+E141</f>
        <v>0</v>
      </c>
      <c r="F146" s="349">
        <f>+F127+F131+F136+F141</f>
        <v>0</v>
      </c>
      <c r="G146" s="349">
        <f>+G127+G131+G136+G141</f>
        <v>0</v>
      </c>
      <c r="H146" s="912">
        <f t="shared" si="2"/>
        <v>0</v>
      </c>
    </row>
    <row r="147" spans="1:8" ht="16.2" thickBot="1" x14ac:dyDescent="0.35">
      <c r="A147" s="391" t="s">
        <v>285</v>
      </c>
      <c r="B147" s="394" t="s">
        <v>286</v>
      </c>
      <c r="C147" s="349">
        <f>+C126+C146</f>
        <v>342089119</v>
      </c>
      <c r="D147" s="349">
        <f>+D126+D146</f>
        <v>394730008</v>
      </c>
      <c r="E147" s="349">
        <f>+E126+E146</f>
        <v>371964581</v>
      </c>
      <c r="F147" s="349">
        <f>+F126+F146</f>
        <v>418149576</v>
      </c>
      <c r="G147" s="349">
        <f>+G126+G146</f>
        <v>418149576</v>
      </c>
      <c r="H147" s="912">
        <f t="shared" si="2"/>
        <v>0</v>
      </c>
    </row>
    <row r="148" spans="1:8" x14ac:dyDescent="0.3">
      <c r="D148" s="811">
        <f>D85-D147</f>
        <v>0</v>
      </c>
      <c r="E148" s="811">
        <f>E85-E147</f>
        <v>0</v>
      </c>
      <c r="F148" s="947">
        <f>F85-F147</f>
        <v>0</v>
      </c>
      <c r="G148" s="812">
        <f>G85-G147</f>
        <v>0</v>
      </c>
    </row>
    <row r="149" spans="1:8" ht="7.5" customHeight="1" x14ac:dyDescent="0.3"/>
    <row r="151" spans="1:8" ht="12.75" customHeight="1" x14ac:dyDescent="0.3"/>
    <row r="152" spans="1:8" ht="12.75" customHeight="1" x14ac:dyDescent="0.3"/>
    <row r="153" spans="1:8" ht="12.75" customHeight="1" x14ac:dyDescent="0.3"/>
    <row r="154" spans="1:8" ht="12.75" customHeight="1" x14ac:dyDescent="0.3"/>
    <row r="155" spans="1:8" ht="12.75" customHeight="1" x14ac:dyDescent="0.3"/>
    <row r="156" spans="1:8" ht="12.75" customHeight="1" x14ac:dyDescent="0.3"/>
    <row r="157" spans="1:8" ht="12.75" customHeight="1" x14ac:dyDescent="0.3"/>
    <row r="158" spans="1:8" s="395" customFormat="1" ht="12.75" customHeight="1" x14ac:dyDescent="0.3">
      <c r="C158" s="396"/>
      <c r="D158" s="396"/>
      <c r="E158" s="396"/>
    </row>
  </sheetData>
  <mergeCells count="8">
    <mergeCell ref="A90:A91"/>
    <mergeCell ref="B90:B91"/>
    <mergeCell ref="A1:E1"/>
    <mergeCell ref="A3:A4"/>
    <mergeCell ref="B3:B4"/>
    <mergeCell ref="A88:E88"/>
    <mergeCell ref="C3:G3"/>
    <mergeCell ref="C90:G90"/>
  </mergeCells>
  <printOptions horizontalCentered="1"/>
  <pageMargins left="0.78740157480314965" right="0.78740157480314965" top="1.4566929133858268" bottom="0.86614173228346458" header="0.78740157480314965" footer="0.59055118110236227"/>
  <pageSetup paperSize="9" scale="63" fitToHeight="2" orientation="portrait" r:id="rId1"/>
  <headerFooter alignWithMargins="0">
    <oddHeader xml:space="preserve">&amp;C&amp;"Times New Roman CE,Félkövér"&amp;12POLGÁRMESTERI HIVATAL
ELEMI KÖLTSÉGVETÉSÉNEK TELJESÍTÉSE
&amp;R&amp;"Times New Roman CE,Félkövér dőlt"9_10. melléklet a 2/2020. (II.28.) önkorm. rendelethez 
</oddHeader>
  </headerFooter>
  <rowBreaks count="1" manualBreakCount="1">
    <brk id="86" max="6" man="1"/>
  </row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92D050"/>
  </sheetPr>
  <dimension ref="A1:E27"/>
  <sheetViews>
    <sheetView showGridLines="0" workbookViewId="0">
      <selection activeCell="A2" sqref="A2"/>
    </sheetView>
  </sheetViews>
  <sheetFormatPr defaultRowHeight="13.2" x14ac:dyDescent="0.25"/>
  <cols>
    <col min="1" max="1" width="73" style="740" customWidth="1"/>
    <col min="2" max="2" width="14" style="740" customWidth="1"/>
    <col min="3" max="256" width="9.33203125" style="740"/>
    <col min="257" max="257" width="73" style="740" customWidth="1"/>
    <col min="258" max="258" width="14" style="740" customWidth="1"/>
    <col min="259" max="512" width="9.33203125" style="740"/>
    <col min="513" max="513" width="73" style="740" customWidth="1"/>
    <col min="514" max="514" width="14" style="740" customWidth="1"/>
    <col min="515" max="768" width="9.33203125" style="740"/>
    <col min="769" max="769" width="73" style="740" customWidth="1"/>
    <col min="770" max="770" width="14" style="740" customWidth="1"/>
    <col min="771" max="1024" width="9.33203125" style="740"/>
    <col min="1025" max="1025" width="73" style="740" customWidth="1"/>
    <col min="1026" max="1026" width="14" style="740" customWidth="1"/>
    <col min="1027" max="1280" width="9.33203125" style="740"/>
    <col min="1281" max="1281" width="73" style="740" customWidth="1"/>
    <col min="1282" max="1282" width="14" style="740" customWidth="1"/>
    <col min="1283" max="1536" width="9.33203125" style="740"/>
    <col min="1537" max="1537" width="73" style="740" customWidth="1"/>
    <col min="1538" max="1538" width="14" style="740" customWidth="1"/>
    <col min="1539" max="1792" width="9.33203125" style="740"/>
    <col min="1793" max="1793" width="73" style="740" customWidth="1"/>
    <col min="1794" max="1794" width="14" style="740" customWidth="1"/>
    <col min="1795" max="2048" width="9.33203125" style="740"/>
    <col min="2049" max="2049" width="73" style="740" customWidth="1"/>
    <col min="2050" max="2050" width="14" style="740" customWidth="1"/>
    <col min="2051" max="2304" width="9.33203125" style="740"/>
    <col min="2305" max="2305" width="73" style="740" customWidth="1"/>
    <col min="2306" max="2306" width="14" style="740" customWidth="1"/>
    <col min="2307" max="2560" width="9.33203125" style="740"/>
    <col min="2561" max="2561" width="73" style="740" customWidth="1"/>
    <col min="2562" max="2562" width="14" style="740" customWidth="1"/>
    <col min="2563" max="2816" width="9.33203125" style="740"/>
    <col min="2817" max="2817" width="73" style="740" customWidth="1"/>
    <col min="2818" max="2818" width="14" style="740" customWidth="1"/>
    <col min="2819" max="3072" width="9.33203125" style="740"/>
    <col min="3073" max="3073" width="73" style="740" customWidth="1"/>
    <col min="3074" max="3074" width="14" style="740" customWidth="1"/>
    <col min="3075" max="3328" width="9.33203125" style="740"/>
    <col min="3329" max="3329" width="73" style="740" customWidth="1"/>
    <col min="3330" max="3330" width="14" style="740" customWidth="1"/>
    <col min="3331" max="3584" width="9.33203125" style="740"/>
    <col min="3585" max="3585" width="73" style="740" customWidth="1"/>
    <col min="3586" max="3586" width="14" style="740" customWidth="1"/>
    <col min="3587" max="3840" width="9.33203125" style="740"/>
    <col min="3841" max="3841" width="73" style="740" customWidth="1"/>
    <col min="3842" max="3842" width="14" style="740" customWidth="1"/>
    <col min="3843" max="4096" width="9.33203125" style="740"/>
    <col min="4097" max="4097" width="73" style="740" customWidth="1"/>
    <col min="4098" max="4098" width="14" style="740" customWidth="1"/>
    <col min="4099" max="4352" width="9.33203125" style="740"/>
    <col min="4353" max="4353" width="73" style="740" customWidth="1"/>
    <col min="4354" max="4354" width="14" style="740" customWidth="1"/>
    <col min="4355" max="4608" width="9.33203125" style="740"/>
    <col min="4609" max="4609" width="73" style="740" customWidth="1"/>
    <col min="4610" max="4610" width="14" style="740" customWidth="1"/>
    <col min="4611" max="4864" width="9.33203125" style="740"/>
    <col min="4865" max="4865" width="73" style="740" customWidth="1"/>
    <col min="4866" max="4866" width="14" style="740" customWidth="1"/>
    <col min="4867" max="5120" width="9.33203125" style="740"/>
    <col min="5121" max="5121" width="73" style="740" customWidth="1"/>
    <col min="5122" max="5122" width="14" style="740" customWidth="1"/>
    <col min="5123" max="5376" width="9.33203125" style="740"/>
    <col min="5377" max="5377" width="73" style="740" customWidth="1"/>
    <col min="5378" max="5378" width="14" style="740" customWidth="1"/>
    <col min="5379" max="5632" width="9.33203125" style="740"/>
    <col min="5633" max="5633" width="73" style="740" customWidth="1"/>
    <col min="5634" max="5634" width="14" style="740" customWidth="1"/>
    <col min="5635" max="5888" width="9.33203125" style="740"/>
    <col min="5889" max="5889" width="73" style="740" customWidth="1"/>
    <col min="5890" max="5890" width="14" style="740" customWidth="1"/>
    <col min="5891" max="6144" width="9.33203125" style="740"/>
    <col min="6145" max="6145" width="73" style="740" customWidth="1"/>
    <col min="6146" max="6146" width="14" style="740" customWidth="1"/>
    <col min="6147" max="6400" width="9.33203125" style="740"/>
    <col min="6401" max="6401" width="73" style="740" customWidth="1"/>
    <col min="6402" max="6402" width="14" style="740" customWidth="1"/>
    <col min="6403" max="6656" width="9.33203125" style="740"/>
    <col min="6657" max="6657" width="73" style="740" customWidth="1"/>
    <col min="6658" max="6658" width="14" style="740" customWidth="1"/>
    <col min="6659" max="6912" width="9.33203125" style="740"/>
    <col min="6913" max="6913" width="73" style="740" customWidth="1"/>
    <col min="6914" max="6914" width="14" style="740" customWidth="1"/>
    <col min="6915" max="7168" width="9.33203125" style="740"/>
    <col min="7169" max="7169" width="73" style="740" customWidth="1"/>
    <col min="7170" max="7170" width="14" style="740" customWidth="1"/>
    <col min="7171" max="7424" width="9.33203125" style="740"/>
    <col min="7425" max="7425" width="73" style="740" customWidth="1"/>
    <col min="7426" max="7426" width="14" style="740" customWidth="1"/>
    <col min="7427" max="7680" width="9.33203125" style="740"/>
    <col min="7681" max="7681" width="73" style="740" customWidth="1"/>
    <col min="7682" max="7682" width="14" style="740" customWidth="1"/>
    <col min="7683" max="7936" width="9.33203125" style="740"/>
    <col min="7937" max="7937" width="73" style="740" customWidth="1"/>
    <col min="7938" max="7938" width="14" style="740" customWidth="1"/>
    <col min="7939" max="8192" width="9.33203125" style="740"/>
    <col min="8193" max="8193" width="73" style="740" customWidth="1"/>
    <col min="8194" max="8194" width="14" style="740" customWidth="1"/>
    <col min="8195" max="8448" width="9.33203125" style="740"/>
    <col min="8449" max="8449" width="73" style="740" customWidth="1"/>
    <col min="8450" max="8450" width="14" style="740" customWidth="1"/>
    <col min="8451" max="8704" width="9.33203125" style="740"/>
    <col min="8705" max="8705" width="73" style="740" customWidth="1"/>
    <col min="8706" max="8706" width="14" style="740" customWidth="1"/>
    <col min="8707" max="8960" width="9.33203125" style="740"/>
    <col min="8961" max="8961" width="73" style="740" customWidth="1"/>
    <col min="8962" max="8962" width="14" style="740" customWidth="1"/>
    <col min="8963" max="9216" width="9.33203125" style="740"/>
    <col min="9217" max="9217" width="73" style="740" customWidth="1"/>
    <col min="9218" max="9218" width="14" style="740" customWidth="1"/>
    <col min="9219" max="9472" width="9.33203125" style="740"/>
    <col min="9473" max="9473" width="73" style="740" customWidth="1"/>
    <col min="9474" max="9474" width="14" style="740" customWidth="1"/>
    <col min="9475" max="9728" width="9.33203125" style="740"/>
    <col min="9729" max="9729" width="73" style="740" customWidth="1"/>
    <col min="9730" max="9730" width="14" style="740" customWidth="1"/>
    <col min="9731" max="9984" width="9.33203125" style="740"/>
    <col min="9985" max="9985" width="73" style="740" customWidth="1"/>
    <col min="9986" max="9986" width="14" style="740" customWidth="1"/>
    <col min="9987" max="10240" width="9.33203125" style="740"/>
    <col min="10241" max="10241" width="73" style="740" customWidth="1"/>
    <col min="10242" max="10242" width="14" style="740" customWidth="1"/>
    <col min="10243" max="10496" width="9.33203125" style="740"/>
    <col min="10497" max="10497" width="73" style="740" customWidth="1"/>
    <col min="10498" max="10498" width="14" style="740" customWidth="1"/>
    <col min="10499" max="10752" width="9.33203125" style="740"/>
    <col min="10753" max="10753" width="73" style="740" customWidth="1"/>
    <col min="10754" max="10754" width="14" style="740" customWidth="1"/>
    <col min="10755" max="11008" width="9.33203125" style="740"/>
    <col min="11009" max="11009" width="73" style="740" customWidth="1"/>
    <col min="11010" max="11010" width="14" style="740" customWidth="1"/>
    <col min="11011" max="11264" width="9.33203125" style="740"/>
    <col min="11265" max="11265" width="73" style="740" customWidth="1"/>
    <col min="11266" max="11266" width="14" style="740" customWidth="1"/>
    <col min="11267" max="11520" width="9.33203125" style="740"/>
    <col min="11521" max="11521" width="73" style="740" customWidth="1"/>
    <col min="11522" max="11522" width="14" style="740" customWidth="1"/>
    <col min="11523" max="11776" width="9.33203125" style="740"/>
    <col min="11777" max="11777" width="73" style="740" customWidth="1"/>
    <col min="11778" max="11778" width="14" style="740" customWidth="1"/>
    <col min="11779" max="12032" width="9.33203125" style="740"/>
    <col min="12033" max="12033" width="73" style="740" customWidth="1"/>
    <col min="12034" max="12034" width="14" style="740" customWidth="1"/>
    <col min="12035" max="12288" width="9.33203125" style="740"/>
    <col min="12289" max="12289" width="73" style="740" customWidth="1"/>
    <col min="12290" max="12290" width="14" style="740" customWidth="1"/>
    <col min="12291" max="12544" width="9.33203125" style="740"/>
    <col min="12545" max="12545" width="73" style="740" customWidth="1"/>
    <col min="12546" max="12546" width="14" style="740" customWidth="1"/>
    <col min="12547" max="12800" width="9.33203125" style="740"/>
    <col min="12801" max="12801" width="73" style="740" customWidth="1"/>
    <col min="12802" max="12802" width="14" style="740" customWidth="1"/>
    <col min="12803" max="13056" width="9.33203125" style="740"/>
    <col min="13057" max="13057" width="73" style="740" customWidth="1"/>
    <col min="13058" max="13058" width="14" style="740" customWidth="1"/>
    <col min="13059" max="13312" width="9.33203125" style="740"/>
    <col min="13313" max="13313" width="73" style="740" customWidth="1"/>
    <col min="13314" max="13314" width="14" style="740" customWidth="1"/>
    <col min="13315" max="13568" width="9.33203125" style="740"/>
    <col min="13569" max="13569" width="73" style="740" customWidth="1"/>
    <col min="13570" max="13570" width="14" style="740" customWidth="1"/>
    <col min="13571" max="13824" width="9.33203125" style="740"/>
    <col min="13825" max="13825" width="73" style="740" customWidth="1"/>
    <col min="13826" max="13826" width="14" style="740" customWidth="1"/>
    <col min="13827" max="14080" width="9.33203125" style="740"/>
    <col min="14081" max="14081" width="73" style="740" customWidth="1"/>
    <col min="14082" max="14082" width="14" style="740" customWidth="1"/>
    <col min="14083" max="14336" width="9.33203125" style="740"/>
    <col min="14337" max="14337" width="73" style="740" customWidth="1"/>
    <col min="14338" max="14338" width="14" style="740" customWidth="1"/>
    <col min="14339" max="14592" width="9.33203125" style="740"/>
    <col min="14593" max="14593" width="73" style="740" customWidth="1"/>
    <col min="14594" max="14594" width="14" style="740" customWidth="1"/>
    <col min="14595" max="14848" width="9.33203125" style="740"/>
    <col min="14849" max="14849" width="73" style="740" customWidth="1"/>
    <col min="14850" max="14850" width="14" style="740" customWidth="1"/>
    <col min="14851" max="15104" width="9.33203125" style="740"/>
    <col min="15105" max="15105" width="73" style="740" customWidth="1"/>
    <col min="15106" max="15106" width="14" style="740" customWidth="1"/>
    <col min="15107" max="15360" width="9.33203125" style="740"/>
    <col min="15361" max="15361" width="73" style="740" customWidth="1"/>
    <col min="15362" max="15362" width="14" style="740" customWidth="1"/>
    <col min="15363" max="15616" width="9.33203125" style="740"/>
    <col min="15617" max="15617" width="73" style="740" customWidth="1"/>
    <col min="15618" max="15618" width="14" style="740" customWidth="1"/>
    <col min="15619" max="15872" width="9.33203125" style="740"/>
    <col min="15873" max="15873" width="73" style="740" customWidth="1"/>
    <col min="15874" max="15874" width="14" style="740" customWidth="1"/>
    <col min="15875" max="16128" width="9.33203125" style="740"/>
    <col min="16129" max="16129" width="73" style="740" customWidth="1"/>
    <col min="16130" max="16130" width="14" style="740" customWidth="1"/>
    <col min="16131" max="16384" width="9.33203125" style="740"/>
  </cols>
  <sheetData>
    <row r="1" spans="1:5" ht="13.8" x14ac:dyDescent="0.3">
      <c r="A1" s="1741" t="s">
        <v>1761</v>
      </c>
      <c r="B1" s="1742"/>
      <c r="C1" s="757"/>
      <c r="D1" s="757"/>
      <c r="E1" s="757"/>
    </row>
    <row r="4" spans="1:5" ht="20.399999999999999" x14ac:dyDescent="0.35">
      <c r="A4" s="1743" t="s">
        <v>1604</v>
      </c>
      <c r="B4" s="1743"/>
      <c r="C4" s="758"/>
      <c r="D4" s="758"/>
      <c r="E4" s="758"/>
    </row>
    <row r="5" spans="1:5" ht="20.399999999999999" x14ac:dyDescent="0.35">
      <c r="A5" s="1743" t="s">
        <v>1760</v>
      </c>
      <c r="B5" s="1743"/>
      <c r="C5" s="758"/>
      <c r="D5" s="758"/>
      <c r="E5" s="758"/>
    </row>
    <row r="6" spans="1:5" ht="18" x14ac:dyDescent="0.35">
      <c r="A6" s="741"/>
    </row>
    <row r="7" spans="1:5" ht="18" x14ac:dyDescent="0.35">
      <c r="A7" s="741"/>
    </row>
    <row r="8" spans="1:5" ht="18" x14ac:dyDescent="0.35">
      <c r="A8" s="741"/>
    </row>
    <row r="10" spans="1:5" ht="26.4" x14ac:dyDescent="0.25">
      <c r="A10" s="742" t="s">
        <v>293</v>
      </c>
      <c r="B10" s="743" t="s">
        <v>1660</v>
      </c>
    </row>
    <row r="11" spans="1:5" x14ac:dyDescent="0.25">
      <c r="A11" s="1739" t="s">
        <v>421</v>
      </c>
      <c r="B11" s="1740"/>
    </row>
    <row r="12" spans="1:5" x14ac:dyDescent="0.25">
      <c r="A12" s="744" t="s">
        <v>1661</v>
      </c>
      <c r="B12" s="745">
        <v>1</v>
      </c>
    </row>
    <row r="13" spans="1:5" x14ac:dyDescent="0.25">
      <c r="A13" s="744" t="s">
        <v>1662</v>
      </c>
      <c r="B13" s="745">
        <v>1</v>
      </c>
    </row>
    <row r="14" spans="1:5" x14ac:dyDescent="0.25">
      <c r="A14" s="744" t="s">
        <v>1663</v>
      </c>
      <c r="B14" s="745">
        <v>5</v>
      </c>
    </row>
    <row r="15" spans="1:5" x14ac:dyDescent="0.25">
      <c r="A15" s="746" t="s">
        <v>1664</v>
      </c>
      <c r="B15" s="747">
        <v>2</v>
      </c>
    </row>
    <row r="16" spans="1:5" x14ac:dyDescent="0.25">
      <c r="A16" s="748" t="s">
        <v>1665</v>
      </c>
      <c r="B16" s="749">
        <f>SUM(B12:B15)</f>
        <v>9</v>
      </c>
    </row>
    <row r="17" spans="1:2" x14ac:dyDescent="0.25">
      <c r="A17" s="1739" t="s">
        <v>497</v>
      </c>
      <c r="B17" s="1740"/>
    </row>
    <row r="18" spans="1:2" x14ac:dyDescent="0.25">
      <c r="A18" s="750" t="s">
        <v>1666</v>
      </c>
      <c r="B18" s="745">
        <v>7</v>
      </c>
    </row>
    <row r="19" spans="1:2" x14ac:dyDescent="0.25">
      <c r="A19" s="750" t="s">
        <v>1667</v>
      </c>
      <c r="B19" s="745">
        <v>4</v>
      </c>
    </row>
    <row r="20" spans="1:2" x14ac:dyDescent="0.25">
      <c r="A20" s="751" t="s">
        <v>1668</v>
      </c>
      <c r="B20" s="745">
        <v>3</v>
      </c>
    </row>
    <row r="21" spans="1:2" x14ac:dyDescent="0.25">
      <c r="A21" s="750" t="s">
        <v>1669</v>
      </c>
      <c r="B21" s="752">
        <v>2</v>
      </c>
    </row>
    <row r="22" spans="1:2" x14ac:dyDescent="0.25">
      <c r="A22" s="753" t="s">
        <v>1670</v>
      </c>
      <c r="B22" s="754">
        <f>SUM(B18:B21)</f>
        <v>16</v>
      </c>
    </row>
    <row r="23" spans="1:2" x14ac:dyDescent="0.25">
      <c r="A23" s="1739" t="s">
        <v>496</v>
      </c>
      <c r="B23" s="1740">
        <v>21.5</v>
      </c>
    </row>
    <row r="24" spans="1:2" x14ac:dyDescent="0.25">
      <c r="A24" s="750" t="s">
        <v>1671</v>
      </c>
      <c r="B24" s="752">
        <v>14.5</v>
      </c>
    </row>
    <row r="25" spans="1:2" x14ac:dyDescent="0.25">
      <c r="A25" s="750" t="s">
        <v>1672</v>
      </c>
      <c r="B25" s="752">
        <v>7</v>
      </c>
    </row>
    <row r="26" spans="1:2" x14ac:dyDescent="0.25">
      <c r="A26" s="753" t="s">
        <v>1673</v>
      </c>
      <c r="B26" s="754">
        <f>SUM(B24:B25)</f>
        <v>21.5</v>
      </c>
    </row>
    <row r="27" spans="1:2" x14ac:dyDescent="0.25">
      <c r="A27" s="755" t="s">
        <v>1674</v>
      </c>
      <c r="B27" s="756">
        <f>SUM(B16+B22+B26)</f>
        <v>46.5</v>
      </c>
    </row>
  </sheetData>
  <mergeCells count="6">
    <mergeCell ref="A11:B11"/>
    <mergeCell ref="A17:B17"/>
    <mergeCell ref="A23:B23"/>
    <mergeCell ref="A1:B1"/>
    <mergeCell ref="A4:B4"/>
    <mergeCell ref="A5:B5"/>
  </mergeCells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92D050"/>
  </sheetPr>
  <dimension ref="A1:G38"/>
  <sheetViews>
    <sheetView showGridLines="0" view="pageLayout" zoomScaleNormal="100" workbookViewId="0">
      <selection activeCell="E4" sqref="E4:G4"/>
    </sheetView>
  </sheetViews>
  <sheetFormatPr defaultColWidth="9.33203125" defaultRowHeight="13.2" x14ac:dyDescent="0.25"/>
  <cols>
    <col min="1" max="1" width="7" style="331" customWidth="1"/>
    <col min="2" max="2" width="32" style="32" customWidth="1"/>
    <col min="3" max="3" width="12.44140625" style="32" customWidth="1"/>
    <col min="4" max="6" width="11.77734375" style="32" customWidth="1"/>
    <col min="7" max="7" width="12.77734375" style="32" customWidth="1"/>
    <col min="8" max="16384" width="9.33203125" style="32"/>
  </cols>
  <sheetData>
    <row r="1" spans="1:7" x14ac:dyDescent="0.25">
      <c r="B1" s="1746" t="s">
        <v>1687</v>
      </c>
      <c r="C1" s="1747"/>
      <c r="D1" s="1747"/>
      <c r="E1" s="1747"/>
      <c r="F1" s="1747"/>
      <c r="G1" s="1747"/>
    </row>
    <row r="2" spans="1:7" x14ac:dyDescent="0.25">
      <c r="A2" s="1744"/>
      <c r="B2" s="1745"/>
      <c r="C2" s="1745"/>
      <c r="D2" s="1745"/>
      <c r="E2" s="1745"/>
      <c r="F2" s="1745"/>
      <c r="G2" s="1745"/>
    </row>
    <row r="3" spans="1:7" ht="17.25" customHeight="1" thickBot="1" x14ac:dyDescent="0.3">
      <c r="G3" s="39" t="s">
        <v>1690</v>
      </c>
    </row>
    <row r="4" spans="1:7" s="332" customFormat="1" ht="54" customHeight="1" thickBot="1" x14ac:dyDescent="0.3">
      <c r="A4" s="1752" t="s">
        <v>487</v>
      </c>
      <c r="B4" s="1754" t="s">
        <v>488</v>
      </c>
      <c r="C4" s="1754" t="s">
        <v>489</v>
      </c>
      <c r="D4" s="1754" t="s">
        <v>490</v>
      </c>
      <c r="E4" s="1748" t="s">
        <v>491</v>
      </c>
      <c r="F4" s="1748"/>
      <c r="G4" s="1749"/>
    </row>
    <row r="5" spans="1:7" s="333" customFormat="1" ht="39.75" customHeight="1" thickBot="1" x14ac:dyDescent="0.3">
      <c r="A5" s="1753"/>
      <c r="B5" s="1755"/>
      <c r="C5" s="1755"/>
      <c r="D5" s="1755"/>
      <c r="E5" s="30" t="s">
        <v>492</v>
      </c>
      <c r="F5" s="30" t="s">
        <v>493</v>
      </c>
      <c r="G5" s="661" t="s">
        <v>494</v>
      </c>
    </row>
    <row r="6" spans="1:7" ht="15" customHeight="1" thickBot="1" x14ac:dyDescent="0.3">
      <c r="A6" s="498" t="s">
        <v>46</v>
      </c>
      <c r="B6" s="499" t="s">
        <v>47</v>
      </c>
      <c r="C6" s="499" t="s">
        <v>48</v>
      </c>
      <c r="D6" s="499" t="s">
        <v>49</v>
      </c>
      <c r="E6" s="499" t="s">
        <v>495</v>
      </c>
      <c r="F6" s="499" t="s">
        <v>294</v>
      </c>
      <c r="G6" s="583" t="s">
        <v>295</v>
      </c>
    </row>
    <row r="7" spans="1:7" ht="15" customHeight="1" x14ac:dyDescent="0.25">
      <c r="A7" s="334" t="s">
        <v>51</v>
      </c>
      <c r="B7" s="335" t="s">
        <v>421</v>
      </c>
      <c r="C7" s="336">
        <v>160474200</v>
      </c>
      <c r="D7" s="336"/>
      <c r="E7" s="337">
        <f>C7+D7</f>
        <v>160474200</v>
      </c>
      <c r="F7" s="336">
        <f>E7-G7</f>
        <v>160474200</v>
      </c>
      <c r="G7" s="338"/>
    </row>
    <row r="8" spans="1:7" ht="15" customHeight="1" x14ac:dyDescent="0.25">
      <c r="A8" s="339" t="s">
        <v>65</v>
      </c>
      <c r="B8" s="340" t="s">
        <v>496</v>
      </c>
      <c r="C8" s="2">
        <v>3373205</v>
      </c>
      <c r="D8" s="2"/>
      <c r="E8" s="337">
        <f t="shared" ref="E8:E37" si="0">C8+D8</f>
        <v>3373205</v>
      </c>
      <c r="F8" s="336">
        <f t="shared" ref="F8:F9" si="1">E8-G8</f>
        <v>3373205</v>
      </c>
      <c r="G8" s="174"/>
    </row>
    <row r="9" spans="1:7" ht="15" customHeight="1" x14ac:dyDescent="0.25">
      <c r="A9" s="339" t="s">
        <v>79</v>
      </c>
      <c r="B9" s="340" t="s">
        <v>497</v>
      </c>
      <c r="C9" s="2">
        <v>2791102</v>
      </c>
      <c r="D9" s="2"/>
      <c r="E9" s="337">
        <f t="shared" si="0"/>
        <v>2791102</v>
      </c>
      <c r="F9" s="336">
        <f t="shared" si="1"/>
        <v>2791102</v>
      </c>
      <c r="G9" s="174"/>
    </row>
    <row r="10" spans="1:7" ht="15" customHeight="1" x14ac:dyDescent="0.25">
      <c r="A10" s="339" t="s">
        <v>262</v>
      </c>
      <c r="B10" s="340"/>
      <c r="C10" s="2"/>
      <c r="D10" s="2"/>
      <c r="E10" s="337">
        <f t="shared" si="0"/>
        <v>0</v>
      </c>
      <c r="F10" s="2"/>
      <c r="G10" s="174"/>
    </row>
    <row r="11" spans="1:7" ht="15" customHeight="1" x14ac:dyDescent="0.25">
      <c r="A11" s="339" t="s">
        <v>107</v>
      </c>
      <c r="B11" s="340"/>
      <c r="C11" s="2"/>
      <c r="D11" s="2"/>
      <c r="E11" s="337">
        <f t="shared" si="0"/>
        <v>0</v>
      </c>
      <c r="F11" s="2"/>
      <c r="G11" s="174"/>
    </row>
    <row r="12" spans="1:7" ht="15" customHeight="1" x14ac:dyDescent="0.25">
      <c r="A12" s="339" t="s">
        <v>129</v>
      </c>
      <c r="B12" s="340"/>
      <c r="C12" s="2"/>
      <c r="D12" s="2"/>
      <c r="E12" s="337">
        <f t="shared" si="0"/>
        <v>0</v>
      </c>
      <c r="F12" s="2"/>
      <c r="G12" s="174"/>
    </row>
    <row r="13" spans="1:7" ht="15" customHeight="1" x14ac:dyDescent="0.25">
      <c r="A13" s="339" t="s">
        <v>273</v>
      </c>
      <c r="B13" s="340"/>
      <c r="C13" s="2"/>
      <c r="D13" s="2"/>
      <c r="E13" s="337">
        <f t="shared" si="0"/>
        <v>0</v>
      </c>
      <c r="F13" s="2"/>
      <c r="G13" s="174"/>
    </row>
    <row r="14" spans="1:7" ht="15" customHeight="1" x14ac:dyDescent="0.25">
      <c r="A14" s="339" t="s">
        <v>151</v>
      </c>
      <c r="B14" s="340"/>
      <c r="C14" s="2"/>
      <c r="D14" s="2"/>
      <c r="E14" s="337">
        <f t="shared" si="0"/>
        <v>0</v>
      </c>
      <c r="F14" s="2"/>
      <c r="G14" s="174"/>
    </row>
    <row r="15" spans="1:7" ht="15" customHeight="1" x14ac:dyDescent="0.25">
      <c r="A15" s="339" t="s">
        <v>161</v>
      </c>
      <c r="B15" s="340"/>
      <c r="C15" s="2"/>
      <c r="D15" s="2"/>
      <c r="E15" s="337">
        <f t="shared" si="0"/>
        <v>0</v>
      </c>
      <c r="F15" s="2"/>
      <c r="G15" s="174"/>
    </row>
    <row r="16" spans="1:7" ht="15" customHeight="1" x14ac:dyDescent="0.25">
      <c r="A16" s="339" t="s">
        <v>285</v>
      </c>
      <c r="B16" s="340"/>
      <c r="C16" s="2"/>
      <c r="D16" s="2"/>
      <c r="E16" s="337">
        <f t="shared" si="0"/>
        <v>0</v>
      </c>
      <c r="F16" s="2"/>
      <c r="G16" s="174"/>
    </row>
    <row r="17" spans="1:7" ht="15" customHeight="1" x14ac:dyDescent="0.25">
      <c r="A17" s="339" t="s">
        <v>307</v>
      </c>
      <c r="B17" s="340"/>
      <c r="C17" s="2"/>
      <c r="D17" s="2"/>
      <c r="E17" s="337">
        <f t="shared" si="0"/>
        <v>0</v>
      </c>
      <c r="F17" s="2"/>
      <c r="G17" s="174"/>
    </row>
    <row r="18" spans="1:7" ht="15" customHeight="1" x14ac:dyDescent="0.25">
      <c r="A18" s="339" t="s">
        <v>308</v>
      </c>
      <c r="B18" s="340"/>
      <c r="C18" s="2"/>
      <c r="D18" s="2"/>
      <c r="E18" s="337">
        <f t="shared" si="0"/>
        <v>0</v>
      </c>
      <c r="F18" s="2"/>
      <c r="G18" s="174"/>
    </row>
    <row r="19" spans="1:7" ht="15" customHeight="1" x14ac:dyDescent="0.25">
      <c r="A19" s="339" t="s">
        <v>309</v>
      </c>
      <c r="B19" s="340"/>
      <c r="C19" s="2"/>
      <c r="D19" s="2"/>
      <c r="E19" s="337">
        <f t="shared" si="0"/>
        <v>0</v>
      </c>
      <c r="F19" s="2"/>
      <c r="G19" s="174"/>
    </row>
    <row r="20" spans="1:7" ht="15" customHeight="1" x14ac:dyDescent="0.25">
      <c r="A20" s="339" t="s">
        <v>312</v>
      </c>
      <c r="B20" s="340"/>
      <c r="C20" s="2"/>
      <c r="D20" s="2"/>
      <c r="E20" s="337">
        <f t="shared" si="0"/>
        <v>0</v>
      </c>
      <c r="F20" s="2"/>
      <c r="G20" s="174"/>
    </row>
    <row r="21" spans="1:7" ht="15" customHeight="1" x14ac:dyDescent="0.25">
      <c r="A21" s="339" t="s">
        <v>315</v>
      </c>
      <c r="B21" s="340"/>
      <c r="C21" s="2"/>
      <c r="D21" s="2"/>
      <c r="E21" s="337">
        <f t="shared" si="0"/>
        <v>0</v>
      </c>
      <c r="F21" s="2"/>
      <c r="G21" s="174"/>
    </row>
    <row r="22" spans="1:7" ht="15" customHeight="1" x14ac:dyDescent="0.25">
      <c r="A22" s="339" t="s">
        <v>318</v>
      </c>
      <c r="B22" s="340"/>
      <c r="C22" s="2"/>
      <c r="D22" s="2"/>
      <c r="E22" s="337">
        <f t="shared" si="0"/>
        <v>0</v>
      </c>
      <c r="F22" s="2"/>
      <c r="G22" s="174"/>
    </row>
    <row r="23" spans="1:7" ht="15" customHeight="1" x14ac:dyDescent="0.25">
      <c r="A23" s="339" t="s">
        <v>321</v>
      </c>
      <c r="B23" s="340"/>
      <c r="C23" s="2"/>
      <c r="D23" s="2"/>
      <c r="E23" s="337">
        <f t="shared" si="0"/>
        <v>0</v>
      </c>
      <c r="F23" s="2"/>
      <c r="G23" s="174"/>
    </row>
    <row r="24" spans="1:7" ht="15" customHeight="1" x14ac:dyDescent="0.25">
      <c r="A24" s="339" t="s">
        <v>324</v>
      </c>
      <c r="B24" s="340"/>
      <c r="C24" s="2"/>
      <c r="D24" s="2"/>
      <c r="E24" s="337">
        <f t="shared" si="0"/>
        <v>0</v>
      </c>
      <c r="F24" s="2"/>
      <c r="G24" s="174"/>
    </row>
    <row r="25" spans="1:7" ht="15" customHeight="1" x14ac:dyDescent="0.25">
      <c r="A25" s="339" t="s">
        <v>327</v>
      </c>
      <c r="B25" s="340"/>
      <c r="C25" s="2"/>
      <c r="D25" s="2"/>
      <c r="E25" s="337">
        <f t="shared" si="0"/>
        <v>0</v>
      </c>
      <c r="F25" s="2"/>
      <c r="G25" s="174"/>
    </row>
    <row r="26" spans="1:7" ht="15" customHeight="1" x14ac:dyDescent="0.25">
      <c r="A26" s="339" t="s">
        <v>330</v>
      </c>
      <c r="B26" s="340"/>
      <c r="C26" s="2"/>
      <c r="D26" s="2"/>
      <c r="E26" s="337">
        <f t="shared" si="0"/>
        <v>0</v>
      </c>
      <c r="F26" s="2"/>
      <c r="G26" s="174"/>
    </row>
    <row r="27" spans="1:7" ht="15" customHeight="1" x14ac:dyDescent="0.25">
      <c r="A27" s="339" t="s">
        <v>333</v>
      </c>
      <c r="B27" s="340"/>
      <c r="C27" s="2"/>
      <c r="D27" s="2"/>
      <c r="E27" s="337">
        <f t="shared" si="0"/>
        <v>0</v>
      </c>
      <c r="F27" s="2"/>
      <c r="G27" s="174"/>
    </row>
    <row r="28" spans="1:7" ht="15" customHeight="1" x14ac:dyDescent="0.25">
      <c r="A28" s="339" t="s">
        <v>336</v>
      </c>
      <c r="B28" s="340"/>
      <c r="C28" s="2"/>
      <c r="D28" s="2"/>
      <c r="E28" s="337">
        <f t="shared" si="0"/>
        <v>0</v>
      </c>
      <c r="F28" s="2"/>
      <c r="G28" s="174"/>
    </row>
    <row r="29" spans="1:7" ht="15" customHeight="1" x14ac:dyDescent="0.25">
      <c r="A29" s="339" t="s">
        <v>339</v>
      </c>
      <c r="B29" s="340"/>
      <c r="C29" s="2"/>
      <c r="D29" s="2"/>
      <c r="E29" s="337">
        <f t="shared" si="0"/>
        <v>0</v>
      </c>
      <c r="F29" s="2"/>
      <c r="G29" s="174"/>
    </row>
    <row r="30" spans="1:7" ht="15" customHeight="1" x14ac:dyDescent="0.25">
      <c r="A30" s="339" t="s">
        <v>342</v>
      </c>
      <c r="B30" s="340"/>
      <c r="C30" s="2"/>
      <c r="D30" s="2"/>
      <c r="E30" s="337">
        <f t="shared" si="0"/>
        <v>0</v>
      </c>
      <c r="F30" s="2"/>
      <c r="G30" s="174"/>
    </row>
    <row r="31" spans="1:7" ht="15" customHeight="1" x14ac:dyDescent="0.25">
      <c r="A31" s="339" t="s">
        <v>345</v>
      </c>
      <c r="B31" s="340"/>
      <c r="C31" s="2"/>
      <c r="D31" s="2"/>
      <c r="E31" s="337">
        <f t="shared" si="0"/>
        <v>0</v>
      </c>
      <c r="F31" s="2"/>
      <c r="G31" s="174"/>
    </row>
    <row r="32" spans="1:7" ht="15" customHeight="1" x14ac:dyDescent="0.25">
      <c r="A32" s="339" t="s">
        <v>375</v>
      </c>
      <c r="B32" s="340"/>
      <c r="C32" s="2"/>
      <c r="D32" s="2"/>
      <c r="E32" s="337"/>
      <c r="F32" s="2"/>
      <c r="G32" s="174"/>
    </row>
    <row r="33" spans="1:7" ht="15" customHeight="1" x14ac:dyDescent="0.25">
      <c r="A33" s="339" t="s">
        <v>378</v>
      </c>
      <c r="B33" s="340"/>
      <c r="C33" s="2"/>
      <c r="D33" s="2"/>
      <c r="E33" s="337">
        <f t="shared" si="0"/>
        <v>0</v>
      </c>
      <c r="F33" s="2"/>
      <c r="G33" s="174"/>
    </row>
    <row r="34" spans="1:7" ht="15" customHeight="1" x14ac:dyDescent="0.25">
      <c r="A34" s="339" t="s">
        <v>379</v>
      </c>
      <c r="B34" s="340"/>
      <c r="C34" s="2"/>
      <c r="D34" s="2"/>
      <c r="E34" s="337">
        <f t="shared" si="0"/>
        <v>0</v>
      </c>
      <c r="F34" s="2"/>
      <c r="G34" s="174"/>
    </row>
    <row r="35" spans="1:7" ht="15" customHeight="1" x14ac:dyDescent="0.25">
      <c r="A35" s="339" t="s">
        <v>498</v>
      </c>
      <c r="B35" s="340"/>
      <c r="C35" s="2"/>
      <c r="D35" s="2"/>
      <c r="E35" s="337">
        <f t="shared" si="0"/>
        <v>0</v>
      </c>
      <c r="F35" s="2"/>
      <c r="G35" s="174"/>
    </row>
    <row r="36" spans="1:7" ht="15" customHeight="1" x14ac:dyDescent="0.25">
      <c r="A36" s="339" t="s">
        <v>499</v>
      </c>
      <c r="B36" s="340"/>
      <c r="C36" s="2"/>
      <c r="D36" s="2"/>
      <c r="E36" s="337">
        <f t="shared" si="0"/>
        <v>0</v>
      </c>
      <c r="F36" s="2"/>
      <c r="G36" s="174"/>
    </row>
    <row r="37" spans="1:7" ht="15" customHeight="1" thickBot="1" x14ac:dyDescent="0.3">
      <c r="A37" s="339" t="s">
        <v>500</v>
      </c>
      <c r="B37" s="341"/>
      <c r="C37" s="3"/>
      <c r="D37" s="3"/>
      <c r="E37" s="337">
        <f t="shared" si="0"/>
        <v>0</v>
      </c>
      <c r="F37" s="3"/>
      <c r="G37" s="342"/>
    </row>
    <row r="38" spans="1:7" ht="13.8" thickBot="1" x14ac:dyDescent="0.3">
      <c r="A38" s="1750" t="s">
        <v>420</v>
      </c>
      <c r="B38" s="1751"/>
      <c r="C38" s="14">
        <f>SUM(C7:C37)</f>
        <v>166638507</v>
      </c>
      <c r="D38" s="14">
        <f>SUM(D7:D37)</f>
        <v>0</v>
      </c>
      <c r="E38" s="14">
        <f>SUM(E7:E37)</f>
        <v>166638507</v>
      </c>
      <c r="F38" s="14">
        <f>SUM(F7:F37)</f>
        <v>166638507</v>
      </c>
      <c r="G38" s="15">
        <f>SUM(G7:G37)</f>
        <v>0</v>
      </c>
    </row>
  </sheetData>
  <mergeCells count="8">
    <mergeCell ref="A2:G2"/>
    <mergeCell ref="B1:G1"/>
    <mergeCell ref="E4:G4"/>
    <mergeCell ref="A38:B38"/>
    <mergeCell ref="A4:A5"/>
    <mergeCell ref="B4:B5"/>
    <mergeCell ref="C4:C5"/>
    <mergeCell ref="D4:D5"/>
  </mergeCells>
  <printOptions horizontalCentered="1"/>
  <pageMargins left="0.78740157480314965" right="0.78740157480314965" top="1.5748031496062993" bottom="0.98425196850393704" header="0.78740157480314965" footer="0.78740157480314965"/>
  <pageSetup paperSize="9" scale="95" orientation="portrait" horizontalDpi="300" verticalDpi="300" r:id="rId1"/>
  <headerFooter alignWithMargins="0">
    <oddHeader xml:space="preserve">&amp;C&amp;"Times New Roman CE,Félkövér dőlt"&amp;11a …/2017
. (IV. …) önkormányzati rendelet 11. sz. melléklete&amp;"Times New Roman CE,Félkövér"
</oddHeader>
  </headerFooter>
  <ignoredErrors>
    <ignoredError sqref="F7:F9" unlockedFormula="1"/>
  </ignoredError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92D050"/>
  </sheetPr>
  <dimension ref="A1:I157"/>
  <sheetViews>
    <sheetView topLeftCell="A84" zoomScale="120" zoomScaleNormal="120" zoomScaleSheetLayoutView="100" workbookViewId="0">
      <selection activeCell="E137" sqref="E137"/>
    </sheetView>
  </sheetViews>
  <sheetFormatPr defaultColWidth="9.33203125" defaultRowHeight="15.6" x14ac:dyDescent="0.3"/>
  <cols>
    <col min="1" max="1" width="9" style="395" customWidth="1"/>
    <col min="2" max="2" width="64.77734375" style="395" customWidth="1"/>
    <col min="3" max="3" width="17.33203125" style="395" customWidth="1"/>
    <col min="4" max="5" width="17.33203125" style="396" customWidth="1"/>
    <col min="6" max="16384" width="9.33203125" style="406"/>
  </cols>
  <sheetData>
    <row r="1" spans="1:5" ht="15.9" customHeight="1" x14ac:dyDescent="0.3">
      <c r="A1" s="1637" t="s">
        <v>39</v>
      </c>
      <c r="B1" s="1637"/>
      <c r="C1" s="1637"/>
      <c r="D1" s="1637"/>
      <c r="E1" s="1637"/>
    </row>
    <row r="2" spans="1:5" ht="15.9" customHeight="1" thickBot="1" x14ac:dyDescent="0.35">
      <c r="A2" s="42" t="s">
        <v>501</v>
      </c>
      <c r="B2" s="42"/>
      <c r="C2" s="42"/>
      <c r="D2" s="393"/>
      <c r="E2" s="393" t="s">
        <v>40</v>
      </c>
    </row>
    <row r="3" spans="1:5" ht="15.9" customHeight="1" x14ac:dyDescent="0.3">
      <c r="A3" s="1624" t="s">
        <v>41</v>
      </c>
      <c r="B3" s="1756" t="s">
        <v>42</v>
      </c>
      <c r="C3" s="1759" t="str">
        <f>+CONCATENATE(LEFT(ÖSSZEFÜGGÉSEK!A4,4)-1,". évi tény")</f>
        <v>2015. évi tény</v>
      </c>
      <c r="D3" s="1757" t="str">
        <f>+CONCATENATE(LEFT(ÖSSZEFÜGGÉSEK!A4,4),". évi")</f>
        <v>2016. évi</v>
      </c>
      <c r="E3" s="1758"/>
    </row>
    <row r="4" spans="1:5" ht="38.1" customHeight="1" thickBot="1" x14ac:dyDescent="0.35">
      <c r="A4" s="1625"/>
      <c r="B4" s="1627"/>
      <c r="C4" s="1760"/>
      <c r="D4" s="672" t="s">
        <v>44</v>
      </c>
      <c r="E4" s="44" t="s">
        <v>45</v>
      </c>
    </row>
    <row r="5" spans="1:5" s="407" customFormat="1" ht="12" customHeight="1" thickBot="1" x14ac:dyDescent="0.25">
      <c r="A5" s="372" t="s">
        <v>46</v>
      </c>
      <c r="B5" s="373" t="s">
        <v>47</v>
      </c>
      <c r="C5" s="373" t="s">
        <v>48</v>
      </c>
      <c r="D5" s="373" t="s">
        <v>50</v>
      </c>
      <c r="E5" s="374" t="s">
        <v>294</v>
      </c>
    </row>
    <row r="6" spans="1:5" s="408" customFormat="1" ht="12" customHeight="1" thickBot="1" x14ac:dyDescent="0.3">
      <c r="A6" s="367" t="s">
        <v>51</v>
      </c>
      <c r="B6" s="599" t="s">
        <v>52</v>
      </c>
      <c r="C6" s="398">
        <f>+C7+C8+C9+C10+C11+C12</f>
        <v>0</v>
      </c>
      <c r="D6" s="398">
        <f>+D7+D8+D9+D10+D11+D12</f>
        <v>146551</v>
      </c>
      <c r="E6" s="381">
        <f>+E7+E8+E9+E10+E11+E12</f>
        <v>148016</v>
      </c>
    </row>
    <row r="7" spans="1:5" s="408" customFormat="1" ht="12" customHeight="1" x14ac:dyDescent="0.25">
      <c r="A7" s="362" t="s">
        <v>53</v>
      </c>
      <c r="B7" s="600" t="s">
        <v>54</v>
      </c>
      <c r="C7" s="400"/>
      <c r="D7" s="400">
        <v>70823</v>
      </c>
      <c r="E7" s="383">
        <v>70823</v>
      </c>
    </row>
    <row r="8" spans="1:5" s="408" customFormat="1" ht="12" customHeight="1" x14ac:dyDescent="0.25">
      <c r="A8" s="361" t="s">
        <v>55</v>
      </c>
      <c r="B8" s="601" t="s">
        <v>56</v>
      </c>
      <c r="C8" s="399"/>
      <c r="D8" s="399">
        <v>51441</v>
      </c>
      <c r="E8" s="382">
        <v>51441</v>
      </c>
    </row>
    <row r="9" spans="1:5" s="408" customFormat="1" ht="12" customHeight="1" x14ac:dyDescent="0.25">
      <c r="A9" s="361" t="s">
        <v>57</v>
      </c>
      <c r="B9" s="601" t="s">
        <v>58</v>
      </c>
      <c r="C9" s="399"/>
      <c r="D9" s="399">
        <v>20583</v>
      </c>
      <c r="E9" s="382">
        <v>20583</v>
      </c>
    </row>
    <row r="10" spans="1:5" s="408" customFormat="1" ht="12" customHeight="1" x14ac:dyDescent="0.25">
      <c r="A10" s="361" t="s">
        <v>59</v>
      </c>
      <c r="B10" s="601" t="s">
        <v>60</v>
      </c>
      <c r="C10" s="399"/>
      <c r="D10" s="399">
        <v>2264</v>
      </c>
      <c r="E10" s="382">
        <v>2264</v>
      </c>
    </row>
    <row r="11" spans="1:5" s="408" customFormat="1" ht="12" customHeight="1" x14ac:dyDescent="0.25">
      <c r="A11" s="361" t="s">
        <v>61</v>
      </c>
      <c r="B11" s="601" t="s">
        <v>502</v>
      </c>
      <c r="C11" s="589"/>
      <c r="D11" s="399"/>
      <c r="E11" s="382">
        <v>1465</v>
      </c>
    </row>
    <row r="12" spans="1:5" s="408" customFormat="1" ht="12" customHeight="1" thickBot="1" x14ac:dyDescent="0.3">
      <c r="A12" s="363" t="s">
        <v>63</v>
      </c>
      <c r="B12" s="602" t="s">
        <v>64</v>
      </c>
      <c r="C12" s="590"/>
      <c r="D12" s="401">
        <v>1440</v>
      </c>
      <c r="E12" s="384">
        <v>1440</v>
      </c>
    </row>
    <row r="13" spans="1:5" s="408" customFormat="1" ht="12" customHeight="1" thickBot="1" x14ac:dyDescent="0.3">
      <c r="A13" s="367" t="s">
        <v>65</v>
      </c>
      <c r="B13" s="603" t="s">
        <v>66</v>
      </c>
      <c r="C13" s="398">
        <f>+C14+C15+C16+C17+C18</f>
        <v>0</v>
      </c>
      <c r="D13" s="398">
        <f>+D14+D15+D16+D17+D18</f>
        <v>4334</v>
      </c>
      <c r="E13" s="381">
        <f>+E14+E15+E16+E17+E18</f>
        <v>10406</v>
      </c>
    </row>
    <row r="14" spans="1:5" s="408" customFormat="1" ht="12" customHeight="1" x14ac:dyDescent="0.25">
      <c r="A14" s="362" t="s">
        <v>67</v>
      </c>
      <c r="B14" s="600" t="s">
        <v>68</v>
      </c>
      <c r="C14" s="400"/>
      <c r="D14" s="400"/>
      <c r="E14" s="383"/>
    </row>
    <row r="15" spans="1:5" s="408" customFormat="1" ht="12" customHeight="1" x14ac:dyDescent="0.25">
      <c r="A15" s="361" t="s">
        <v>69</v>
      </c>
      <c r="B15" s="601" t="s">
        <v>70</v>
      </c>
      <c r="C15" s="399"/>
      <c r="D15" s="399"/>
      <c r="E15" s="382"/>
    </row>
    <row r="16" spans="1:5" s="408" customFormat="1" ht="12" customHeight="1" x14ac:dyDescent="0.25">
      <c r="A16" s="361" t="s">
        <v>71</v>
      </c>
      <c r="B16" s="601" t="s">
        <v>72</v>
      </c>
      <c r="C16" s="399"/>
      <c r="D16" s="399"/>
      <c r="E16" s="382"/>
    </row>
    <row r="17" spans="1:5" s="408" customFormat="1" ht="12" customHeight="1" x14ac:dyDescent="0.25">
      <c r="A17" s="361" t="s">
        <v>73</v>
      </c>
      <c r="B17" s="601" t="s">
        <v>74</v>
      </c>
      <c r="C17" s="399"/>
      <c r="D17" s="399"/>
      <c r="E17" s="382"/>
    </row>
    <row r="18" spans="1:5" s="408" customFormat="1" ht="12" customHeight="1" x14ac:dyDescent="0.25">
      <c r="A18" s="361" t="s">
        <v>75</v>
      </c>
      <c r="B18" s="601" t="s">
        <v>76</v>
      </c>
      <c r="C18" s="399"/>
      <c r="D18" s="399">
        <v>4334</v>
      </c>
      <c r="E18" s="382">
        <v>10406</v>
      </c>
    </row>
    <row r="19" spans="1:5" s="408" customFormat="1" ht="12" customHeight="1" thickBot="1" x14ac:dyDescent="0.3">
      <c r="A19" s="363" t="s">
        <v>77</v>
      </c>
      <c r="B19" s="602" t="s">
        <v>78</v>
      </c>
      <c r="C19" s="401"/>
      <c r="D19" s="401"/>
      <c r="E19" s="384"/>
    </row>
    <row r="20" spans="1:5" s="408" customFormat="1" ht="12" customHeight="1" thickBot="1" x14ac:dyDescent="0.3">
      <c r="A20" s="367" t="s">
        <v>79</v>
      </c>
      <c r="B20" s="599" t="s">
        <v>80</v>
      </c>
      <c r="C20" s="398">
        <f>+C21+C22+C23+C24+C25</f>
        <v>0</v>
      </c>
      <c r="D20" s="398">
        <f>+D21+D22+D23+D24+D25</f>
        <v>4167</v>
      </c>
      <c r="E20" s="381">
        <f>+E21+E22+E23+E24+E25</f>
        <v>5136</v>
      </c>
    </row>
    <row r="21" spans="1:5" s="408" customFormat="1" ht="12" customHeight="1" x14ac:dyDescent="0.25">
      <c r="A21" s="362" t="s">
        <v>81</v>
      </c>
      <c r="B21" s="600" t="s">
        <v>82</v>
      </c>
      <c r="C21" s="400"/>
      <c r="D21" s="400">
        <v>175</v>
      </c>
      <c r="E21" s="383">
        <v>175</v>
      </c>
    </row>
    <row r="22" spans="1:5" s="408" customFormat="1" ht="12" customHeight="1" x14ac:dyDescent="0.25">
      <c r="A22" s="361" t="s">
        <v>83</v>
      </c>
      <c r="B22" s="601" t="s">
        <v>84</v>
      </c>
      <c r="C22" s="399"/>
      <c r="D22" s="399"/>
      <c r="E22" s="382"/>
    </row>
    <row r="23" spans="1:5" s="408" customFormat="1" ht="12" customHeight="1" x14ac:dyDescent="0.25">
      <c r="A23" s="361" t="s">
        <v>85</v>
      </c>
      <c r="B23" s="601" t="s">
        <v>86</v>
      </c>
      <c r="C23" s="399"/>
      <c r="D23" s="399"/>
      <c r="E23" s="382"/>
    </row>
    <row r="24" spans="1:5" s="408" customFormat="1" ht="12" customHeight="1" x14ac:dyDescent="0.25">
      <c r="A24" s="361" t="s">
        <v>87</v>
      </c>
      <c r="B24" s="601" t="s">
        <v>88</v>
      </c>
      <c r="C24" s="399"/>
      <c r="D24" s="399"/>
      <c r="E24" s="382"/>
    </row>
    <row r="25" spans="1:5" s="408" customFormat="1" ht="12" customHeight="1" x14ac:dyDescent="0.25">
      <c r="A25" s="361" t="s">
        <v>89</v>
      </c>
      <c r="B25" s="601" t="s">
        <v>90</v>
      </c>
      <c r="C25" s="399"/>
      <c r="D25" s="399">
        <v>3992</v>
      </c>
      <c r="E25" s="382">
        <v>4961</v>
      </c>
    </row>
    <row r="26" spans="1:5" s="408" customFormat="1" ht="12" customHeight="1" thickBot="1" x14ac:dyDescent="0.3">
      <c r="A26" s="363" t="s">
        <v>91</v>
      </c>
      <c r="B26" s="602" t="s">
        <v>92</v>
      </c>
      <c r="C26" s="401"/>
      <c r="D26" s="401"/>
      <c r="E26" s="384"/>
    </row>
    <row r="27" spans="1:5" s="408" customFormat="1" ht="12" customHeight="1" thickBot="1" x14ac:dyDescent="0.3">
      <c r="A27" s="367" t="s">
        <v>93</v>
      </c>
      <c r="B27" s="599" t="s">
        <v>94</v>
      </c>
      <c r="C27" s="404">
        <f>+C28+C31+C32+C33</f>
        <v>0</v>
      </c>
      <c r="D27" s="404">
        <f>+D28+D31+D32+D33</f>
        <v>262000</v>
      </c>
      <c r="E27" s="417">
        <f>+E28+E31+E32+E33</f>
        <v>258914</v>
      </c>
    </row>
    <row r="28" spans="1:5" s="408" customFormat="1" ht="12" customHeight="1" x14ac:dyDescent="0.25">
      <c r="A28" s="362" t="s">
        <v>95</v>
      </c>
      <c r="B28" s="600" t="s">
        <v>96</v>
      </c>
      <c r="C28" s="419">
        <f>+C29+C30</f>
        <v>0</v>
      </c>
      <c r="D28" s="419">
        <v>190000</v>
      </c>
      <c r="E28" s="418">
        <v>186344</v>
      </c>
    </row>
    <row r="29" spans="1:5" s="408" customFormat="1" ht="12" customHeight="1" x14ac:dyDescent="0.25">
      <c r="A29" s="361" t="s">
        <v>97</v>
      </c>
      <c r="B29" s="601" t="s">
        <v>98</v>
      </c>
      <c r="C29" s="399"/>
      <c r="D29" s="399">
        <v>83000</v>
      </c>
      <c r="E29" s="382">
        <v>82314</v>
      </c>
    </row>
    <row r="30" spans="1:5" s="408" customFormat="1" ht="12" customHeight="1" x14ac:dyDescent="0.25">
      <c r="A30" s="361" t="s">
        <v>99</v>
      </c>
      <c r="B30" s="601" t="s">
        <v>100</v>
      </c>
      <c r="C30" s="399"/>
      <c r="D30" s="399">
        <v>107000</v>
      </c>
      <c r="E30" s="382">
        <v>104030</v>
      </c>
    </row>
    <row r="31" spans="1:5" s="408" customFormat="1" ht="12" customHeight="1" x14ac:dyDescent="0.25">
      <c r="A31" s="361" t="s">
        <v>101</v>
      </c>
      <c r="B31" s="601" t="s">
        <v>102</v>
      </c>
      <c r="C31" s="399"/>
      <c r="D31" s="399">
        <v>72000</v>
      </c>
      <c r="E31" s="382">
        <v>66425</v>
      </c>
    </row>
    <row r="32" spans="1:5" s="408" customFormat="1" ht="12" customHeight="1" x14ac:dyDescent="0.25">
      <c r="A32" s="361" t="s">
        <v>103</v>
      </c>
      <c r="B32" s="601" t="s">
        <v>104</v>
      </c>
      <c r="C32" s="399"/>
      <c r="D32" s="399"/>
      <c r="E32" s="382">
        <v>23</v>
      </c>
    </row>
    <row r="33" spans="1:5" s="408" customFormat="1" ht="12" customHeight="1" thickBot="1" x14ac:dyDescent="0.3">
      <c r="A33" s="363" t="s">
        <v>105</v>
      </c>
      <c r="B33" s="602" t="s">
        <v>106</v>
      </c>
      <c r="C33" s="401"/>
      <c r="D33" s="401"/>
      <c r="E33" s="384">
        <v>6122</v>
      </c>
    </row>
    <row r="34" spans="1:5" s="408" customFormat="1" ht="12" customHeight="1" thickBot="1" x14ac:dyDescent="0.3">
      <c r="A34" s="367" t="s">
        <v>107</v>
      </c>
      <c r="B34" s="599" t="s">
        <v>108</v>
      </c>
      <c r="C34" s="398">
        <f>SUM(C35:C44)</f>
        <v>0</v>
      </c>
      <c r="D34" s="398">
        <f>SUM(D35:D44)</f>
        <v>52206</v>
      </c>
      <c r="E34" s="381">
        <f>SUM(E35:E44)</f>
        <v>49229</v>
      </c>
    </row>
    <row r="35" spans="1:5" s="408" customFormat="1" ht="12" customHeight="1" x14ac:dyDescent="0.25">
      <c r="A35" s="362" t="s">
        <v>109</v>
      </c>
      <c r="B35" s="600" t="s">
        <v>110</v>
      </c>
      <c r="C35" s="400"/>
      <c r="D35" s="400"/>
      <c r="E35" s="383"/>
    </row>
    <row r="36" spans="1:5" s="408" customFormat="1" ht="12" customHeight="1" x14ac:dyDescent="0.25">
      <c r="A36" s="361" t="s">
        <v>111</v>
      </c>
      <c r="B36" s="601" t="s">
        <v>112</v>
      </c>
      <c r="C36" s="399"/>
      <c r="D36" s="399">
        <v>6923</v>
      </c>
      <c r="E36" s="382">
        <v>7336</v>
      </c>
    </row>
    <row r="37" spans="1:5" s="408" customFormat="1" ht="12" customHeight="1" x14ac:dyDescent="0.25">
      <c r="A37" s="361" t="s">
        <v>113</v>
      </c>
      <c r="B37" s="601" t="s">
        <v>114</v>
      </c>
      <c r="C37" s="399"/>
      <c r="D37" s="399">
        <v>2697</v>
      </c>
      <c r="E37" s="382">
        <v>2048</v>
      </c>
    </row>
    <row r="38" spans="1:5" s="408" customFormat="1" ht="12" customHeight="1" x14ac:dyDescent="0.25">
      <c r="A38" s="361" t="s">
        <v>115</v>
      </c>
      <c r="B38" s="601" t="s">
        <v>116</v>
      </c>
      <c r="C38" s="399"/>
      <c r="D38" s="399">
        <v>381</v>
      </c>
      <c r="E38" s="382"/>
    </row>
    <row r="39" spans="1:5" s="408" customFormat="1" ht="12" customHeight="1" x14ac:dyDescent="0.25">
      <c r="A39" s="361" t="s">
        <v>117</v>
      </c>
      <c r="B39" s="601" t="s">
        <v>118</v>
      </c>
      <c r="C39" s="399"/>
      <c r="D39" s="399">
        <v>17303</v>
      </c>
      <c r="E39" s="382">
        <v>13407</v>
      </c>
    </row>
    <row r="40" spans="1:5" s="408" customFormat="1" ht="12" customHeight="1" x14ac:dyDescent="0.25">
      <c r="A40" s="361" t="s">
        <v>119</v>
      </c>
      <c r="B40" s="601" t="s">
        <v>120</v>
      </c>
      <c r="C40" s="399"/>
      <c r="D40" s="399">
        <v>4671</v>
      </c>
      <c r="E40" s="382">
        <v>4008</v>
      </c>
    </row>
    <row r="41" spans="1:5" s="408" customFormat="1" ht="12" customHeight="1" x14ac:dyDescent="0.25">
      <c r="A41" s="361" t="s">
        <v>121</v>
      </c>
      <c r="B41" s="601" t="s">
        <v>122</v>
      </c>
      <c r="C41" s="399"/>
      <c r="D41" s="399"/>
      <c r="E41" s="382"/>
    </row>
    <row r="42" spans="1:5" s="408" customFormat="1" ht="12" customHeight="1" x14ac:dyDescent="0.25">
      <c r="A42" s="361" t="s">
        <v>123</v>
      </c>
      <c r="B42" s="601" t="s">
        <v>124</v>
      </c>
      <c r="C42" s="399"/>
      <c r="D42" s="399">
        <v>1201</v>
      </c>
      <c r="E42" s="382">
        <v>2021</v>
      </c>
    </row>
    <row r="43" spans="1:5" s="408" customFormat="1" ht="12" customHeight="1" x14ac:dyDescent="0.25">
      <c r="A43" s="361" t="s">
        <v>125</v>
      </c>
      <c r="B43" s="601" t="s">
        <v>126</v>
      </c>
      <c r="C43" s="402"/>
      <c r="D43" s="402"/>
      <c r="E43" s="385"/>
    </row>
    <row r="44" spans="1:5" s="408" customFormat="1" ht="12" customHeight="1" thickBot="1" x14ac:dyDescent="0.3">
      <c r="A44" s="363" t="s">
        <v>127</v>
      </c>
      <c r="B44" s="602" t="s">
        <v>128</v>
      </c>
      <c r="C44" s="403"/>
      <c r="D44" s="403">
        <v>19030</v>
      </c>
      <c r="E44" s="386">
        <v>20409</v>
      </c>
    </row>
    <row r="45" spans="1:5" s="408" customFormat="1" ht="12" customHeight="1" thickBot="1" x14ac:dyDescent="0.3">
      <c r="A45" s="367" t="s">
        <v>129</v>
      </c>
      <c r="B45" s="599" t="s">
        <v>130</v>
      </c>
      <c r="C45" s="398">
        <f>SUM(C46:C50)</f>
        <v>0</v>
      </c>
      <c r="D45" s="398">
        <f>SUM(D46:D50)</f>
        <v>18500</v>
      </c>
      <c r="E45" s="381">
        <f>SUM(E46:E50)</f>
        <v>0</v>
      </c>
    </row>
    <row r="46" spans="1:5" s="408" customFormat="1" ht="12" customHeight="1" x14ac:dyDescent="0.25">
      <c r="A46" s="362" t="s">
        <v>131</v>
      </c>
      <c r="B46" s="600" t="s">
        <v>132</v>
      </c>
      <c r="C46" s="421"/>
      <c r="D46" s="421"/>
      <c r="E46" s="387"/>
    </row>
    <row r="47" spans="1:5" s="408" customFormat="1" ht="12" customHeight="1" x14ac:dyDescent="0.25">
      <c r="A47" s="361" t="s">
        <v>133</v>
      </c>
      <c r="B47" s="601" t="s">
        <v>134</v>
      </c>
      <c r="C47" s="402"/>
      <c r="D47" s="402">
        <v>18500</v>
      </c>
      <c r="E47" s="385"/>
    </row>
    <row r="48" spans="1:5" s="408" customFormat="1" ht="12" customHeight="1" x14ac:dyDescent="0.25">
      <c r="A48" s="361" t="s">
        <v>135</v>
      </c>
      <c r="B48" s="601" t="s">
        <v>136</v>
      </c>
      <c r="C48" s="402"/>
      <c r="D48" s="402"/>
      <c r="E48" s="385"/>
    </row>
    <row r="49" spans="1:5" s="408" customFormat="1" ht="12" customHeight="1" x14ac:dyDescent="0.25">
      <c r="A49" s="361" t="s">
        <v>137</v>
      </c>
      <c r="B49" s="601" t="s">
        <v>138</v>
      </c>
      <c r="C49" s="402"/>
      <c r="D49" s="402"/>
      <c r="E49" s="385"/>
    </row>
    <row r="50" spans="1:5" s="408" customFormat="1" ht="12" customHeight="1" thickBot="1" x14ac:dyDescent="0.3">
      <c r="A50" s="363" t="s">
        <v>139</v>
      </c>
      <c r="B50" s="602" t="s">
        <v>140</v>
      </c>
      <c r="C50" s="403"/>
      <c r="D50" s="403"/>
      <c r="E50" s="386"/>
    </row>
    <row r="51" spans="1:5" s="408" customFormat="1" ht="13.8" thickBot="1" x14ac:dyDescent="0.3">
      <c r="A51" s="367" t="s">
        <v>141</v>
      </c>
      <c r="B51" s="599" t="s">
        <v>142</v>
      </c>
      <c r="C51" s="398">
        <f>SUM(C52:C54)</f>
        <v>0</v>
      </c>
      <c r="D51" s="398">
        <f>SUM(D52:D54)</f>
        <v>7939</v>
      </c>
      <c r="E51" s="381">
        <f>SUM(E52:E54)</f>
        <v>2194</v>
      </c>
    </row>
    <row r="52" spans="1:5" s="408" customFormat="1" ht="13.2" x14ac:dyDescent="0.25">
      <c r="A52" s="362" t="s">
        <v>143</v>
      </c>
      <c r="B52" s="600" t="s">
        <v>144</v>
      </c>
      <c r="C52" s="400"/>
      <c r="D52" s="400"/>
      <c r="E52" s="383"/>
    </row>
    <row r="53" spans="1:5" s="408" customFormat="1" ht="14.25" customHeight="1" x14ac:dyDescent="0.25">
      <c r="A53" s="361" t="s">
        <v>145</v>
      </c>
      <c r="B53" s="601" t="s">
        <v>503</v>
      </c>
      <c r="C53" s="399"/>
      <c r="D53" s="399">
        <v>258</v>
      </c>
      <c r="E53" s="382">
        <v>1394</v>
      </c>
    </row>
    <row r="54" spans="1:5" s="408" customFormat="1" ht="13.2" x14ac:dyDescent="0.25">
      <c r="A54" s="361" t="s">
        <v>147</v>
      </c>
      <c r="B54" s="601" t="s">
        <v>148</v>
      </c>
      <c r="C54" s="399"/>
      <c r="D54" s="399">
        <v>7681</v>
      </c>
      <c r="E54" s="382">
        <v>800</v>
      </c>
    </row>
    <row r="55" spans="1:5" s="408" customFormat="1" ht="13.8" thickBot="1" x14ac:dyDescent="0.3">
      <c r="A55" s="363" t="s">
        <v>149</v>
      </c>
      <c r="B55" s="602" t="s">
        <v>150</v>
      </c>
      <c r="C55" s="401"/>
      <c r="D55" s="401"/>
      <c r="E55" s="384"/>
    </row>
    <row r="56" spans="1:5" s="408" customFormat="1" ht="13.8" thickBot="1" x14ac:dyDescent="0.3">
      <c r="A56" s="367" t="s">
        <v>151</v>
      </c>
      <c r="B56" s="603" t="s">
        <v>152</v>
      </c>
      <c r="C56" s="398">
        <f>SUM(C57:C59)</f>
        <v>0</v>
      </c>
      <c r="D56" s="398">
        <f>SUM(D57:D59)</f>
        <v>730</v>
      </c>
      <c r="E56" s="381">
        <f>SUM(E57:E59)</f>
        <v>801</v>
      </c>
    </row>
    <row r="57" spans="1:5" s="408" customFormat="1" ht="13.2" x14ac:dyDescent="0.25">
      <c r="A57" s="361" t="s">
        <v>153</v>
      </c>
      <c r="B57" s="600" t="s">
        <v>154</v>
      </c>
      <c r="C57" s="402"/>
      <c r="D57" s="402"/>
      <c r="E57" s="385"/>
    </row>
    <row r="58" spans="1:5" s="408" customFormat="1" ht="12.75" customHeight="1" x14ac:dyDescent="0.25">
      <c r="A58" s="361" t="s">
        <v>155</v>
      </c>
      <c r="B58" s="601" t="s">
        <v>504</v>
      </c>
      <c r="C58" s="402"/>
      <c r="D58" s="402">
        <v>62</v>
      </c>
      <c r="E58" s="385">
        <v>133</v>
      </c>
    </row>
    <row r="59" spans="1:5" s="408" customFormat="1" ht="13.2" x14ac:dyDescent="0.25">
      <c r="A59" s="361" t="s">
        <v>157</v>
      </c>
      <c r="B59" s="601" t="s">
        <v>158</v>
      </c>
      <c r="C59" s="402"/>
      <c r="D59" s="402">
        <v>668</v>
      </c>
      <c r="E59" s="385">
        <v>668</v>
      </c>
    </row>
    <row r="60" spans="1:5" s="408" customFormat="1" ht="13.8" thickBot="1" x14ac:dyDescent="0.3">
      <c r="A60" s="361" t="s">
        <v>159</v>
      </c>
      <c r="B60" s="602" t="s">
        <v>160</v>
      </c>
      <c r="C60" s="402"/>
      <c r="D60" s="402"/>
      <c r="E60" s="385"/>
    </row>
    <row r="61" spans="1:5" s="408" customFormat="1" ht="13.8" thickBot="1" x14ac:dyDescent="0.3">
      <c r="A61" s="367" t="s">
        <v>161</v>
      </c>
      <c r="B61" s="599" t="s">
        <v>162</v>
      </c>
      <c r="C61" s="404">
        <f>+C6+C13+C20+C27+C34+C45+C51+C56</f>
        <v>0</v>
      </c>
      <c r="D61" s="404">
        <f>+D6+D13+D20+D27+D34+D45+D51+D56</f>
        <v>496427</v>
      </c>
      <c r="E61" s="417">
        <f>+E6+E13+E20+E27+E34+E45+E51+E56</f>
        <v>474696</v>
      </c>
    </row>
    <row r="62" spans="1:5" s="408" customFormat="1" ht="13.8" thickBot="1" x14ac:dyDescent="0.3">
      <c r="A62" s="422" t="s">
        <v>163</v>
      </c>
      <c r="B62" s="603" t="s">
        <v>505</v>
      </c>
      <c r="C62" s="398">
        <f>SUM(C63:C65)</f>
        <v>0</v>
      </c>
      <c r="D62" s="398">
        <f>SUM(D63:D65)</f>
        <v>0</v>
      </c>
      <c r="E62" s="381">
        <f>SUM(E63:E65)</f>
        <v>0</v>
      </c>
    </row>
    <row r="63" spans="1:5" s="408" customFormat="1" ht="13.2" x14ac:dyDescent="0.25">
      <c r="A63" s="361" t="s">
        <v>165</v>
      </c>
      <c r="B63" s="600" t="s">
        <v>166</v>
      </c>
      <c r="C63" s="402"/>
      <c r="D63" s="402"/>
      <c r="E63" s="385"/>
    </row>
    <row r="64" spans="1:5" s="408" customFormat="1" ht="13.2" x14ac:dyDescent="0.25">
      <c r="A64" s="361" t="s">
        <v>167</v>
      </c>
      <c r="B64" s="601" t="s">
        <v>168</v>
      </c>
      <c r="C64" s="402"/>
      <c r="D64" s="402"/>
      <c r="E64" s="385"/>
    </row>
    <row r="65" spans="1:5" s="408" customFormat="1" ht="13.8" thickBot="1" x14ac:dyDescent="0.3">
      <c r="A65" s="361" t="s">
        <v>169</v>
      </c>
      <c r="B65" s="347" t="s">
        <v>170</v>
      </c>
      <c r="C65" s="402"/>
      <c r="D65" s="402"/>
      <c r="E65" s="385"/>
    </row>
    <row r="66" spans="1:5" s="408" customFormat="1" ht="13.8" thickBot="1" x14ac:dyDescent="0.3">
      <c r="A66" s="422" t="s">
        <v>171</v>
      </c>
      <c r="B66" s="603" t="s">
        <v>172</v>
      </c>
      <c r="C66" s="398">
        <f>SUM(C67:C70)</f>
        <v>0</v>
      </c>
      <c r="D66" s="398">
        <f>SUM(D67:D70)</f>
        <v>0</v>
      </c>
      <c r="E66" s="381">
        <f>SUM(E67:E70)</f>
        <v>0</v>
      </c>
    </row>
    <row r="67" spans="1:5" s="408" customFormat="1" ht="13.2" x14ac:dyDescent="0.25">
      <c r="A67" s="361" t="s">
        <v>173</v>
      </c>
      <c r="B67" s="600" t="s">
        <v>174</v>
      </c>
      <c r="C67" s="402"/>
      <c r="D67" s="402"/>
      <c r="E67" s="385"/>
    </row>
    <row r="68" spans="1:5" s="408" customFormat="1" ht="13.2" x14ac:dyDescent="0.25">
      <c r="A68" s="361" t="s">
        <v>175</v>
      </c>
      <c r="B68" s="601" t="s">
        <v>176</v>
      </c>
      <c r="C68" s="402"/>
      <c r="D68" s="402"/>
      <c r="E68" s="385"/>
    </row>
    <row r="69" spans="1:5" s="408" customFormat="1" ht="12" customHeight="1" x14ac:dyDescent="0.25">
      <c r="A69" s="361" t="s">
        <v>177</v>
      </c>
      <c r="B69" s="601" t="s">
        <v>178</v>
      </c>
      <c r="C69" s="402"/>
      <c r="D69" s="402"/>
      <c r="E69" s="385"/>
    </row>
    <row r="70" spans="1:5" s="408" customFormat="1" ht="12" customHeight="1" thickBot="1" x14ac:dyDescent="0.3">
      <c r="A70" s="361" t="s">
        <v>179</v>
      </c>
      <c r="B70" s="602" t="s">
        <v>180</v>
      </c>
      <c r="C70" s="402"/>
      <c r="D70" s="402"/>
      <c r="E70" s="385"/>
    </row>
    <row r="71" spans="1:5" s="408" customFormat="1" ht="12" customHeight="1" thickBot="1" x14ac:dyDescent="0.3">
      <c r="A71" s="422" t="s">
        <v>181</v>
      </c>
      <c r="B71" s="603" t="s">
        <v>182</v>
      </c>
      <c r="C71" s="398">
        <f>SUM(C72:C73)</f>
        <v>0</v>
      </c>
      <c r="D71" s="398">
        <f>SUM(D72:D73)</f>
        <v>119146</v>
      </c>
      <c r="E71" s="381">
        <f>SUM(E72:E73)</f>
        <v>119146</v>
      </c>
    </row>
    <row r="72" spans="1:5" s="408" customFormat="1" ht="12" customHeight="1" x14ac:dyDescent="0.25">
      <c r="A72" s="361" t="s">
        <v>183</v>
      </c>
      <c r="B72" s="600" t="s">
        <v>184</v>
      </c>
      <c r="C72" s="402"/>
      <c r="D72" s="402">
        <v>119146</v>
      </c>
      <c r="E72" s="385">
        <v>119146</v>
      </c>
    </row>
    <row r="73" spans="1:5" s="408" customFormat="1" ht="12" customHeight="1" thickBot="1" x14ac:dyDescent="0.3">
      <c r="A73" s="361" t="s">
        <v>185</v>
      </c>
      <c r="B73" s="602" t="s">
        <v>186</v>
      </c>
      <c r="C73" s="402"/>
      <c r="D73" s="402"/>
      <c r="E73" s="385"/>
    </row>
    <row r="74" spans="1:5" s="408" customFormat="1" ht="12" customHeight="1" thickBot="1" x14ac:dyDescent="0.3">
      <c r="A74" s="422" t="s">
        <v>187</v>
      </c>
      <c r="B74" s="603" t="s">
        <v>188</v>
      </c>
      <c r="C74" s="398">
        <f>SUM(C75:C77)</f>
        <v>0</v>
      </c>
      <c r="D74" s="398">
        <f>SUM(D75:D77)</f>
        <v>4455</v>
      </c>
      <c r="E74" s="381">
        <f>SUM(E75:E77)</f>
        <v>4455</v>
      </c>
    </row>
    <row r="75" spans="1:5" s="408" customFormat="1" ht="12" customHeight="1" x14ac:dyDescent="0.25">
      <c r="A75" s="361" t="s">
        <v>189</v>
      </c>
      <c r="B75" s="600" t="s">
        <v>190</v>
      </c>
      <c r="C75" s="402"/>
      <c r="D75" s="402">
        <v>4455</v>
      </c>
      <c r="E75" s="385">
        <v>4455</v>
      </c>
    </row>
    <row r="76" spans="1:5" s="408" customFormat="1" ht="12" customHeight="1" x14ac:dyDescent="0.25">
      <c r="A76" s="361" t="s">
        <v>191</v>
      </c>
      <c r="B76" s="601" t="s">
        <v>192</v>
      </c>
      <c r="C76" s="402"/>
      <c r="D76" s="402"/>
      <c r="E76" s="385"/>
    </row>
    <row r="77" spans="1:5" s="408" customFormat="1" ht="12" customHeight="1" thickBot="1" x14ac:dyDescent="0.3">
      <c r="A77" s="361" t="s">
        <v>193</v>
      </c>
      <c r="B77" s="602" t="s">
        <v>194</v>
      </c>
      <c r="C77" s="402"/>
      <c r="D77" s="402"/>
      <c r="E77" s="385"/>
    </row>
    <row r="78" spans="1:5" s="408" customFormat="1" ht="12" customHeight="1" thickBot="1" x14ac:dyDescent="0.3">
      <c r="A78" s="422" t="s">
        <v>195</v>
      </c>
      <c r="B78" s="603" t="s">
        <v>196</v>
      </c>
      <c r="C78" s="398">
        <f>SUM(C79:C82)</f>
        <v>0</v>
      </c>
      <c r="D78" s="398">
        <f>SUM(D79:D82)</f>
        <v>0</v>
      </c>
      <c r="E78" s="381">
        <f>SUM(E79:E82)</f>
        <v>0</v>
      </c>
    </row>
    <row r="79" spans="1:5" s="408" customFormat="1" ht="12" customHeight="1" x14ac:dyDescent="0.25">
      <c r="A79" s="587" t="s">
        <v>197</v>
      </c>
      <c r="B79" s="600" t="s">
        <v>198</v>
      </c>
      <c r="C79" s="402"/>
      <c r="D79" s="402"/>
      <c r="E79" s="385"/>
    </row>
    <row r="80" spans="1:5" s="408" customFormat="1" ht="12" customHeight="1" x14ac:dyDescent="0.25">
      <c r="A80" s="588" t="s">
        <v>199</v>
      </c>
      <c r="B80" s="601" t="s">
        <v>200</v>
      </c>
      <c r="C80" s="402"/>
      <c r="D80" s="402"/>
      <c r="E80" s="385"/>
    </row>
    <row r="81" spans="1:5" s="408" customFormat="1" ht="12" customHeight="1" x14ac:dyDescent="0.25">
      <c r="A81" s="588" t="s">
        <v>201</v>
      </c>
      <c r="B81" s="601" t="s">
        <v>202</v>
      </c>
      <c r="C81" s="402"/>
      <c r="D81" s="402"/>
      <c r="E81" s="385"/>
    </row>
    <row r="82" spans="1:5" s="408" customFormat="1" ht="12" customHeight="1" thickBot="1" x14ac:dyDescent="0.3">
      <c r="A82" s="423" t="s">
        <v>203</v>
      </c>
      <c r="B82" s="602" t="s">
        <v>204</v>
      </c>
      <c r="C82" s="402"/>
      <c r="D82" s="402"/>
      <c r="E82" s="385"/>
    </row>
    <row r="83" spans="1:5" s="408" customFormat="1" ht="12" customHeight="1" thickBot="1" x14ac:dyDescent="0.3">
      <c r="A83" s="422" t="s">
        <v>205</v>
      </c>
      <c r="B83" s="603" t="s">
        <v>206</v>
      </c>
      <c r="C83" s="425"/>
      <c r="D83" s="425"/>
      <c r="E83" s="426"/>
    </row>
    <row r="84" spans="1:5" s="408" customFormat="1" ht="13.5" customHeight="1" thickBot="1" x14ac:dyDescent="0.3">
      <c r="A84" s="422" t="s">
        <v>207</v>
      </c>
      <c r="B84" s="345" t="s">
        <v>208</v>
      </c>
      <c r="C84" s="404">
        <f>+C62+C66+C71+C74+C78+C83</f>
        <v>0</v>
      </c>
      <c r="D84" s="404">
        <f>+D62+D66+D71+D74+D78+D83</f>
        <v>123601</v>
      </c>
      <c r="E84" s="417">
        <f>+E62+E66+E71+E74+E78+E83</f>
        <v>123601</v>
      </c>
    </row>
    <row r="85" spans="1:5" s="408" customFormat="1" ht="12" customHeight="1" thickBot="1" x14ac:dyDescent="0.3">
      <c r="A85" s="424" t="s">
        <v>209</v>
      </c>
      <c r="B85" s="348" t="s">
        <v>210</v>
      </c>
      <c r="C85" s="404">
        <f>+C61+C84</f>
        <v>0</v>
      </c>
      <c r="D85" s="404">
        <f>+D61+D84</f>
        <v>620028</v>
      </c>
      <c r="E85" s="417">
        <f>+E61+E84</f>
        <v>598297</v>
      </c>
    </row>
    <row r="86" spans="1:5" ht="16.5" customHeight="1" x14ac:dyDescent="0.3">
      <c r="A86" s="1637" t="s">
        <v>211</v>
      </c>
      <c r="B86" s="1637"/>
      <c r="C86" s="1637"/>
      <c r="D86" s="1637"/>
      <c r="E86" s="1637"/>
    </row>
    <row r="87" spans="1:5" s="414" customFormat="1" ht="16.5" customHeight="1" thickBot="1" x14ac:dyDescent="0.35">
      <c r="A87" s="43" t="s">
        <v>212</v>
      </c>
      <c r="B87" s="43"/>
      <c r="C87" s="43"/>
      <c r="D87" s="376"/>
      <c r="E87" s="376" t="s">
        <v>40</v>
      </c>
    </row>
    <row r="88" spans="1:5" s="414" customFormat="1" ht="16.5" customHeight="1" x14ac:dyDescent="0.3">
      <c r="A88" s="1624" t="s">
        <v>41</v>
      </c>
      <c r="B88" s="1756" t="s">
        <v>213</v>
      </c>
      <c r="C88" s="1759" t="str">
        <f>+C3</f>
        <v>2015. évi tény</v>
      </c>
      <c r="D88" s="1757" t="str">
        <f>+D3</f>
        <v>2016. évi</v>
      </c>
      <c r="E88" s="1758"/>
    </row>
    <row r="89" spans="1:5" ht="38.1" customHeight="1" thickBot="1" x14ac:dyDescent="0.35">
      <c r="A89" s="1625"/>
      <c r="B89" s="1627"/>
      <c r="C89" s="1760"/>
      <c r="D89" s="672" t="s">
        <v>44</v>
      </c>
      <c r="E89" s="44" t="s">
        <v>45</v>
      </c>
    </row>
    <row r="90" spans="1:5" s="407" customFormat="1" ht="12" customHeight="1" thickBot="1" x14ac:dyDescent="0.25">
      <c r="A90" s="372" t="s">
        <v>46</v>
      </c>
      <c r="B90" s="373" t="s">
        <v>47</v>
      </c>
      <c r="C90" s="373" t="s">
        <v>48</v>
      </c>
      <c r="D90" s="373" t="s">
        <v>50</v>
      </c>
      <c r="E90" s="420" t="s">
        <v>294</v>
      </c>
    </row>
    <row r="91" spans="1:5" ht="12" customHeight="1" thickBot="1" x14ac:dyDescent="0.35">
      <c r="A91" s="369" t="s">
        <v>51</v>
      </c>
      <c r="B91" s="371" t="s">
        <v>506</v>
      </c>
      <c r="C91" s="397">
        <f>SUM(C92:C96)</f>
        <v>0</v>
      </c>
      <c r="D91" s="397">
        <f>+D92+D93+D94+D95+D96</f>
        <v>397028</v>
      </c>
      <c r="E91" s="353">
        <f>+E92+E93+E94+E95+E96</f>
        <v>353801</v>
      </c>
    </row>
    <row r="92" spans="1:5" ht="12" customHeight="1" x14ac:dyDescent="0.3">
      <c r="A92" s="364" t="s">
        <v>53</v>
      </c>
      <c r="B92" s="604" t="s">
        <v>215</v>
      </c>
      <c r="C92" s="92"/>
      <c r="D92" s="92">
        <v>153946</v>
      </c>
      <c r="E92" s="352">
        <v>141593</v>
      </c>
    </row>
    <row r="93" spans="1:5" ht="12" customHeight="1" x14ac:dyDescent="0.3">
      <c r="A93" s="361" t="s">
        <v>55</v>
      </c>
      <c r="B93" s="605" t="s">
        <v>216</v>
      </c>
      <c r="C93" s="399"/>
      <c r="D93" s="399">
        <v>40809</v>
      </c>
      <c r="E93" s="382">
        <v>37957</v>
      </c>
    </row>
    <row r="94" spans="1:5" ht="12" customHeight="1" x14ac:dyDescent="0.3">
      <c r="A94" s="361" t="s">
        <v>57</v>
      </c>
      <c r="B94" s="605" t="s">
        <v>217</v>
      </c>
      <c r="C94" s="401"/>
      <c r="D94" s="401">
        <v>111147</v>
      </c>
      <c r="E94" s="384">
        <v>87264</v>
      </c>
    </row>
    <row r="95" spans="1:5" ht="12" customHeight="1" x14ac:dyDescent="0.3">
      <c r="A95" s="361" t="s">
        <v>59</v>
      </c>
      <c r="B95" s="606" t="s">
        <v>218</v>
      </c>
      <c r="C95" s="401"/>
      <c r="D95" s="401">
        <v>2404</v>
      </c>
      <c r="E95" s="384">
        <v>1954</v>
      </c>
    </row>
    <row r="96" spans="1:5" ht="12" customHeight="1" x14ac:dyDescent="0.3">
      <c r="A96" s="361" t="s">
        <v>219</v>
      </c>
      <c r="B96" s="607" t="s">
        <v>220</v>
      </c>
      <c r="C96" s="401"/>
      <c r="D96" s="401">
        <v>88722</v>
      </c>
      <c r="E96" s="384">
        <v>85033</v>
      </c>
    </row>
    <row r="97" spans="1:5" ht="12" customHeight="1" x14ac:dyDescent="0.3">
      <c r="A97" s="361" t="s">
        <v>63</v>
      </c>
      <c r="B97" s="605" t="s">
        <v>221</v>
      </c>
      <c r="C97" s="401"/>
      <c r="D97" s="401">
        <v>1359</v>
      </c>
      <c r="E97" s="384">
        <v>1359</v>
      </c>
    </row>
    <row r="98" spans="1:5" ht="12" customHeight="1" x14ac:dyDescent="0.3">
      <c r="A98" s="361" t="s">
        <v>222</v>
      </c>
      <c r="B98" s="608" t="s">
        <v>223</v>
      </c>
      <c r="C98" s="401"/>
      <c r="D98" s="401"/>
      <c r="E98" s="384"/>
    </row>
    <row r="99" spans="1:5" ht="12" customHeight="1" x14ac:dyDescent="0.3">
      <c r="A99" s="361" t="s">
        <v>224</v>
      </c>
      <c r="B99" s="605" t="s">
        <v>225</v>
      </c>
      <c r="C99" s="401"/>
      <c r="D99" s="401"/>
      <c r="E99" s="384"/>
    </row>
    <row r="100" spans="1:5" ht="12" customHeight="1" x14ac:dyDescent="0.3">
      <c r="A100" s="361" t="s">
        <v>226</v>
      </c>
      <c r="B100" s="605" t="s">
        <v>227</v>
      </c>
      <c r="C100" s="401"/>
      <c r="D100" s="401"/>
      <c r="E100" s="384"/>
    </row>
    <row r="101" spans="1:5" ht="12" customHeight="1" x14ac:dyDescent="0.3">
      <c r="A101" s="361" t="s">
        <v>228</v>
      </c>
      <c r="B101" s="608" t="s">
        <v>229</v>
      </c>
      <c r="C101" s="401"/>
      <c r="D101" s="401">
        <v>3869</v>
      </c>
      <c r="E101" s="384">
        <v>3869</v>
      </c>
    </row>
    <row r="102" spans="1:5" ht="12" customHeight="1" x14ac:dyDescent="0.3">
      <c r="A102" s="361" t="s">
        <v>230</v>
      </c>
      <c r="B102" s="608" t="s">
        <v>231</v>
      </c>
      <c r="C102" s="401"/>
      <c r="D102" s="401"/>
      <c r="E102" s="384"/>
    </row>
    <row r="103" spans="1:5" ht="12" customHeight="1" x14ac:dyDescent="0.3">
      <c r="A103" s="361" t="s">
        <v>232</v>
      </c>
      <c r="B103" s="605" t="s">
        <v>233</v>
      </c>
      <c r="C103" s="401"/>
      <c r="D103" s="401">
        <v>50</v>
      </c>
      <c r="E103" s="384">
        <v>50</v>
      </c>
    </row>
    <row r="104" spans="1:5" ht="12" customHeight="1" x14ac:dyDescent="0.3">
      <c r="A104" s="360" t="s">
        <v>234</v>
      </c>
      <c r="B104" s="609" t="s">
        <v>235</v>
      </c>
      <c r="C104" s="401"/>
      <c r="D104" s="401"/>
      <c r="E104" s="384"/>
    </row>
    <row r="105" spans="1:5" ht="12" customHeight="1" x14ac:dyDescent="0.3">
      <c r="A105" s="361" t="s">
        <v>236</v>
      </c>
      <c r="B105" s="609" t="s">
        <v>237</v>
      </c>
      <c r="C105" s="401"/>
      <c r="D105" s="401"/>
      <c r="E105" s="384"/>
    </row>
    <row r="106" spans="1:5" ht="12" customHeight="1" thickBot="1" x14ac:dyDescent="0.35">
      <c r="A106" s="365" t="s">
        <v>238</v>
      </c>
      <c r="B106" s="610" t="s">
        <v>239</v>
      </c>
      <c r="C106" s="93"/>
      <c r="D106" s="93">
        <v>83444</v>
      </c>
      <c r="E106" s="346">
        <v>79750</v>
      </c>
    </row>
    <row r="107" spans="1:5" ht="12" customHeight="1" thickBot="1" x14ac:dyDescent="0.35">
      <c r="A107" s="367" t="s">
        <v>65</v>
      </c>
      <c r="B107" s="370" t="s">
        <v>507</v>
      </c>
      <c r="C107" s="398">
        <f>+C108+C110+C112</f>
        <v>0</v>
      </c>
      <c r="D107" s="398">
        <f>+D108+D110+D112</f>
        <v>113426</v>
      </c>
      <c r="E107" s="381">
        <f>+E108+E110+E112</f>
        <v>97727</v>
      </c>
    </row>
    <row r="108" spans="1:5" ht="12" customHeight="1" x14ac:dyDescent="0.3">
      <c r="A108" s="362" t="s">
        <v>67</v>
      </c>
      <c r="B108" s="605" t="s">
        <v>241</v>
      </c>
      <c r="C108" s="400"/>
      <c r="D108" s="400">
        <v>32313</v>
      </c>
      <c r="E108" s="383">
        <v>27756</v>
      </c>
    </row>
    <row r="109" spans="1:5" ht="12" customHeight="1" x14ac:dyDescent="0.3">
      <c r="A109" s="362" t="s">
        <v>69</v>
      </c>
      <c r="B109" s="609" t="s">
        <v>242</v>
      </c>
      <c r="C109" s="400"/>
      <c r="D109" s="400"/>
      <c r="E109" s="383"/>
    </row>
    <row r="110" spans="1:5" x14ac:dyDescent="0.3">
      <c r="A110" s="362" t="s">
        <v>71</v>
      </c>
      <c r="B110" s="609" t="s">
        <v>243</v>
      </c>
      <c r="C110" s="399"/>
      <c r="D110" s="399">
        <v>60000</v>
      </c>
      <c r="E110" s="382">
        <v>48858</v>
      </c>
    </row>
    <row r="111" spans="1:5" ht="12" customHeight="1" x14ac:dyDescent="0.3">
      <c r="A111" s="362" t="s">
        <v>73</v>
      </c>
      <c r="B111" s="609" t="s">
        <v>244</v>
      </c>
      <c r="C111" s="399"/>
      <c r="D111" s="399"/>
      <c r="E111" s="382"/>
    </row>
    <row r="112" spans="1:5" ht="12" customHeight="1" x14ac:dyDescent="0.3">
      <c r="A112" s="362" t="s">
        <v>75</v>
      </c>
      <c r="B112" s="602" t="s">
        <v>245</v>
      </c>
      <c r="C112" s="399"/>
      <c r="D112" s="399">
        <v>21113</v>
      </c>
      <c r="E112" s="382">
        <v>21113</v>
      </c>
    </row>
    <row r="113" spans="1:5" x14ac:dyDescent="0.3">
      <c r="A113" s="362" t="s">
        <v>77</v>
      </c>
      <c r="B113" s="601" t="s">
        <v>246</v>
      </c>
      <c r="C113" s="399"/>
      <c r="D113" s="399"/>
      <c r="E113" s="382"/>
    </row>
    <row r="114" spans="1:5" x14ac:dyDescent="0.3">
      <c r="A114" s="362" t="s">
        <v>247</v>
      </c>
      <c r="B114" s="611" t="s">
        <v>248</v>
      </c>
      <c r="C114" s="399"/>
      <c r="D114" s="399"/>
      <c r="E114" s="382"/>
    </row>
    <row r="115" spans="1:5" ht="12" customHeight="1" x14ac:dyDescent="0.3">
      <c r="A115" s="362" t="s">
        <v>249</v>
      </c>
      <c r="B115" s="605" t="s">
        <v>227</v>
      </c>
      <c r="C115" s="399"/>
      <c r="D115" s="399"/>
      <c r="E115" s="382"/>
    </row>
    <row r="116" spans="1:5" ht="12" customHeight="1" x14ac:dyDescent="0.3">
      <c r="A116" s="362" t="s">
        <v>250</v>
      </c>
      <c r="B116" s="605" t="s">
        <v>251</v>
      </c>
      <c r="C116" s="399"/>
      <c r="D116" s="399">
        <v>4001</v>
      </c>
      <c r="E116" s="382">
        <v>4001</v>
      </c>
    </row>
    <row r="117" spans="1:5" ht="12" customHeight="1" x14ac:dyDescent="0.3">
      <c r="A117" s="362" t="s">
        <v>252</v>
      </c>
      <c r="B117" s="605" t="s">
        <v>253</v>
      </c>
      <c r="C117" s="399"/>
      <c r="D117" s="399"/>
      <c r="E117" s="382"/>
    </row>
    <row r="118" spans="1:5" s="427" customFormat="1" ht="12" customHeight="1" x14ac:dyDescent="0.25">
      <c r="A118" s="362" t="s">
        <v>254</v>
      </c>
      <c r="B118" s="605" t="s">
        <v>233</v>
      </c>
      <c r="C118" s="399"/>
      <c r="D118" s="399"/>
      <c r="E118" s="382"/>
    </row>
    <row r="119" spans="1:5" ht="12" customHeight="1" x14ac:dyDescent="0.3">
      <c r="A119" s="362" t="s">
        <v>255</v>
      </c>
      <c r="B119" s="605" t="s">
        <v>256</v>
      </c>
      <c r="C119" s="399"/>
      <c r="D119" s="399"/>
      <c r="E119" s="382"/>
    </row>
    <row r="120" spans="1:5" ht="12" customHeight="1" thickBot="1" x14ac:dyDescent="0.35">
      <c r="A120" s="360" t="s">
        <v>257</v>
      </c>
      <c r="B120" s="605" t="s">
        <v>258</v>
      </c>
      <c r="C120" s="401"/>
      <c r="D120" s="401">
        <v>17112</v>
      </c>
      <c r="E120" s="384">
        <v>17112</v>
      </c>
    </row>
    <row r="121" spans="1:5" ht="12" customHeight="1" thickBot="1" x14ac:dyDescent="0.35">
      <c r="A121" s="367" t="s">
        <v>79</v>
      </c>
      <c r="B121" s="581" t="s">
        <v>259</v>
      </c>
      <c r="C121" s="398">
        <f>+C122+C123</f>
        <v>0</v>
      </c>
      <c r="D121" s="398">
        <f>+D122+D123</f>
        <v>100411</v>
      </c>
      <c r="E121" s="381">
        <f>+E122+E123</f>
        <v>0</v>
      </c>
    </row>
    <row r="122" spans="1:5" ht="12" customHeight="1" x14ac:dyDescent="0.3">
      <c r="A122" s="362" t="s">
        <v>81</v>
      </c>
      <c r="B122" s="611" t="s">
        <v>260</v>
      </c>
      <c r="C122" s="400"/>
      <c r="D122" s="400">
        <v>100411</v>
      </c>
      <c r="E122" s="383"/>
    </row>
    <row r="123" spans="1:5" ht="12" customHeight="1" thickBot="1" x14ac:dyDescent="0.35">
      <c r="A123" s="363" t="s">
        <v>83</v>
      </c>
      <c r="B123" s="609" t="s">
        <v>261</v>
      </c>
      <c r="C123" s="401"/>
      <c r="D123" s="401"/>
      <c r="E123" s="384"/>
    </row>
    <row r="124" spans="1:5" ht="12" customHeight="1" thickBot="1" x14ac:dyDescent="0.35">
      <c r="A124" s="367" t="s">
        <v>262</v>
      </c>
      <c r="B124" s="581" t="s">
        <v>263</v>
      </c>
      <c r="C124" s="398">
        <f>+C91+C107+C121</f>
        <v>0</v>
      </c>
      <c r="D124" s="398">
        <f>+D91+D107+D121</f>
        <v>610865</v>
      </c>
      <c r="E124" s="381">
        <f>+E91+E107+E121</f>
        <v>451528</v>
      </c>
    </row>
    <row r="125" spans="1:5" ht="12" customHeight="1" thickBot="1" x14ac:dyDescent="0.35">
      <c r="A125" s="367" t="s">
        <v>107</v>
      </c>
      <c r="B125" s="581" t="s">
        <v>264</v>
      </c>
      <c r="C125" s="398">
        <f>+C126+C127+C128</f>
        <v>0</v>
      </c>
      <c r="D125" s="398">
        <f>+D126+D127+D128</f>
        <v>0</v>
      </c>
      <c r="E125" s="381">
        <f>+E126+E127+E128</f>
        <v>0</v>
      </c>
    </row>
    <row r="126" spans="1:5" ht="12" customHeight="1" x14ac:dyDescent="0.3">
      <c r="A126" s="362" t="s">
        <v>109</v>
      </c>
      <c r="B126" s="611" t="s">
        <v>508</v>
      </c>
      <c r="C126" s="399"/>
      <c r="D126" s="399"/>
      <c r="E126" s="382"/>
    </row>
    <row r="127" spans="1:5" ht="12" customHeight="1" x14ac:dyDescent="0.3">
      <c r="A127" s="362" t="s">
        <v>111</v>
      </c>
      <c r="B127" s="611" t="s">
        <v>509</v>
      </c>
      <c r="C127" s="399"/>
      <c r="D127" s="399"/>
      <c r="E127" s="382"/>
    </row>
    <row r="128" spans="1:5" ht="12" customHeight="1" thickBot="1" x14ac:dyDescent="0.35">
      <c r="A128" s="360" t="s">
        <v>113</v>
      </c>
      <c r="B128" s="612" t="s">
        <v>510</v>
      </c>
      <c r="C128" s="399"/>
      <c r="D128" s="399"/>
      <c r="E128" s="382"/>
    </row>
    <row r="129" spans="1:9" ht="12" customHeight="1" thickBot="1" x14ac:dyDescent="0.35">
      <c r="A129" s="367" t="s">
        <v>129</v>
      </c>
      <c r="B129" s="581" t="s">
        <v>268</v>
      </c>
      <c r="C129" s="398">
        <f>+C130+C131+C132+C133</f>
        <v>0</v>
      </c>
      <c r="D129" s="398">
        <f>+D130+D131+D132+D133</f>
        <v>0</v>
      </c>
      <c r="E129" s="381">
        <f>+E130+E131+E132+E133</f>
        <v>0</v>
      </c>
    </row>
    <row r="130" spans="1:9" ht="12" customHeight="1" x14ac:dyDescent="0.3">
      <c r="A130" s="362" t="s">
        <v>131</v>
      </c>
      <c r="B130" s="611" t="s">
        <v>511</v>
      </c>
      <c r="C130" s="399"/>
      <c r="D130" s="399"/>
      <c r="E130" s="382"/>
    </row>
    <row r="131" spans="1:9" ht="12" customHeight="1" x14ac:dyDescent="0.3">
      <c r="A131" s="362" t="s">
        <v>133</v>
      </c>
      <c r="B131" s="611" t="s">
        <v>512</v>
      </c>
      <c r="C131" s="399"/>
      <c r="D131" s="399"/>
      <c r="E131" s="382"/>
    </row>
    <row r="132" spans="1:9" ht="12" customHeight="1" x14ac:dyDescent="0.3">
      <c r="A132" s="362" t="s">
        <v>135</v>
      </c>
      <c r="B132" s="611" t="s">
        <v>513</v>
      </c>
      <c r="C132" s="399"/>
      <c r="D132" s="399"/>
      <c r="E132" s="382"/>
    </row>
    <row r="133" spans="1:9" ht="12" customHeight="1" thickBot="1" x14ac:dyDescent="0.35">
      <c r="A133" s="360" t="s">
        <v>137</v>
      </c>
      <c r="B133" s="612" t="s">
        <v>514</v>
      </c>
      <c r="C133" s="399"/>
      <c r="D133" s="399"/>
      <c r="E133" s="382"/>
    </row>
    <row r="134" spans="1:9" ht="12" customHeight="1" thickBot="1" x14ac:dyDescent="0.35">
      <c r="A134" s="367" t="s">
        <v>273</v>
      </c>
      <c r="B134" s="581" t="s">
        <v>274</v>
      </c>
      <c r="C134" s="404">
        <f>+C135+C136+C137+C138</f>
        <v>0</v>
      </c>
      <c r="D134" s="404">
        <f>+D135+D136+D137+D138</f>
        <v>9162</v>
      </c>
      <c r="E134" s="417">
        <f>+E135+E136+E137+E138</f>
        <v>4707</v>
      </c>
    </row>
    <row r="135" spans="1:9" ht="12" customHeight="1" x14ac:dyDescent="0.3">
      <c r="A135" s="362" t="s">
        <v>143</v>
      </c>
      <c r="B135" s="611" t="s">
        <v>275</v>
      </c>
      <c r="C135" s="399"/>
      <c r="D135" s="399"/>
      <c r="E135" s="382"/>
    </row>
    <row r="136" spans="1:9" ht="12" customHeight="1" x14ac:dyDescent="0.3">
      <c r="A136" s="362" t="s">
        <v>145</v>
      </c>
      <c r="B136" s="611" t="s">
        <v>276</v>
      </c>
      <c r="C136" s="399"/>
      <c r="D136" s="399">
        <v>9162</v>
      </c>
      <c r="E136" s="382">
        <v>4707</v>
      </c>
    </row>
    <row r="137" spans="1:9" ht="12" customHeight="1" x14ac:dyDescent="0.3">
      <c r="A137" s="362" t="s">
        <v>147</v>
      </c>
      <c r="B137" s="611" t="s">
        <v>515</v>
      </c>
      <c r="C137" s="399"/>
      <c r="D137" s="399"/>
      <c r="E137" s="382"/>
    </row>
    <row r="138" spans="1:9" ht="12" customHeight="1" thickBot="1" x14ac:dyDescent="0.35">
      <c r="A138" s="360" t="s">
        <v>149</v>
      </c>
      <c r="B138" s="612" t="s">
        <v>368</v>
      </c>
      <c r="C138" s="399"/>
      <c r="D138" s="399"/>
      <c r="E138" s="382"/>
    </row>
    <row r="139" spans="1:9" ht="15" customHeight="1" thickBot="1" x14ac:dyDescent="0.35">
      <c r="A139" s="367" t="s">
        <v>151</v>
      </c>
      <c r="B139" s="581" t="s">
        <v>436</v>
      </c>
      <c r="C139" s="94">
        <f>+C140+C141+C142+C143</f>
        <v>0</v>
      </c>
      <c r="D139" s="94">
        <f>+D140+D141+D142+D143</f>
        <v>0</v>
      </c>
      <c r="E139" s="351">
        <f>+E140+E141+E142+E143</f>
        <v>0</v>
      </c>
      <c r="F139" s="415"/>
      <c r="G139" s="416"/>
      <c r="H139" s="416"/>
      <c r="I139" s="416"/>
    </row>
    <row r="140" spans="1:9" s="408" customFormat="1" ht="12.9" customHeight="1" x14ac:dyDescent="0.25">
      <c r="A140" s="362" t="s">
        <v>153</v>
      </c>
      <c r="B140" s="611" t="s">
        <v>280</v>
      </c>
      <c r="C140" s="399"/>
      <c r="D140" s="399"/>
      <c r="E140" s="382"/>
    </row>
    <row r="141" spans="1:9" ht="13.5" customHeight="1" x14ac:dyDescent="0.3">
      <c r="A141" s="362" t="s">
        <v>155</v>
      </c>
      <c r="B141" s="611" t="s">
        <v>281</v>
      </c>
      <c r="C141" s="399"/>
      <c r="D141" s="399"/>
      <c r="E141" s="382"/>
    </row>
    <row r="142" spans="1:9" ht="13.5" customHeight="1" x14ac:dyDescent="0.3">
      <c r="A142" s="362" t="s">
        <v>157</v>
      </c>
      <c r="B142" s="611" t="s">
        <v>282</v>
      </c>
      <c r="C142" s="399"/>
      <c r="D142" s="399"/>
      <c r="E142" s="382"/>
    </row>
    <row r="143" spans="1:9" ht="13.5" customHeight="1" thickBot="1" x14ac:dyDescent="0.35">
      <c r="A143" s="362" t="s">
        <v>159</v>
      </c>
      <c r="B143" s="611" t="s">
        <v>283</v>
      </c>
      <c r="C143" s="399"/>
      <c r="D143" s="399"/>
      <c r="E143" s="382"/>
    </row>
    <row r="144" spans="1:9" ht="12.75" customHeight="1" thickBot="1" x14ac:dyDescent="0.35">
      <c r="A144" s="367" t="s">
        <v>161</v>
      </c>
      <c r="B144" s="581" t="s">
        <v>284</v>
      </c>
      <c r="C144" s="349">
        <f>+C125+C129+C134+C139</f>
        <v>0</v>
      </c>
      <c r="D144" s="349">
        <f>+D125+D129+D134+D139</f>
        <v>9162</v>
      </c>
      <c r="E144" s="350">
        <f>+E125+E129+E134+E139</f>
        <v>4707</v>
      </c>
    </row>
    <row r="145" spans="1:5" ht="13.5" customHeight="1" thickBot="1" x14ac:dyDescent="0.35">
      <c r="A145" s="391" t="s">
        <v>285</v>
      </c>
      <c r="B145" s="613" t="s">
        <v>286</v>
      </c>
      <c r="C145" s="349">
        <f>+C124+C144</f>
        <v>0</v>
      </c>
      <c r="D145" s="349">
        <f>+D124+D144</f>
        <v>620027</v>
      </c>
      <c r="E145" s="350">
        <f>+E124+E144</f>
        <v>456235</v>
      </c>
    </row>
    <row r="146" spans="1:5" ht="13.5" customHeight="1" x14ac:dyDescent="0.3"/>
    <row r="147" spans="1:5" ht="13.5" customHeight="1" x14ac:dyDescent="0.3"/>
    <row r="148" spans="1:5" ht="7.5" customHeight="1" x14ac:dyDescent="0.3"/>
    <row r="150" spans="1:5" ht="12.75" customHeight="1" x14ac:dyDescent="0.3"/>
    <row r="151" spans="1:5" ht="12.75" customHeight="1" x14ac:dyDescent="0.3"/>
    <row r="152" spans="1:5" ht="12.75" customHeight="1" x14ac:dyDescent="0.3"/>
    <row r="153" spans="1:5" ht="12.75" customHeight="1" x14ac:dyDescent="0.3"/>
    <row r="154" spans="1:5" ht="12.75" customHeight="1" x14ac:dyDescent="0.3"/>
    <row r="155" spans="1:5" ht="12.75" customHeight="1" x14ac:dyDescent="0.3"/>
    <row r="156" spans="1:5" ht="12.75" customHeight="1" x14ac:dyDescent="0.3"/>
    <row r="157" spans="1:5" ht="12.75" customHeight="1" x14ac:dyDescent="0.3"/>
  </sheetData>
  <mergeCells count="10">
    <mergeCell ref="A88:A89"/>
    <mergeCell ref="B88:B89"/>
    <mergeCell ref="D88:E88"/>
    <mergeCell ref="C3:C4"/>
    <mergeCell ref="C88:C89"/>
    <mergeCell ref="A1:E1"/>
    <mergeCell ref="A3:A4"/>
    <mergeCell ref="B3:B4"/>
    <mergeCell ref="D3:E3"/>
    <mergeCell ref="A86:E86"/>
  </mergeCells>
  <printOptions horizontalCentered="1"/>
  <pageMargins left="0.78740157480314965" right="0.78740157480314965" top="1.4566929133858268" bottom="0.86614173228346458" header="0.78740157480314965" footer="0.59055118110236227"/>
  <pageSetup paperSize="9" scale="61" fitToHeight="2" orientation="portrait" r:id="rId1"/>
  <headerFooter alignWithMargins="0">
    <oddHeader>&amp;C&amp;"Times New Roman CE,Félkövér"&amp;12
..............................Önkormányzat
2014. ÉVI ZÁRSZÁMADÁSÁNAK PÉNZÜGYI MÉRLEGE&amp;10
&amp;R&amp;"Times New Roman CE,Félkövér dőlt"&amp;11 1. tájékoztató tábla a ....../2015. (......) önkormányzati rendelethez</oddHeader>
  </headerFooter>
  <rowBreaks count="1" manualBreakCount="1">
    <brk id="85" max="5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92D050"/>
  </sheetPr>
  <dimension ref="A1:K18"/>
  <sheetViews>
    <sheetView zoomScaleNormal="100" workbookViewId="0">
      <selection activeCell="B13" sqref="B13"/>
    </sheetView>
  </sheetViews>
  <sheetFormatPr defaultColWidth="9.33203125" defaultRowHeight="13.2" x14ac:dyDescent="0.25"/>
  <cols>
    <col min="1" max="1" width="6.77734375" style="5" customWidth="1"/>
    <col min="2" max="2" width="32.33203125" style="4" customWidth="1"/>
    <col min="3" max="3" width="17" style="4" customWidth="1"/>
    <col min="4" max="9" width="12.77734375" style="4" customWidth="1"/>
    <col min="10" max="10" width="13.77734375" style="4" customWidth="1"/>
    <col min="11" max="11" width="4" style="4" customWidth="1"/>
    <col min="12" max="16384" width="9.33203125" style="4"/>
  </cols>
  <sheetData>
    <row r="1" spans="1:11" ht="14.4" thickBot="1" x14ac:dyDescent="0.3">
      <c r="A1" s="111"/>
      <c r="B1" s="112"/>
      <c r="C1" s="112"/>
      <c r="D1" s="112"/>
      <c r="E1" s="112"/>
      <c r="F1" s="112"/>
      <c r="G1" s="112"/>
      <c r="H1" s="112"/>
      <c r="I1" s="112"/>
      <c r="J1" s="113" t="s">
        <v>290</v>
      </c>
      <c r="K1" s="1703" t="str">
        <f>+CONCATENATE("2. tájékoztató tábla a ......../",LEFT(ÖSSZEFÜGGÉSEK!A4,4)+1,". (........) önkormányzati rendelethez")</f>
        <v>2. tájékoztató tábla a ......../2017. (........) önkormányzati rendelethez</v>
      </c>
    </row>
    <row r="2" spans="1:11" s="117" customFormat="1" ht="26.25" customHeight="1" x14ac:dyDescent="0.25">
      <c r="A2" s="1761" t="s">
        <v>41</v>
      </c>
      <c r="B2" s="1763" t="s">
        <v>516</v>
      </c>
      <c r="C2" s="1763" t="s">
        <v>517</v>
      </c>
      <c r="D2" s="1763" t="s">
        <v>518</v>
      </c>
      <c r="E2" s="1763" t="str">
        <f>+CONCATENATE(LEFT(ÖSSZEFÜGGÉSEK!A4,4),". évi teljesítés")</f>
        <v>2016. évi teljesítés</v>
      </c>
      <c r="F2" s="114" t="s">
        <v>519</v>
      </c>
      <c r="G2" s="115"/>
      <c r="H2" s="115"/>
      <c r="I2" s="116"/>
      <c r="J2" s="1766" t="s">
        <v>520</v>
      </c>
      <c r="K2" s="1703"/>
    </row>
    <row r="3" spans="1:11" s="121" customFormat="1" ht="32.25" customHeight="1" thickBot="1" x14ac:dyDescent="0.3">
      <c r="A3" s="1762"/>
      <c r="B3" s="1764"/>
      <c r="C3" s="1764"/>
      <c r="D3" s="1765"/>
      <c r="E3" s="1765"/>
      <c r="F3" s="118" t="str">
        <f>+CONCATENATE(LEFT(ÖSSZEFÜGGÉSEK!A4,4)+1,".")</f>
        <v>2017.</v>
      </c>
      <c r="G3" s="119" t="str">
        <f>+CONCATENATE(LEFT(ÖSSZEFÜGGÉSEK!A4,4)+2,".")</f>
        <v>2018.</v>
      </c>
      <c r="H3" s="119" t="str">
        <f>+CONCATENATE(LEFT(ÖSSZEFÜGGÉSEK!A4,4)+3,".")</f>
        <v>2019.</v>
      </c>
      <c r="I3" s="120" t="str">
        <f>+CONCATENATE(LEFT(ÖSSZEFÜGGÉSEK!A4,4)+3,". után")</f>
        <v>2019. után</v>
      </c>
      <c r="J3" s="1767"/>
      <c r="K3" s="1703"/>
    </row>
    <row r="4" spans="1:11" s="123" customFormat="1" ht="14.1" customHeight="1" thickBot="1" x14ac:dyDescent="0.3">
      <c r="A4" s="584" t="s">
        <v>46</v>
      </c>
      <c r="B4" s="122" t="s">
        <v>521</v>
      </c>
      <c r="C4" s="585" t="s">
        <v>48</v>
      </c>
      <c r="D4" s="585" t="s">
        <v>49</v>
      </c>
      <c r="E4" s="585" t="s">
        <v>50</v>
      </c>
      <c r="F4" s="585" t="s">
        <v>294</v>
      </c>
      <c r="G4" s="585" t="s">
        <v>295</v>
      </c>
      <c r="H4" s="585" t="s">
        <v>296</v>
      </c>
      <c r="I4" s="585" t="s">
        <v>297</v>
      </c>
      <c r="J4" s="586" t="s">
        <v>522</v>
      </c>
      <c r="K4" s="1703"/>
    </row>
    <row r="5" spans="1:11" ht="33.75" customHeight="1" x14ac:dyDescent="0.25">
      <c r="A5" s="124" t="s">
        <v>51</v>
      </c>
      <c r="B5" s="125" t="s">
        <v>523</v>
      </c>
      <c r="C5" s="126"/>
      <c r="D5" s="127">
        <f t="shared" ref="D5:I5" si="0">SUM(D6:D7)</f>
        <v>0</v>
      </c>
      <c r="E5" s="127">
        <f t="shared" si="0"/>
        <v>0</v>
      </c>
      <c r="F5" s="127">
        <f t="shared" si="0"/>
        <v>0</v>
      </c>
      <c r="G5" s="127">
        <f t="shared" si="0"/>
        <v>0</v>
      </c>
      <c r="H5" s="127">
        <f t="shared" si="0"/>
        <v>0</v>
      </c>
      <c r="I5" s="128">
        <f t="shared" si="0"/>
        <v>0</v>
      </c>
      <c r="J5" s="129">
        <f t="shared" ref="J5:J17" si="1">SUM(F5:I5)</f>
        <v>0</v>
      </c>
      <c r="K5" s="1703"/>
    </row>
    <row r="6" spans="1:11" ht="21" customHeight="1" x14ac:dyDescent="0.25">
      <c r="A6" s="130" t="s">
        <v>65</v>
      </c>
      <c r="B6" s="131" t="s">
        <v>524</v>
      </c>
      <c r="C6" s="132"/>
      <c r="D6" s="2"/>
      <c r="E6" s="2"/>
      <c r="F6" s="2"/>
      <c r="G6" s="2"/>
      <c r="H6" s="2"/>
      <c r="I6" s="46"/>
      <c r="J6" s="133">
        <f t="shared" si="1"/>
        <v>0</v>
      </c>
      <c r="K6" s="1703"/>
    </row>
    <row r="7" spans="1:11" ht="21" customHeight="1" x14ac:dyDescent="0.25">
      <c r="A7" s="130" t="s">
        <v>79</v>
      </c>
      <c r="B7" s="131" t="s">
        <v>524</v>
      </c>
      <c r="C7" s="132"/>
      <c r="D7" s="2"/>
      <c r="E7" s="2"/>
      <c r="F7" s="2"/>
      <c r="G7" s="2"/>
      <c r="H7" s="2"/>
      <c r="I7" s="46"/>
      <c r="J7" s="133">
        <f t="shared" si="1"/>
        <v>0</v>
      </c>
      <c r="K7" s="1703"/>
    </row>
    <row r="8" spans="1:11" ht="36" customHeight="1" x14ac:dyDescent="0.25">
      <c r="A8" s="130" t="s">
        <v>262</v>
      </c>
      <c r="B8" s="134" t="s">
        <v>525</v>
      </c>
      <c r="C8" s="135"/>
      <c r="D8" s="136">
        <f t="shared" ref="D8:I8" si="2">SUM(D9:D10)</f>
        <v>0</v>
      </c>
      <c r="E8" s="136">
        <f t="shared" si="2"/>
        <v>0</v>
      </c>
      <c r="F8" s="136">
        <f t="shared" si="2"/>
        <v>0</v>
      </c>
      <c r="G8" s="136">
        <f t="shared" si="2"/>
        <v>0</v>
      </c>
      <c r="H8" s="136">
        <f t="shared" si="2"/>
        <v>0</v>
      </c>
      <c r="I8" s="137">
        <f t="shared" si="2"/>
        <v>0</v>
      </c>
      <c r="J8" s="138">
        <f t="shared" si="1"/>
        <v>0</v>
      </c>
      <c r="K8" s="1703"/>
    </row>
    <row r="9" spans="1:11" ht="21" customHeight="1" x14ac:dyDescent="0.25">
      <c r="A9" s="130" t="s">
        <v>107</v>
      </c>
      <c r="B9" s="131" t="s">
        <v>524</v>
      </c>
      <c r="C9" s="132"/>
      <c r="D9" s="2"/>
      <c r="E9" s="2"/>
      <c r="F9" s="2"/>
      <c r="G9" s="2"/>
      <c r="H9" s="2"/>
      <c r="I9" s="46"/>
      <c r="J9" s="133">
        <f t="shared" si="1"/>
        <v>0</v>
      </c>
      <c r="K9" s="1703"/>
    </row>
    <row r="10" spans="1:11" ht="18" customHeight="1" x14ac:dyDescent="0.25">
      <c r="A10" s="130" t="s">
        <v>129</v>
      </c>
      <c r="B10" s="131" t="s">
        <v>524</v>
      </c>
      <c r="C10" s="132"/>
      <c r="D10" s="2"/>
      <c r="E10" s="2"/>
      <c r="F10" s="2"/>
      <c r="G10" s="2"/>
      <c r="H10" s="2"/>
      <c r="I10" s="46"/>
      <c r="J10" s="133">
        <f t="shared" si="1"/>
        <v>0</v>
      </c>
      <c r="K10" s="1703"/>
    </row>
    <row r="11" spans="1:11" ht="21" customHeight="1" x14ac:dyDescent="0.25">
      <c r="A11" s="130" t="s">
        <v>273</v>
      </c>
      <c r="B11" s="139" t="s">
        <v>526</v>
      </c>
      <c r="C11" s="135"/>
      <c r="D11" s="136">
        <f t="shared" ref="D11:I11" si="3">SUM(D12:D12)</f>
        <v>0</v>
      </c>
      <c r="E11" s="136">
        <f t="shared" si="3"/>
        <v>0</v>
      </c>
      <c r="F11" s="136">
        <f t="shared" si="3"/>
        <v>0</v>
      </c>
      <c r="G11" s="136">
        <f t="shared" si="3"/>
        <v>0</v>
      </c>
      <c r="H11" s="136">
        <f t="shared" si="3"/>
        <v>0</v>
      </c>
      <c r="I11" s="137">
        <f t="shared" si="3"/>
        <v>0</v>
      </c>
      <c r="J11" s="138">
        <f t="shared" si="1"/>
        <v>0</v>
      </c>
      <c r="K11" s="1703"/>
    </row>
    <row r="12" spans="1:11" ht="21" customHeight="1" x14ac:dyDescent="0.25">
      <c r="A12" s="130" t="s">
        <v>151</v>
      </c>
      <c r="B12" s="131" t="s">
        <v>524</v>
      </c>
      <c r="C12" s="132"/>
      <c r="D12" s="2"/>
      <c r="E12" s="2"/>
      <c r="F12" s="2"/>
      <c r="G12" s="2"/>
      <c r="H12" s="2"/>
      <c r="I12" s="46"/>
      <c r="J12" s="133">
        <f t="shared" si="1"/>
        <v>0</v>
      </c>
      <c r="K12" s="1703"/>
    </row>
    <row r="13" spans="1:11" ht="21" customHeight="1" x14ac:dyDescent="0.25">
      <c r="A13" s="130" t="s">
        <v>161</v>
      </c>
      <c r="B13" s="139" t="s">
        <v>527</v>
      </c>
      <c r="C13" s="135"/>
      <c r="D13" s="136">
        <f t="shared" ref="D13:I13" si="4">SUM(D14:D14)</f>
        <v>0</v>
      </c>
      <c r="E13" s="136">
        <f t="shared" si="4"/>
        <v>0</v>
      </c>
      <c r="F13" s="136">
        <f t="shared" si="4"/>
        <v>0</v>
      </c>
      <c r="G13" s="136">
        <f t="shared" si="4"/>
        <v>0</v>
      </c>
      <c r="H13" s="136">
        <f t="shared" si="4"/>
        <v>0</v>
      </c>
      <c r="I13" s="137">
        <f t="shared" si="4"/>
        <v>0</v>
      </c>
      <c r="J13" s="138">
        <f t="shared" si="1"/>
        <v>0</v>
      </c>
      <c r="K13" s="1703"/>
    </row>
    <row r="14" spans="1:11" ht="21" customHeight="1" x14ac:dyDescent="0.25">
      <c r="A14" s="130" t="s">
        <v>285</v>
      </c>
      <c r="B14" s="131" t="s">
        <v>524</v>
      </c>
      <c r="C14" s="132"/>
      <c r="D14" s="2"/>
      <c r="E14" s="2"/>
      <c r="F14" s="2"/>
      <c r="G14" s="2"/>
      <c r="H14" s="2"/>
      <c r="I14" s="46"/>
      <c r="J14" s="133">
        <f t="shared" si="1"/>
        <v>0</v>
      </c>
      <c r="K14" s="1703"/>
    </row>
    <row r="15" spans="1:11" ht="21" customHeight="1" x14ac:dyDescent="0.25">
      <c r="A15" s="140" t="s">
        <v>307</v>
      </c>
      <c r="B15" s="141" t="s">
        <v>528</v>
      </c>
      <c r="C15" s="142"/>
      <c r="D15" s="143">
        <f t="shared" ref="D15:I15" si="5">SUM(D16:D17)</f>
        <v>0</v>
      </c>
      <c r="E15" s="143">
        <f t="shared" si="5"/>
        <v>0</v>
      </c>
      <c r="F15" s="143">
        <f t="shared" si="5"/>
        <v>0</v>
      </c>
      <c r="G15" s="143">
        <f t="shared" si="5"/>
        <v>0</v>
      </c>
      <c r="H15" s="143">
        <f t="shared" si="5"/>
        <v>0</v>
      </c>
      <c r="I15" s="144">
        <f t="shared" si="5"/>
        <v>0</v>
      </c>
      <c r="J15" s="138">
        <f t="shared" si="1"/>
        <v>0</v>
      </c>
      <c r="K15" s="1703"/>
    </row>
    <row r="16" spans="1:11" ht="21" customHeight="1" x14ac:dyDescent="0.25">
      <c r="A16" s="140" t="s">
        <v>308</v>
      </c>
      <c r="B16" s="131" t="s">
        <v>524</v>
      </c>
      <c r="C16" s="132"/>
      <c r="D16" s="2"/>
      <c r="E16" s="2"/>
      <c r="F16" s="2"/>
      <c r="G16" s="2"/>
      <c r="H16" s="2"/>
      <c r="I16" s="46"/>
      <c r="J16" s="133">
        <f t="shared" si="1"/>
        <v>0</v>
      </c>
      <c r="K16" s="1703"/>
    </row>
    <row r="17" spans="1:11" ht="21" customHeight="1" thickBot="1" x14ac:dyDescent="0.3">
      <c r="A17" s="140" t="s">
        <v>309</v>
      </c>
      <c r="B17" s="131" t="s">
        <v>524</v>
      </c>
      <c r="C17" s="145"/>
      <c r="D17" s="146"/>
      <c r="E17" s="146"/>
      <c r="F17" s="146"/>
      <c r="G17" s="146"/>
      <c r="H17" s="146"/>
      <c r="I17" s="147"/>
      <c r="J17" s="133">
        <f t="shared" si="1"/>
        <v>0</v>
      </c>
      <c r="K17" s="1703"/>
    </row>
    <row r="18" spans="1:11" ht="21" customHeight="1" thickBot="1" x14ac:dyDescent="0.3">
      <c r="A18" s="148" t="s">
        <v>312</v>
      </c>
      <c r="B18" s="149" t="s">
        <v>529</v>
      </c>
      <c r="C18" s="150"/>
      <c r="D18" s="151">
        <f t="shared" ref="D18:J18" si="6">D5+D8+D11+D13+D15</f>
        <v>0</v>
      </c>
      <c r="E18" s="151">
        <f t="shared" si="6"/>
        <v>0</v>
      </c>
      <c r="F18" s="151">
        <f t="shared" si="6"/>
        <v>0</v>
      </c>
      <c r="G18" s="151">
        <f t="shared" si="6"/>
        <v>0</v>
      </c>
      <c r="H18" s="151">
        <f t="shared" si="6"/>
        <v>0</v>
      </c>
      <c r="I18" s="152">
        <f t="shared" si="6"/>
        <v>0</v>
      </c>
      <c r="J18" s="153">
        <f t="shared" si="6"/>
        <v>0</v>
      </c>
      <c r="K18" s="1703"/>
    </row>
  </sheetData>
  <sheetProtection sheet="1" objects="1" scenarios="1"/>
  <mergeCells count="7">
    <mergeCell ref="K1:K18"/>
    <mergeCell ref="A2:A3"/>
    <mergeCell ref="B2:B3"/>
    <mergeCell ref="C2:C3"/>
    <mergeCell ref="D2:D3"/>
    <mergeCell ref="E2:E3"/>
    <mergeCell ref="J2:J3"/>
  </mergeCells>
  <printOptions horizontalCentered="1"/>
  <pageMargins left="0.78740157480314965" right="0.78740157480314965" top="1.39" bottom="0.98425196850393704" header="0.78740157480314965" footer="0.78740157480314965"/>
  <pageSetup paperSize="9" scale="95" orientation="landscape" verticalDpi="300" r:id="rId1"/>
  <headerFooter alignWithMargins="0">
    <oddHeader>&amp;C&amp;"Times New Roman CE,Félkövér"&amp;12
Többéves kihatással járó döntésekből származó kötelezettségek
célok szerint, évenkénti bontásban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92D050"/>
  </sheetPr>
  <dimension ref="A1:I20"/>
  <sheetViews>
    <sheetView zoomScaleNormal="100" workbookViewId="0">
      <selection activeCell="I1" sqref="I1:I19"/>
    </sheetView>
  </sheetViews>
  <sheetFormatPr defaultColWidth="9.33203125" defaultRowHeight="13.2" x14ac:dyDescent="0.25"/>
  <cols>
    <col min="1" max="1" width="6.77734375" style="5" customWidth="1"/>
    <col min="2" max="2" width="50.33203125" style="4" customWidth="1"/>
    <col min="3" max="5" width="12.77734375" style="4" customWidth="1"/>
    <col min="6" max="6" width="13.77734375" style="4" customWidth="1"/>
    <col min="7" max="7" width="15.44140625" style="4" customWidth="1"/>
    <col min="8" max="8" width="16.77734375" style="4" customWidth="1"/>
    <col min="9" max="9" width="5.6640625" style="4" customWidth="1"/>
    <col min="10" max="16384" width="9.33203125" style="4"/>
  </cols>
  <sheetData>
    <row r="1" spans="1:9" s="19" customFormat="1" ht="14.4" thickBot="1" x14ac:dyDescent="0.3">
      <c r="A1" s="154"/>
      <c r="H1" s="155" t="s">
        <v>290</v>
      </c>
      <c r="I1" s="1768" t="str">
        <f>+CONCATENATE("3. tájékoztató tábla a ......../",LEFT(ÖSSZEFÜGGÉSEK!A4,4)+1,". (........) önkormányzati rendelethez")</f>
        <v>3. tájékoztató tábla a ......../2017. (........) önkormányzati rendelethez</v>
      </c>
    </row>
    <row r="2" spans="1:9" s="117" customFormat="1" ht="26.25" customHeight="1" x14ac:dyDescent="0.25">
      <c r="A2" s="1718" t="s">
        <v>41</v>
      </c>
      <c r="B2" s="1772" t="s">
        <v>530</v>
      </c>
      <c r="C2" s="1718" t="s">
        <v>531</v>
      </c>
      <c r="D2" s="1718" t="s">
        <v>532</v>
      </c>
      <c r="E2" s="1774" t="str">
        <f>+CONCATENATE("Hitel, kölcsön állomány ",LEFT(ÖSSZEFÜGGÉSEK!A4,4),". dec. 31-én")</f>
        <v>Hitel, kölcsön állomány 2016. dec. 31-én</v>
      </c>
      <c r="F2" s="1776" t="s">
        <v>533</v>
      </c>
      <c r="G2" s="1777"/>
      <c r="H2" s="1769" t="str">
        <f>+CONCATENATE(LEFT(ÖSSZEFÜGGÉSEK!A4,4)+2,". után")</f>
        <v>2018. után</v>
      </c>
      <c r="I2" s="1768"/>
    </row>
    <row r="3" spans="1:9" s="121" customFormat="1" ht="40.5" customHeight="1" thickBot="1" x14ac:dyDescent="0.3">
      <c r="A3" s="1771"/>
      <c r="B3" s="1773"/>
      <c r="C3" s="1773"/>
      <c r="D3" s="1771"/>
      <c r="E3" s="1775"/>
      <c r="F3" s="156" t="str">
        <f>+CONCATENATE(LEFT(ÖSSZEFÜGGÉSEK!A4,4)+1,".")</f>
        <v>2017.</v>
      </c>
      <c r="G3" s="157" t="str">
        <f>+CONCATENATE(LEFT(ÖSSZEFÜGGÉSEK!A4,4)+2,".")</f>
        <v>2018.</v>
      </c>
      <c r="H3" s="1770"/>
      <c r="I3" s="1768"/>
    </row>
    <row r="4" spans="1:9" s="161" customFormat="1" ht="12.9" customHeight="1" thickBot="1" x14ac:dyDescent="0.3">
      <c r="A4" s="158" t="s">
        <v>46</v>
      </c>
      <c r="B4" s="674" t="s">
        <v>47</v>
      </c>
      <c r="C4" s="674" t="s">
        <v>48</v>
      </c>
      <c r="D4" s="159" t="s">
        <v>49</v>
      </c>
      <c r="E4" s="158" t="s">
        <v>50</v>
      </c>
      <c r="F4" s="159" t="s">
        <v>294</v>
      </c>
      <c r="G4" s="159" t="s">
        <v>295</v>
      </c>
      <c r="H4" s="160" t="s">
        <v>296</v>
      </c>
      <c r="I4" s="1768"/>
    </row>
    <row r="5" spans="1:9" ht="22.5" customHeight="1" thickBot="1" x14ac:dyDescent="0.3">
      <c r="A5" s="162" t="s">
        <v>51</v>
      </c>
      <c r="B5" s="163" t="s">
        <v>534</v>
      </c>
      <c r="C5" s="164"/>
      <c r="D5" s="165"/>
      <c r="E5" s="166">
        <f>SUM(E6:E11)</f>
        <v>0</v>
      </c>
      <c r="F5" s="167">
        <f>SUM(F6:F11)</f>
        <v>0</v>
      </c>
      <c r="G5" s="167">
        <f>SUM(G6:G11)</f>
        <v>0</v>
      </c>
      <c r="H5" s="168">
        <f>SUM(H6:H11)</f>
        <v>0</v>
      </c>
      <c r="I5" s="1768"/>
    </row>
    <row r="6" spans="1:9" ht="22.5" customHeight="1" x14ac:dyDescent="0.25">
      <c r="A6" s="169" t="s">
        <v>65</v>
      </c>
      <c r="B6" s="170" t="s">
        <v>524</v>
      </c>
      <c r="C6" s="171"/>
      <c r="D6" s="172"/>
      <c r="E6" s="173"/>
      <c r="F6" s="2"/>
      <c r="G6" s="2"/>
      <c r="H6" s="174"/>
      <c r="I6" s="1768"/>
    </row>
    <row r="7" spans="1:9" ht="22.5" customHeight="1" x14ac:dyDescent="0.25">
      <c r="A7" s="169" t="s">
        <v>79</v>
      </c>
      <c r="B7" s="170" t="s">
        <v>524</v>
      </c>
      <c r="C7" s="171"/>
      <c r="D7" s="172"/>
      <c r="E7" s="173"/>
      <c r="F7" s="2"/>
      <c r="G7" s="2"/>
      <c r="H7" s="174"/>
      <c r="I7" s="1768"/>
    </row>
    <row r="8" spans="1:9" ht="22.5" customHeight="1" x14ac:dyDescent="0.25">
      <c r="A8" s="169" t="s">
        <v>262</v>
      </c>
      <c r="B8" s="170" t="s">
        <v>524</v>
      </c>
      <c r="C8" s="171"/>
      <c r="D8" s="172"/>
      <c r="E8" s="173"/>
      <c r="F8" s="2"/>
      <c r="G8" s="2"/>
      <c r="H8" s="174"/>
      <c r="I8" s="1768"/>
    </row>
    <row r="9" spans="1:9" ht="22.5" customHeight="1" x14ac:dyDescent="0.25">
      <c r="A9" s="169" t="s">
        <v>107</v>
      </c>
      <c r="B9" s="170" t="s">
        <v>524</v>
      </c>
      <c r="C9" s="171"/>
      <c r="D9" s="172"/>
      <c r="E9" s="173"/>
      <c r="F9" s="2"/>
      <c r="G9" s="2"/>
      <c r="H9" s="174"/>
      <c r="I9" s="1768"/>
    </row>
    <row r="10" spans="1:9" ht="22.5" customHeight="1" x14ac:dyDescent="0.25">
      <c r="A10" s="169" t="s">
        <v>129</v>
      </c>
      <c r="B10" s="170" t="s">
        <v>524</v>
      </c>
      <c r="C10" s="171"/>
      <c r="D10" s="172"/>
      <c r="E10" s="173"/>
      <c r="F10" s="2"/>
      <c r="G10" s="2"/>
      <c r="H10" s="174"/>
      <c r="I10" s="1768"/>
    </row>
    <row r="11" spans="1:9" ht="22.5" customHeight="1" thickBot="1" x14ac:dyDescent="0.3">
      <c r="A11" s="169" t="s">
        <v>273</v>
      </c>
      <c r="B11" s="170" t="s">
        <v>524</v>
      </c>
      <c r="C11" s="171"/>
      <c r="D11" s="172"/>
      <c r="E11" s="173"/>
      <c r="F11" s="2"/>
      <c r="G11" s="2"/>
      <c r="H11" s="174"/>
      <c r="I11" s="1768"/>
    </row>
    <row r="12" spans="1:9" ht="22.5" customHeight="1" thickBot="1" x14ac:dyDescent="0.3">
      <c r="A12" s="162" t="s">
        <v>151</v>
      </c>
      <c r="B12" s="163" t="s">
        <v>535</v>
      </c>
      <c r="C12" s="175"/>
      <c r="D12" s="176"/>
      <c r="E12" s="166">
        <f>SUM(E13:E18)</f>
        <v>0</v>
      </c>
      <c r="F12" s="167">
        <f>SUM(F13:F18)</f>
        <v>0</v>
      </c>
      <c r="G12" s="167">
        <f>SUM(G13:G18)</f>
        <v>0</v>
      </c>
      <c r="H12" s="168">
        <f>SUM(H13:H18)</f>
        <v>0</v>
      </c>
      <c r="I12" s="1768"/>
    </row>
    <row r="13" spans="1:9" ht="22.5" customHeight="1" x14ac:dyDescent="0.25">
      <c r="A13" s="169" t="s">
        <v>161</v>
      </c>
      <c r="B13" s="170" t="s">
        <v>524</v>
      </c>
      <c r="C13" s="171"/>
      <c r="D13" s="172"/>
      <c r="E13" s="173"/>
      <c r="F13" s="2"/>
      <c r="G13" s="2"/>
      <c r="H13" s="174"/>
      <c r="I13" s="1768"/>
    </row>
    <row r="14" spans="1:9" ht="22.5" customHeight="1" x14ac:dyDescent="0.25">
      <c r="A14" s="169" t="s">
        <v>285</v>
      </c>
      <c r="B14" s="170" t="s">
        <v>524</v>
      </c>
      <c r="C14" s="171"/>
      <c r="D14" s="172"/>
      <c r="E14" s="173"/>
      <c r="F14" s="2"/>
      <c r="G14" s="2"/>
      <c r="H14" s="174"/>
      <c r="I14" s="1768"/>
    </row>
    <row r="15" spans="1:9" ht="22.5" customHeight="1" x14ac:dyDescent="0.25">
      <c r="A15" s="169" t="s">
        <v>307</v>
      </c>
      <c r="B15" s="170" t="s">
        <v>524</v>
      </c>
      <c r="C15" s="171"/>
      <c r="D15" s="172"/>
      <c r="E15" s="173"/>
      <c r="F15" s="2"/>
      <c r="G15" s="2"/>
      <c r="H15" s="174"/>
      <c r="I15" s="1768"/>
    </row>
    <row r="16" spans="1:9" ht="22.5" customHeight="1" x14ac:dyDescent="0.25">
      <c r="A16" s="169" t="s">
        <v>308</v>
      </c>
      <c r="B16" s="170" t="s">
        <v>524</v>
      </c>
      <c r="C16" s="171"/>
      <c r="D16" s="172"/>
      <c r="E16" s="173"/>
      <c r="F16" s="2"/>
      <c r="G16" s="2"/>
      <c r="H16" s="174"/>
      <c r="I16" s="1768"/>
    </row>
    <row r="17" spans="1:9" ht="22.5" customHeight="1" x14ac:dyDescent="0.25">
      <c r="A17" s="169" t="s">
        <v>309</v>
      </c>
      <c r="B17" s="170" t="s">
        <v>524</v>
      </c>
      <c r="C17" s="171"/>
      <c r="D17" s="172"/>
      <c r="E17" s="173"/>
      <c r="F17" s="2"/>
      <c r="G17" s="2"/>
      <c r="H17" s="174"/>
      <c r="I17" s="1768"/>
    </row>
    <row r="18" spans="1:9" ht="22.5" customHeight="1" thickBot="1" x14ac:dyDescent="0.3">
      <c r="A18" s="169" t="s">
        <v>312</v>
      </c>
      <c r="B18" s="170" t="s">
        <v>524</v>
      </c>
      <c r="C18" s="171"/>
      <c r="D18" s="172"/>
      <c r="E18" s="173"/>
      <c r="F18" s="2"/>
      <c r="G18" s="2"/>
      <c r="H18" s="174"/>
      <c r="I18" s="1768"/>
    </row>
    <row r="19" spans="1:9" ht="22.5" customHeight="1" thickBot="1" x14ac:dyDescent="0.3">
      <c r="A19" s="162" t="s">
        <v>315</v>
      </c>
      <c r="B19" s="163" t="s">
        <v>536</v>
      </c>
      <c r="C19" s="164"/>
      <c r="D19" s="165"/>
      <c r="E19" s="166">
        <f>E5+E12</f>
        <v>0</v>
      </c>
      <c r="F19" s="167">
        <f>F5+F12</f>
        <v>0</v>
      </c>
      <c r="G19" s="167">
        <f>G5+G12</f>
        <v>0</v>
      </c>
      <c r="H19" s="168">
        <f>H5+H12</f>
        <v>0</v>
      </c>
      <c r="I19" s="1768"/>
    </row>
    <row r="20" spans="1:9" ht="20.100000000000001" customHeight="1" x14ac:dyDescent="0.25"/>
  </sheetData>
  <sheetProtection sheet="1" objects="1" scenarios="1"/>
  <mergeCells count="8">
    <mergeCell ref="I1:I19"/>
    <mergeCell ref="H2:H3"/>
    <mergeCell ref="A2:A3"/>
    <mergeCell ref="B2:B3"/>
    <mergeCell ref="C2:C3"/>
    <mergeCell ref="D2:D3"/>
    <mergeCell ref="E2:E3"/>
    <mergeCell ref="F2:G2"/>
  </mergeCells>
  <printOptions horizontalCentered="1"/>
  <pageMargins left="0.78740157480314965" right="0.78740157480314965" top="1.5748031496062993" bottom="0.98425196850393704" header="0.78740157480314965" footer="0.78740157480314965"/>
  <pageSetup paperSize="9" scale="95" orientation="landscape" verticalDpi="300" r:id="rId1"/>
  <headerFooter alignWithMargins="0">
    <oddHeader>&amp;C&amp;"Times New Roman CE,Félkövér"&amp;12
Az önkormányzat által nyújtott hitel és kölcsön alakulása
 lejárat és eszközök szerinti bontásban</oddHead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rgb="FF92D050"/>
  </sheetPr>
  <dimension ref="A1:J19"/>
  <sheetViews>
    <sheetView zoomScaleNormal="100" workbookViewId="0">
      <selection activeCell="D31" sqref="D31"/>
    </sheetView>
  </sheetViews>
  <sheetFormatPr defaultColWidth="9.33203125" defaultRowHeight="13.2" x14ac:dyDescent="0.25"/>
  <cols>
    <col min="1" max="1" width="5.44140625" style="8" customWidth="1"/>
    <col min="2" max="2" width="36.77734375" style="8" customWidth="1"/>
    <col min="3" max="8" width="13.77734375" style="8" customWidth="1"/>
    <col min="9" max="9" width="15.109375" style="8" customWidth="1"/>
    <col min="10" max="10" width="5" style="8" customWidth="1"/>
    <col min="11" max="16384" width="9.33203125" style="8"/>
  </cols>
  <sheetData>
    <row r="1" spans="1:10" ht="34.5" customHeight="1" x14ac:dyDescent="0.25">
      <c r="A1" s="1780" t="str">
        <f>+CONCATENATE("Adósság állomány alakulása lejárat, eszközök, bel- és külföldi hitelezők szerinti bontásban ",CHAR(10),LEFT(ÖSSZEFÜGGÉSEK!A4,4),". december 31-én")</f>
        <v>Adósság állomány alakulása lejárat, eszközök, bel- és külföldi hitelezők szerinti bontásban 
2016. december 31-én</v>
      </c>
      <c r="B1" s="1781"/>
      <c r="C1" s="1781"/>
      <c r="D1" s="1781"/>
      <c r="E1" s="1781"/>
      <c r="F1" s="1781"/>
      <c r="G1" s="1781"/>
      <c r="H1" s="1781"/>
      <c r="I1" s="1781"/>
      <c r="J1" s="1768" t="str">
        <f>+CONCATENATE("4. tájékoztató tábla a ......../",LEFT(ÖSSZEFÜGGÉSEK!A4,4)+1,". (........) önkormányzati rendelethez")</f>
        <v>4. tájékoztató tábla a ......../2017. (........) önkormányzati rendelethez</v>
      </c>
    </row>
    <row r="2" spans="1:10" ht="14.4" thickBot="1" x14ac:dyDescent="0.35">
      <c r="H2" s="1782" t="s">
        <v>537</v>
      </c>
      <c r="I2" s="1782"/>
      <c r="J2" s="1768"/>
    </row>
    <row r="3" spans="1:10" ht="13.8" thickBot="1" x14ac:dyDescent="0.3">
      <c r="A3" s="1783" t="s">
        <v>487</v>
      </c>
      <c r="B3" s="1785" t="s">
        <v>538</v>
      </c>
      <c r="C3" s="1787" t="s">
        <v>539</v>
      </c>
      <c r="D3" s="1789" t="s">
        <v>540</v>
      </c>
      <c r="E3" s="1790"/>
      <c r="F3" s="1790"/>
      <c r="G3" s="1790"/>
      <c r="H3" s="1790"/>
      <c r="I3" s="1791" t="s">
        <v>541</v>
      </c>
      <c r="J3" s="1768"/>
    </row>
    <row r="4" spans="1:10" s="20" customFormat="1" ht="42" customHeight="1" thickBot="1" x14ac:dyDescent="0.3">
      <c r="A4" s="1784"/>
      <c r="B4" s="1786"/>
      <c r="C4" s="1788"/>
      <c r="D4" s="177" t="s">
        <v>542</v>
      </c>
      <c r="E4" s="177" t="s">
        <v>543</v>
      </c>
      <c r="F4" s="177" t="s">
        <v>544</v>
      </c>
      <c r="G4" s="178" t="s">
        <v>545</v>
      </c>
      <c r="H4" s="178" t="s">
        <v>546</v>
      </c>
      <c r="I4" s="1792"/>
      <c r="J4" s="1768"/>
    </row>
    <row r="5" spans="1:10" s="20" customFormat="1" ht="12" customHeight="1" thickBot="1" x14ac:dyDescent="0.3">
      <c r="A5" s="580" t="s">
        <v>46</v>
      </c>
      <c r="B5" s="179" t="s">
        <v>47</v>
      </c>
      <c r="C5" s="179" t="s">
        <v>48</v>
      </c>
      <c r="D5" s="179" t="s">
        <v>49</v>
      </c>
      <c r="E5" s="179" t="s">
        <v>50</v>
      </c>
      <c r="F5" s="179" t="s">
        <v>294</v>
      </c>
      <c r="G5" s="179" t="s">
        <v>295</v>
      </c>
      <c r="H5" s="179" t="s">
        <v>547</v>
      </c>
      <c r="I5" s="180" t="s">
        <v>548</v>
      </c>
      <c r="J5" s="1768"/>
    </row>
    <row r="6" spans="1:10" s="20" customFormat="1" ht="18" customHeight="1" x14ac:dyDescent="0.25">
      <c r="A6" s="1793" t="s">
        <v>549</v>
      </c>
      <c r="B6" s="1794"/>
      <c r="C6" s="1794"/>
      <c r="D6" s="1794"/>
      <c r="E6" s="1794"/>
      <c r="F6" s="1794"/>
      <c r="G6" s="1794"/>
      <c r="H6" s="1794"/>
      <c r="I6" s="1795"/>
      <c r="J6" s="1768"/>
    </row>
    <row r="7" spans="1:10" ht="15.9" customHeight="1" x14ac:dyDescent="0.25">
      <c r="A7" s="33" t="s">
        <v>51</v>
      </c>
      <c r="B7" s="31" t="s">
        <v>550</v>
      </c>
      <c r="C7" s="23"/>
      <c r="D7" s="23"/>
      <c r="E7" s="23"/>
      <c r="F7" s="23"/>
      <c r="G7" s="182"/>
      <c r="H7" s="183">
        <f t="shared" ref="H7:H13" si="0">SUM(D7:G7)</f>
        <v>0</v>
      </c>
      <c r="I7" s="34">
        <f t="shared" ref="I7:I13" si="1">C7+H7</f>
        <v>0</v>
      </c>
      <c r="J7" s="1768"/>
    </row>
    <row r="8" spans="1:10" x14ac:dyDescent="0.25">
      <c r="A8" s="33" t="s">
        <v>65</v>
      </c>
      <c r="B8" s="31" t="s">
        <v>551</v>
      </c>
      <c r="C8" s="23"/>
      <c r="D8" s="23"/>
      <c r="E8" s="23"/>
      <c r="F8" s="23"/>
      <c r="G8" s="182"/>
      <c r="H8" s="183">
        <f t="shared" si="0"/>
        <v>0</v>
      </c>
      <c r="I8" s="34">
        <f t="shared" si="1"/>
        <v>0</v>
      </c>
      <c r="J8" s="1768"/>
    </row>
    <row r="9" spans="1:10" x14ac:dyDescent="0.25">
      <c r="A9" s="33" t="s">
        <v>79</v>
      </c>
      <c r="B9" s="31" t="s">
        <v>552</v>
      </c>
      <c r="C9" s="23"/>
      <c r="D9" s="23"/>
      <c r="E9" s="23"/>
      <c r="F9" s="23"/>
      <c r="G9" s="182"/>
      <c r="H9" s="183">
        <f t="shared" si="0"/>
        <v>0</v>
      </c>
      <c r="I9" s="34">
        <f t="shared" si="1"/>
        <v>0</v>
      </c>
      <c r="J9" s="1768"/>
    </row>
    <row r="10" spans="1:10" ht="15.9" customHeight="1" x14ac:dyDescent="0.25">
      <c r="A10" s="33" t="s">
        <v>262</v>
      </c>
      <c r="B10" s="31" t="s">
        <v>553</v>
      </c>
      <c r="C10" s="23"/>
      <c r="D10" s="23"/>
      <c r="E10" s="23"/>
      <c r="F10" s="23"/>
      <c r="G10" s="182"/>
      <c r="H10" s="183">
        <f t="shared" si="0"/>
        <v>0</v>
      </c>
      <c r="I10" s="34">
        <f t="shared" si="1"/>
        <v>0</v>
      </c>
      <c r="J10" s="1768"/>
    </row>
    <row r="11" spans="1:10" x14ac:dyDescent="0.25">
      <c r="A11" s="33" t="s">
        <v>107</v>
      </c>
      <c r="B11" s="31" t="s">
        <v>554</v>
      </c>
      <c r="C11" s="23"/>
      <c r="D11" s="23"/>
      <c r="E11" s="23"/>
      <c r="F11" s="23"/>
      <c r="G11" s="182"/>
      <c r="H11" s="183">
        <f t="shared" si="0"/>
        <v>0</v>
      </c>
      <c r="I11" s="34">
        <f t="shared" si="1"/>
        <v>0</v>
      </c>
      <c r="J11" s="1768"/>
    </row>
    <row r="12" spans="1:10" ht="15.9" customHeight="1" x14ac:dyDescent="0.25">
      <c r="A12" s="35" t="s">
        <v>129</v>
      </c>
      <c r="B12" s="36" t="s">
        <v>555</v>
      </c>
      <c r="C12" s="24"/>
      <c r="D12" s="24"/>
      <c r="E12" s="24"/>
      <c r="F12" s="24"/>
      <c r="G12" s="184"/>
      <c r="H12" s="183">
        <f t="shared" si="0"/>
        <v>0</v>
      </c>
      <c r="I12" s="34">
        <f t="shared" si="1"/>
        <v>0</v>
      </c>
      <c r="J12" s="1768"/>
    </row>
    <row r="13" spans="1:10" ht="15.9" customHeight="1" thickBot="1" x14ac:dyDescent="0.3">
      <c r="A13" s="185" t="s">
        <v>273</v>
      </c>
      <c r="B13" s="186" t="s">
        <v>556</v>
      </c>
      <c r="C13" s="188"/>
      <c r="D13" s="188"/>
      <c r="E13" s="188"/>
      <c r="F13" s="188"/>
      <c r="G13" s="189"/>
      <c r="H13" s="183">
        <f t="shared" si="0"/>
        <v>0</v>
      </c>
      <c r="I13" s="34">
        <f t="shared" si="1"/>
        <v>0</v>
      </c>
      <c r="J13" s="1768"/>
    </row>
    <row r="14" spans="1:10" s="25" customFormat="1" ht="18" customHeight="1" thickBot="1" x14ac:dyDescent="0.3">
      <c r="A14" s="1796" t="s">
        <v>557</v>
      </c>
      <c r="B14" s="1797"/>
      <c r="C14" s="37">
        <f t="shared" ref="C14:I14" si="2">SUM(C7:C13)</f>
        <v>0</v>
      </c>
      <c r="D14" s="37">
        <f>SUM(D7:D13)</f>
        <v>0</v>
      </c>
      <c r="E14" s="37">
        <f t="shared" si="2"/>
        <v>0</v>
      </c>
      <c r="F14" s="37">
        <f t="shared" si="2"/>
        <v>0</v>
      </c>
      <c r="G14" s="190">
        <f t="shared" si="2"/>
        <v>0</v>
      </c>
      <c r="H14" s="190">
        <f t="shared" si="2"/>
        <v>0</v>
      </c>
      <c r="I14" s="38">
        <f t="shared" si="2"/>
        <v>0</v>
      </c>
      <c r="J14" s="1768"/>
    </row>
    <row r="15" spans="1:10" s="22" customFormat="1" ht="18" customHeight="1" x14ac:dyDescent="0.25">
      <c r="A15" s="1798" t="s">
        <v>558</v>
      </c>
      <c r="B15" s="1799"/>
      <c r="C15" s="1799"/>
      <c r="D15" s="1799"/>
      <c r="E15" s="1799"/>
      <c r="F15" s="1799"/>
      <c r="G15" s="1799"/>
      <c r="H15" s="1799"/>
      <c r="I15" s="1800"/>
      <c r="J15" s="1768"/>
    </row>
    <row r="16" spans="1:10" s="22" customFormat="1" x14ac:dyDescent="0.25">
      <c r="A16" s="33" t="s">
        <v>51</v>
      </c>
      <c r="B16" s="31" t="s">
        <v>559</v>
      </c>
      <c r="C16" s="23"/>
      <c r="D16" s="23"/>
      <c r="E16" s="23"/>
      <c r="F16" s="23"/>
      <c r="G16" s="182"/>
      <c r="H16" s="183">
        <f>SUM(D16:G16)</f>
        <v>0</v>
      </c>
      <c r="I16" s="34">
        <f>C16+H16</f>
        <v>0</v>
      </c>
      <c r="J16" s="1768"/>
    </row>
    <row r="17" spans="1:10" ht="13.8" thickBot="1" x14ac:dyDescent="0.3">
      <c r="A17" s="185" t="s">
        <v>65</v>
      </c>
      <c r="B17" s="186" t="s">
        <v>556</v>
      </c>
      <c r="C17" s="188"/>
      <c r="D17" s="188"/>
      <c r="E17" s="188"/>
      <c r="F17" s="188"/>
      <c r="G17" s="189"/>
      <c r="H17" s="183">
        <f>SUM(D17:G17)</f>
        <v>0</v>
      </c>
      <c r="I17" s="191">
        <f>C17+H17</f>
        <v>0</v>
      </c>
      <c r="J17" s="1768"/>
    </row>
    <row r="18" spans="1:10" ht="15.9" customHeight="1" thickBot="1" x14ac:dyDescent="0.3">
      <c r="A18" s="1796" t="s">
        <v>560</v>
      </c>
      <c r="B18" s="1797"/>
      <c r="C18" s="37">
        <f t="shared" ref="C18:I18" si="3">SUM(C16:C17)</f>
        <v>0</v>
      </c>
      <c r="D18" s="37">
        <f t="shared" si="3"/>
        <v>0</v>
      </c>
      <c r="E18" s="37">
        <f t="shared" si="3"/>
        <v>0</v>
      </c>
      <c r="F18" s="37">
        <f t="shared" si="3"/>
        <v>0</v>
      </c>
      <c r="G18" s="190">
        <f t="shared" si="3"/>
        <v>0</v>
      </c>
      <c r="H18" s="190">
        <f t="shared" si="3"/>
        <v>0</v>
      </c>
      <c r="I18" s="38">
        <f t="shared" si="3"/>
        <v>0</v>
      </c>
      <c r="J18" s="1768"/>
    </row>
    <row r="19" spans="1:10" ht="18" customHeight="1" thickBot="1" x14ac:dyDescent="0.3">
      <c r="A19" s="1778" t="s">
        <v>561</v>
      </c>
      <c r="B19" s="1779"/>
      <c r="C19" s="192">
        <f t="shared" ref="C19:I19" si="4">C14+C18</f>
        <v>0</v>
      </c>
      <c r="D19" s="192">
        <f t="shared" si="4"/>
        <v>0</v>
      </c>
      <c r="E19" s="192">
        <f t="shared" si="4"/>
        <v>0</v>
      </c>
      <c r="F19" s="192">
        <f t="shared" si="4"/>
        <v>0</v>
      </c>
      <c r="G19" s="192">
        <f t="shared" si="4"/>
        <v>0</v>
      </c>
      <c r="H19" s="192">
        <f t="shared" si="4"/>
        <v>0</v>
      </c>
      <c r="I19" s="38">
        <f t="shared" si="4"/>
        <v>0</v>
      </c>
      <c r="J19" s="1768"/>
    </row>
  </sheetData>
  <sheetProtection sheet="1" objects="1" scenarios="1"/>
  <mergeCells count="13">
    <mergeCell ref="J1:J19"/>
    <mergeCell ref="A19:B19"/>
    <mergeCell ref="A1:I1"/>
    <mergeCell ref="H2:I2"/>
    <mergeCell ref="A3:A4"/>
    <mergeCell ref="B3:B4"/>
    <mergeCell ref="C3:C4"/>
    <mergeCell ref="D3:H3"/>
    <mergeCell ref="I3:I4"/>
    <mergeCell ref="A6:I6"/>
    <mergeCell ref="A14:B14"/>
    <mergeCell ref="A15:I15"/>
    <mergeCell ref="A18:B18"/>
  </mergeCells>
  <printOptions horizontalCentered="1"/>
  <pageMargins left="0.78740157480314965" right="0.78740157480314965" top="1.18" bottom="0.98425196850393704" header="0.78740157480314965" footer="0.78740157480314965"/>
  <pageSetup paperSize="9" scale="95" orientation="landscape" horizontalDpi="300" verticalDpi="300" r:id="rId1"/>
  <headerFooter alignWithMargins="0">
    <oddHeader xml:space="preserve">&amp;C&amp;"Times New Roman CE,Félkövér dőlt"&amp;12
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rgb="FF92D050"/>
  </sheetPr>
  <dimension ref="A1:D30"/>
  <sheetViews>
    <sheetView zoomScaleNormal="100" workbookViewId="0">
      <selection activeCell="J23" sqref="J23"/>
    </sheetView>
  </sheetViews>
  <sheetFormatPr defaultColWidth="9.33203125" defaultRowHeight="13.2" x14ac:dyDescent="0.25"/>
  <cols>
    <col min="1" max="1" width="5.77734375" style="212" customWidth="1"/>
    <col min="2" max="2" width="55.77734375" style="1" customWidth="1"/>
    <col min="3" max="4" width="14.77734375" style="1" customWidth="1"/>
    <col min="5" max="16384" width="9.33203125" style="1"/>
  </cols>
  <sheetData>
    <row r="1" spans="1:4" s="19" customFormat="1" ht="14.4" thickBot="1" x14ac:dyDescent="0.3">
      <c r="A1" s="154"/>
      <c r="D1" s="155" t="s">
        <v>290</v>
      </c>
    </row>
    <row r="2" spans="1:4" s="20" customFormat="1" ht="48" customHeight="1" thickBot="1" x14ac:dyDescent="0.3">
      <c r="A2" s="193" t="s">
        <v>487</v>
      </c>
      <c r="B2" s="177" t="s">
        <v>42</v>
      </c>
      <c r="C2" s="177" t="s">
        <v>562</v>
      </c>
      <c r="D2" s="194" t="s">
        <v>563</v>
      </c>
    </row>
    <row r="3" spans="1:4" s="20" customFormat="1" ht="14.1" customHeight="1" thickBot="1" x14ac:dyDescent="0.3">
      <c r="A3" s="195" t="s">
        <v>46</v>
      </c>
      <c r="B3" s="196" t="s">
        <v>47</v>
      </c>
      <c r="C3" s="196" t="s">
        <v>48</v>
      </c>
      <c r="D3" s="197" t="s">
        <v>49</v>
      </c>
    </row>
    <row r="4" spans="1:4" ht="18" customHeight="1" x14ac:dyDescent="0.25">
      <c r="A4" s="198" t="s">
        <v>51</v>
      </c>
      <c r="B4" s="199" t="s">
        <v>564</v>
      </c>
      <c r="C4" s="200"/>
      <c r="D4" s="201"/>
    </row>
    <row r="5" spans="1:4" ht="18" customHeight="1" x14ac:dyDescent="0.25">
      <c r="A5" s="202" t="s">
        <v>65</v>
      </c>
      <c r="B5" s="203" t="s">
        <v>565</v>
      </c>
      <c r="C5" s="204"/>
      <c r="D5" s="205"/>
    </row>
    <row r="6" spans="1:4" ht="18" customHeight="1" x14ac:dyDescent="0.25">
      <c r="A6" s="202" t="s">
        <v>79</v>
      </c>
      <c r="B6" s="203" t="s">
        <v>566</v>
      </c>
      <c r="C6" s="204"/>
      <c r="D6" s="205"/>
    </row>
    <row r="7" spans="1:4" ht="18" customHeight="1" x14ac:dyDescent="0.25">
      <c r="A7" s="202" t="s">
        <v>262</v>
      </c>
      <c r="B7" s="203" t="s">
        <v>567</v>
      </c>
      <c r="C7" s="204"/>
      <c r="D7" s="205"/>
    </row>
    <row r="8" spans="1:4" ht="18" customHeight="1" x14ac:dyDescent="0.25">
      <c r="A8" s="206" t="s">
        <v>107</v>
      </c>
      <c r="B8" s="203" t="s">
        <v>568</v>
      </c>
      <c r="C8" s="204"/>
      <c r="D8" s="205"/>
    </row>
    <row r="9" spans="1:4" ht="18" customHeight="1" x14ac:dyDescent="0.25">
      <c r="A9" s="202" t="s">
        <v>129</v>
      </c>
      <c r="B9" s="203" t="s">
        <v>569</v>
      </c>
      <c r="C9" s="204"/>
      <c r="D9" s="205"/>
    </row>
    <row r="10" spans="1:4" ht="18" customHeight="1" x14ac:dyDescent="0.25">
      <c r="A10" s="206" t="s">
        <v>273</v>
      </c>
      <c r="B10" s="207" t="s">
        <v>570</v>
      </c>
      <c r="C10" s="204"/>
      <c r="D10" s="205"/>
    </row>
    <row r="11" spans="1:4" ht="18" customHeight="1" x14ac:dyDescent="0.25">
      <c r="A11" s="206" t="s">
        <v>151</v>
      </c>
      <c r="B11" s="207" t="s">
        <v>571</v>
      </c>
      <c r="C11" s="204"/>
      <c r="D11" s="205"/>
    </row>
    <row r="12" spans="1:4" ht="18" customHeight="1" x14ac:dyDescent="0.25">
      <c r="A12" s="202" t="s">
        <v>161</v>
      </c>
      <c r="B12" s="207" t="s">
        <v>572</v>
      </c>
      <c r="C12" s="204"/>
      <c r="D12" s="205"/>
    </row>
    <row r="13" spans="1:4" ht="18" customHeight="1" x14ac:dyDescent="0.25">
      <c r="A13" s="206" t="s">
        <v>285</v>
      </c>
      <c r="B13" s="207" t="s">
        <v>573</v>
      </c>
      <c r="C13" s="204"/>
      <c r="D13" s="205"/>
    </row>
    <row r="14" spans="1:4" x14ac:dyDescent="0.25">
      <c r="A14" s="202" t="s">
        <v>307</v>
      </c>
      <c r="B14" s="207" t="s">
        <v>574</v>
      </c>
      <c r="C14" s="204"/>
      <c r="D14" s="205"/>
    </row>
    <row r="15" spans="1:4" ht="18" customHeight="1" x14ac:dyDescent="0.25">
      <c r="A15" s="206" t="s">
        <v>308</v>
      </c>
      <c r="B15" s="203" t="s">
        <v>575</v>
      </c>
      <c r="C15" s="204"/>
      <c r="D15" s="205"/>
    </row>
    <row r="16" spans="1:4" ht="18" customHeight="1" x14ac:dyDescent="0.25">
      <c r="A16" s="202" t="s">
        <v>309</v>
      </c>
      <c r="B16" s="203" t="s">
        <v>576</v>
      </c>
      <c r="C16" s="204"/>
      <c r="D16" s="205"/>
    </row>
    <row r="17" spans="1:4" ht="18" customHeight="1" x14ac:dyDescent="0.25">
      <c r="A17" s="206" t="s">
        <v>312</v>
      </c>
      <c r="B17" s="203" t="s">
        <v>577</v>
      </c>
      <c r="C17" s="204"/>
      <c r="D17" s="205"/>
    </row>
    <row r="18" spans="1:4" ht="18" customHeight="1" x14ac:dyDescent="0.25">
      <c r="A18" s="202" t="s">
        <v>315</v>
      </c>
      <c r="B18" s="203" t="s">
        <v>578</v>
      </c>
      <c r="C18" s="204"/>
      <c r="D18" s="205"/>
    </row>
    <row r="19" spans="1:4" ht="18" customHeight="1" x14ac:dyDescent="0.25">
      <c r="A19" s="206" t="s">
        <v>318</v>
      </c>
      <c r="B19" s="203" t="s">
        <v>579</v>
      </c>
      <c r="C19" s="204"/>
      <c r="D19" s="205"/>
    </row>
    <row r="20" spans="1:4" ht="18" customHeight="1" x14ac:dyDescent="0.25">
      <c r="A20" s="202" t="s">
        <v>321</v>
      </c>
      <c r="B20" s="181"/>
      <c r="C20" s="204"/>
      <c r="D20" s="205"/>
    </row>
    <row r="21" spans="1:4" ht="18" customHeight="1" x14ac:dyDescent="0.25">
      <c r="A21" s="206" t="s">
        <v>324</v>
      </c>
      <c r="B21" s="181"/>
      <c r="C21" s="204"/>
      <c r="D21" s="205"/>
    </row>
    <row r="22" spans="1:4" ht="18" customHeight="1" x14ac:dyDescent="0.25">
      <c r="A22" s="202" t="s">
        <v>327</v>
      </c>
      <c r="B22" s="181"/>
      <c r="C22" s="204"/>
      <c r="D22" s="205"/>
    </row>
    <row r="23" spans="1:4" ht="18" customHeight="1" x14ac:dyDescent="0.25">
      <c r="A23" s="206" t="s">
        <v>330</v>
      </c>
      <c r="B23" s="181"/>
      <c r="C23" s="204"/>
      <c r="D23" s="205"/>
    </row>
    <row r="24" spans="1:4" ht="18" customHeight="1" x14ac:dyDescent="0.25">
      <c r="A24" s="202" t="s">
        <v>333</v>
      </c>
      <c r="B24" s="181"/>
      <c r="C24" s="204"/>
      <c r="D24" s="205"/>
    </row>
    <row r="25" spans="1:4" ht="18" customHeight="1" x14ac:dyDescent="0.25">
      <c r="A25" s="206" t="s">
        <v>336</v>
      </c>
      <c r="B25" s="181"/>
      <c r="C25" s="204"/>
      <c r="D25" s="205"/>
    </row>
    <row r="26" spans="1:4" ht="18" customHeight="1" x14ac:dyDescent="0.25">
      <c r="A26" s="202" t="s">
        <v>339</v>
      </c>
      <c r="B26" s="181"/>
      <c r="C26" s="204"/>
      <c r="D26" s="205"/>
    </row>
    <row r="27" spans="1:4" ht="18" customHeight="1" x14ac:dyDescent="0.25">
      <c r="A27" s="206" t="s">
        <v>342</v>
      </c>
      <c r="B27" s="181"/>
      <c r="C27" s="204"/>
      <c r="D27" s="205"/>
    </row>
    <row r="28" spans="1:4" ht="18" customHeight="1" thickBot="1" x14ac:dyDescent="0.3">
      <c r="A28" s="208" t="s">
        <v>345</v>
      </c>
      <c r="B28" s="187"/>
      <c r="C28" s="209"/>
      <c r="D28" s="210"/>
    </row>
    <row r="29" spans="1:4" ht="18" customHeight="1" thickBot="1" x14ac:dyDescent="0.3">
      <c r="A29" s="301" t="s">
        <v>375</v>
      </c>
      <c r="B29" s="302" t="s">
        <v>420</v>
      </c>
      <c r="C29" s="303">
        <f>+C4+C5+C6+C7+C8+C15+C16+C17+C18+C19+C20+C21+C22+C23+C24+C25+C26+C27+C28</f>
        <v>0</v>
      </c>
      <c r="D29" s="304">
        <f>+D4+D5+D6+D7+D8+D15+D16+D17+D18+D19+D20+D21+D22+D23+D24+D25+D26+D27+D28</f>
        <v>0</v>
      </c>
    </row>
    <row r="30" spans="1:4" ht="25.5" customHeight="1" x14ac:dyDescent="0.25">
      <c r="A30" s="211"/>
      <c r="B30" s="1801" t="s">
        <v>580</v>
      </c>
      <c r="C30" s="1801"/>
      <c r="D30" s="1801"/>
    </row>
  </sheetData>
  <sheetProtection sheet="1" objects="1" scenarios="1"/>
  <mergeCells count="1">
    <mergeCell ref="B30:D30"/>
  </mergeCells>
  <printOptions horizontalCentered="1"/>
  <pageMargins left="0.78740157480314965" right="0.78740157480314965" top="1.7716535433070868" bottom="0.98425196850393704" header="0.78740157480314965" footer="0.78740157480314965"/>
  <pageSetup paperSize="9" scale="95" orientation="portrait" horizontalDpi="300" verticalDpi="300" r:id="rId1"/>
  <headerFooter alignWithMargins="0">
    <oddHeader>&amp;C&amp;"Times New Roman CE,Félkövér"&amp;14
&amp;12
Az önkormányzat által adott közvetett támogatások
(kedvezmények)
&amp;R&amp;"Times New Roman CE,Félkövér dőlt"&amp;11 5. tájékoztató tábla a ......../2015. (........) önkormányzati rendelethez</oddHead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rgb="FF92D050"/>
  </sheetPr>
  <dimension ref="A1:E36"/>
  <sheetViews>
    <sheetView zoomScaleNormal="100" workbookViewId="0">
      <selection activeCell="B3" sqref="B3"/>
    </sheetView>
  </sheetViews>
  <sheetFormatPr defaultColWidth="9.33203125" defaultRowHeight="13.2" x14ac:dyDescent="0.25"/>
  <cols>
    <col min="1" max="1" width="6.6640625" style="8" customWidth="1"/>
    <col min="2" max="2" width="32.77734375" style="8" customWidth="1"/>
    <col min="3" max="3" width="20.77734375" style="8" customWidth="1"/>
    <col min="4" max="5" width="12.77734375" style="8" customWidth="1"/>
    <col min="6" max="16384" width="9.33203125" style="8"/>
  </cols>
  <sheetData>
    <row r="1" spans="1:5" ht="14.4" thickBot="1" x14ac:dyDescent="0.35">
      <c r="C1" s="213"/>
      <c r="D1" s="213"/>
      <c r="E1" s="213" t="s">
        <v>537</v>
      </c>
    </row>
    <row r="2" spans="1:5" ht="42.75" customHeight="1" thickBot="1" x14ac:dyDescent="0.3">
      <c r="A2" s="214" t="s">
        <v>41</v>
      </c>
      <c r="B2" s="215" t="s">
        <v>581</v>
      </c>
      <c r="C2" s="215" t="s">
        <v>582</v>
      </c>
      <c r="D2" s="216" t="s">
        <v>583</v>
      </c>
      <c r="E2" s="217" t="s">
        <v>584</v>
      </c>
    </row>
    <row r="3" spans="1:5" ht="15.9" customHeight="1" x14ac:dyDescent="0.25">
      <c r="A3" s="218" t="s">
        <v>51</v>
      </c>
      <c r="B3" s="219"/>
      <c r="C3" s="219"/>
      <c r="D3" s="220"/>
      <c r="E3" s="221"/>
    </row>
    <row r="4" spans="1:5" ht="15.9" customHeight="1" x14ac:dyDescent="0.25">
      <c r="A4" s="222" t="s">
        <v>65</v>
      </c>
      <c r="B4" s="223"/>
      <c r="C4" s="223"/>
      <c r="D4" s="224"/>
      <c r="E4" s="225"/>
    </row>
    <row r="5" spans="1:5" ht="15.9" customHeight="1" x14ac:dyDescent="0.25">
      <c r="A5" s="222" t="s">
        <v>79</v>
      </c>
      <c r="B5" s="223"/>
      <c r="C5" s="223"/>
      <c r="D5" s="224"/>
      <c r="E5" s="225"/>
    </row>
    <row r="6" spans="1:5" ht="15.9" customHeight="1" x14ac:dyDescent="0.25">
      <c r="A6" s="222" t="s">
        <v>262</v>
      </c>
      <c r="B6" s="223"/>
      <c r="C6" s="223"/>
      <c r="D6" s="224"/>
      <c r="E6" s="225"/>
    </row>
    <row r="7" spans="1:5" ht="15.9" customHeight="1" x14ac:dyDescent="0.25">
      <c r="A7" s="222" t="s">
        <v>107</v>
      </c>
      <c r="B7" s="223"/>
      <c r="C7" s="223"/>
      <c r="D7" s="224"/>
      <c r="E7" s="225"/>
    </row>
    <row r="8" spans="1:5" ht="15.9" customHeight="1" x14ac:dyDescent="0.25">
      <c r="A8" s="222" t="s">
        <v>129</v>
      </c>
      <c r="B8" s="223"/>
      <c r="C8" s="223"/>
      <c r="D8" s="224"/>
      <c r="E8" s="225"/>
    </row>
    <row r="9" spans="1:5" ht="15.9" customHeight="1" x14ac:dyDescent="0.25">
      <c r="A9" s="222" t="s">
        <v>273</v>
      </c>
      <c r="B9" s="223"/>
      <c r="C9" s="223"/>
      <c r="D9" s="224"/>
      <c r="E9" s="225"/>
    </row>
    <row r="10" spans="1:5" ht="15.9" customHeight="1" x14ac:dyDescent="0.25">
      <c r="A10" s="222" t="s">
        <v>151</v>
      </c>
      <c r="B10" s="223"/>
      <c r="C10" s="223"/>
      <c r="D10" s="224"/>
      <c r="E10" s="225"/>
    </row>
    <row r="11" spans="1:5" ht="15.9" customHeight="1" x14ac:dyDescent="0.25">
      <c r="A11" s="222" t="s">
        <v>161</v>
      </c>
      <c r="B11" s="223"/>
      <c r="C11" s="223"/>
      <c r="D11" s="224"/>
      <c r="E11" s="225"/>
    </row>
    <row r="12" spans="1:5" ht="15.9" customHeight="1" x14ac:dyDescent="0.25">
      <c r="A12" s="222" t="s">
        <v>285</v>
      </c>
      <c r="B12" s="223"/>
      <c r="C12" s="223"/>
      <c r="D12" s="224"/>
      <c r="E12" s="225"/>
    </row>
    <row r="13" spans="1:5" ht="15.9" customHeight="1" x14ac:dyDescent="0.25">
      <c r="A13" s="222" t="s">
        <v>307</v>
      </c>
      <c r="B13" s="223"/>
      <c r="C13" s="223"/>
      <c r="D13" s="224"/>
      <c r="E13" s="225"/>
    </row>
    <row r="14" spans="1:5" ht="15.9" customHeight="1" x14ac:dyDescent="0.25">
      <c r="A14" s="222" t="s">
        <v>308</v>
      </c>
      <c r="B14" s="223"/>
      <c r="C14" s="223"/>
      <c r="D14" s="224"/>
      <c r="E14" s="225"/>
    </row>
    <row r="15" spans="1:5" ht="15.9" customHeight="1" x14ac:dyDescent="0.25">
      <c r="A15" s="222" t="s">
        <v>309</v>
      </c>
      <c r="B15" s="223"/>
      <c r="C15" s="223"/>
      <c r="D15" s="224"/>
      <c r="E15" s="225"/>
    </row>
    <row r="16" spans="1:5" ht="15.9" customHeight="1" x14ac:dyDescent="0.25">
      <c r="A16" s="222" t="s">
        <v>312</v>
      </c>
      <c r="B16" s="223"/>
      <c r="C16" s="223"/>
      <c r="D16" s="224"/>
      <c r="E16" s="225"/>
    </row>
    <row r="17" spans="1:5" ht="15.9" customHeight="1" x14ac:dyDescent="0.25">
      <c r="A17" s="222" t="s">
        <v>315</v>
      </c>
      <c r="B17" s="223"/>
      <c r="C17" s="223"/>
      <c r="D17" s="224"/>
      <c r="E17" s="225"/>
    </row>
    <row r="18" spans="1:5" ht="15.9" customHeight="1" x14ac:dyDescent="0.25">
      <c r="A18" s="222" t="s">
        <v>318</v>
      </c>
      <c r="B18" s="223"/>
      <c r="C18" s="223"/>
      <c r="D18" s="224"/>
      <c r="E18" s="225"/>
    </row>
    <row r="19" spans="1:5" ht="15.9" customHeight="1" x14ac:dyDescent="0.25">
      <c r="A19" s="222" t="s">
        <v>321</v>
      </c>
      <c r="B19" s="223"/>
      <c r="C19" s="223"/>
      <c r="D19" s="224"/>
      <c r="E19" s="225"/>
    </row>
    <row r="20" spans="1:5" ht="15.9" customHeight="1" x14ac:dyDescent="0.25">
      <c r="A20" s="222" t="s">
        <v>324</v>
      </c>
      <c r="B20" s="223"/>
      <c r="C20" s="223"/>
      <c r="D20" s="224"/>
      <c r="E20" s="225"/>
    </row>
    <row r="21" spans="1:5" ht="15.9" customHeight="1" x14ac:dyDescent="0.25">
      <c r="A21" s="222" t="s">
        <v>327</v>
      </c>
      <c r="B21" s="223"/>
      <c r="C21" s="223"/>
      <c r="D21" s="224"/>
      <c r="E21" s="225"/>
    </row>
    <row r="22" spans="1:5" ht="15.9" customHeight="1" x14ac:dyDescent="0.25">
      <c r="A22" s="222" t="s">
        <v>330</v>
      </c>
      <c r="B22" s="223"/>
      <c r="C22" s="223"/>
      <c r="D22" s="224"/>
      <c r="E22" s="225"/>
    </row>
    <row r="23" spans="1:5" ht="15.9" customHeight="1" x14ac:dyDescent="0.25">
      <c r="A23" s="222" t="s">
        <v>333</v>
      </c>
      <c r="B23" s="223"/>
      <c r="C23" s="223"/>
      <c r="D23" s="224"/>
      <c r="E23" s="225"/>
    </row>
    <row r="24" spans="1:5" ht="15.9" customHeight="1" x14ac:dyDescent="0.25">
      <c r="A24" s="222" t="s">
        <v>336</v>
      </c>
      <c r="B24" s="223"/>
      <c r="C24" s="223"/>
      <c r="D24" s="224"/>
      <c r="E24" s="225"/>
    </row>
    <row r="25" spans="1:5" ht="15.9" customHeight="1" x14ac:dyDescent="0.25">
      <c r="A25" s="222" t="s">
        <v>339</v>
      </c>
      <c r="B25" s="223"/>
      <c r="C25" s="223"/>
      <c r="D25" s="224"/>
      <c r="E25" s="225"/>
    </row>
    <row r="26" spans="1:5" ht="15.9" customHeight="1" x14ac:dyDescent="0.25">
      <c r="A26" s="222" t="s">
        <v>342</v>
      </c>
      <c r="B26" s="223"/>
      <c r="C26" s="223"/>
      <c r="D26" s="224"/>
      <c r="E26" s="225"/>
    </row>
    <row r="27" spans="1:5" ht="15.9" customHeight="1" x14ac:dyDescent="0.25">
      <c r="A27" s="222" t="s">
        <v>345</v>
      </c>
      <c r="B27" s="223"/>
      <c r="C27" s="223"/>
      <c r="D27" s="224"/>
      <c r="E27" s="225"/>
    </row>
    <row r="28" spans="1:5" ht="15.9" customHeight="1" x14ac:dyDescent="0.25">
      <c r="A28" s="222" t="s">
        <v>375</v>
      </c>
      <c r="B28" s="223"/>
      <c r="C28" s="223"/>
      <c r="D28" s="224"/>
      <c r="E28" s="225"/>
    </row>
    <row r="29" spans="1:5" ht="15.9" customHeight="1" x14ac:dyDescent="0.25">
      <c r="A29" s="222" t="s">
        <v>378</v>
      </c>
      <c r="B29" s="223"/>
      <c r="C29" s="223"/>
      <c r="D29" s="224"/>
      <c r="E29" s="225"/>
    </row>
    <row r="30" spans="1:5" ht="15.9" customHeight="1" x14ac:dyDescent="0.25">
      <c r="A30" s="222" t="s">
        <v>379</v>
      </c>
      <c r="B30" s="223"/>
      <c r="C30" s="223"/>
      <c r="D30" s="224"/>
      <c r="E30" s="225"/>
    </row>
    <row r="31" spans="1:5" ht="15.9" customHeight="1" x14ac:dyDescent="0.25">
      <c r="A31" s="222" t="s">
        <v>498</v>
      </c>
      <c r="B31" s="223"/>
      <c r="C31" s="223"/>
      <c r="D31" s="224"/>
      <c r="E31" s="225"/>
    </row>
    <row r="32" spans="1:5" ht="15.9" customHeight="1" x14ac:dyDescent="0.25">
      <c r="A32" s="222" t="s">
        <v>499</v>
      </c>
      <c r="B32" s="223"/>
      <c r="C32" s="223"/>
      <c r="D32" s="224"/>
      <c r="E32" s="225"/>
    </row>
    <row r="33" spans="1:5" ht="15.9" customHeight="1" x14ac:dyDescent="0.25">
      <c r="A33" s="222" t="s">
        <v>500</v>
      </c>
      <c r="B33" s="223"/>
      <c r="C33" s="223"/>
      <c r="D33" s="224"/>
      <c r="E33" s="225"/>
    </row>
    <row r="34" spans="1:5" ht="15.9" customHeight="1" x14ac:dyDescent="0.25">
      <c r="A34" s="222" t="s">
        <v>585</v>
      </c>
      <c r="B34" s="223"/>
      <c r="C34" s="223"/>
      <c r="D34" s="224"/>
      <c r="E34" s="225"/>
    </row>
    <row r="35" spans="1:5" ht="15.9" customHeight="1" thickBot="1" x14ac:dyDescent="0.3">
      <c r="A35" s="226" t="s">
        <v>586</v>
      </c>
      <c r="B35" s="227"/>
      <c r="C35" s="227"/>
      <c r="D35" s="228"/>
      <c r="E35" s="229"/>
    </row>
    <row r="36" spans="1:5" ht="15.9" customHeight="1" thickBot="1" x14ac:dyDescent="0.3">
      <c r="A36" s="1802" t="s">
        <v>420</v>
      </c>
      <c r="B36" s="1803"/>
      <c r="C36" s="230"/>
      <c r="D36" s="231">
        <f>SUM(D3:D35)</f>
        <v>0</v>
      </c>
      <c r="E36" s="232">
        <f>SUM(E3:E35)</f>
        <v>0</v>
      </c>
    </row>
  </sheetData>
  <sheetProtection sheet="1" objects="1" scenarios="1"/>
  <mergeCells count="1">
    <mergeCell ref="A36:B36"/>
  </mergeCells>
  <printOptions horizontalCentered="1"/>
  <pageMargins left="0.78740157480314965" right="0.78740157480314965" top="1.5748031496062993" bottom="0.98425196850393704" header="0.78740157480314965" footer="0.78740157480314965"/>
  <pageSetup paperSize="9" scale="95" fitToWidth="2" orientation="portrait" r:id="rId1"/>
  <headerFooter alignWithMargins="0">
    <oddHeader>&amp;C&amp;"Times New Roman CE,Félkövér"&amp;12
K I M U T A T Á S
a 2014. évi céljelleggel juttatott támogatások felhasználásáról&amp;R&amp;"Times New Roman CE,Félkövér dőlt"&amp;11 6. tájékoztató tábla a ......../2015. (........) önkormányzati rendelethez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rgb="FF92D050"/>
  </sheetPr>
  <dimension ref="A1:J30"/>
  <sheetViews>
    <sheetView showGridLines="0" zoomScaleNormal="100" zoomScaleSheetLayoutView="100" workbookViewId="0">
      <selection activeCell="H24" sqref="H24"/>
    </sheetView>
  </sheetViews>
  <sheetFormatPr defaultColWidth="9.33203125" defaultRowHeight="13.2" x14ac:dyDescent="0.25"/>
  <cols>
    <col min="1" max="1" width="6.77734375" style="10" customWidth="1"/>
    <col min="2" max="2" width="55.109375" style="26" customWidth="1"/>
    <col min="3" max="5" width="16.33203125" style="10" customWidth="1"/>
    <col min="6" max="6" width="55.109375" style="10" customWidth="1"/>
    <col min="7" max="9" width="16.33203125" style="10" customWidth="1"/>
    <col min="10" max="10" width="4.77734375" style="10" customWidth="1"/>
    <col min="11" max="16384" width="9.33203125" style="10"/>
  </cols>
  <sheetData>
    <row r="1" spans="1:10" ht="51.75" customHeight="1" x14ac:dyDescent="0.25">
      <c r="A1" s="1807" t="s">
        <v>1762</v>
      </c>
      <c r="B1" s="1808"/>
      <c r="C1" s="1808"/>
      <c r="D1" s="1808"/>
      <c r="E1" s="1808"/>
      <c r="F1" s="1808"/>
      <c r="G1" s="1808"/>
      <c r="H1" s="1808"/>
      <c r="I1" s="1808"/>
      <c r="J1" s="1806"/>
    </row>
    <row r="2" spans="1:10" ht="14.4" thickBot="1" x14ac:dyDescent="0.3">
      <c r="G2" s="39"/>
      <c r="H2" s="39"/>
      <c r="I2" s="39" t="s">
        <v>1690</v>
      </c>
      <c r="J2" s="1806"/>
    </row>
    <row r="3" spans="1:10" ht="18" customHeight="1" thickBot="1" x14ac:dyDescent="0.3">
      <c r="A3" s="1804" t="s">
        <v>41</v>
      </c>
      <c r="B3" s="462" t="s">
        <v>291</v>
      </c>
      <c r="C3" s="463"/>
      <c r="D3" s="463"/>
      <c r="E3" s="463"/>
      <c r="F3" s="462" t="s">
        <v>292</v>
      </c>
      <c r="G3" s="464"/>
      <c r="H3" s="464"/>
      <c r="I3" s="464"/>
      <c r="J3" s="1806"/>
    </row>
    <row r="4" spans="1:10" s="439" customFormat="1" ht="35.25" customHeight="1" thickBot="1" x14ac:dyDescent="0.3">
      <c r="A4" s="1805"/>
      <c r="B4" s="27" t="s">
        <v>293</v>
      </c>
      <c r="C4" s="707" t="s">
        <v>1722</v>
      </c>
      <c r="D4" s="688" t="s">
        <v>1723</v>
      </c>
      <c r="E4" s="688" t="s">
        <v>1724</v>
      </c>
      <c r="F4" s="27" t="s">
        <v>293</v>
      </c>
      <c r="G4" s="707" t="s">
        <v>1722</v>
      </c>
      <c r="H4" s="688" t="s">
        <v>1723</v>
      </c>
      <c r="I4" s="688" t="s">
        <v>1724</v>
      </c>
      <c r="J4" s="1806"/>
    </row>
    <row r="5" spans="1:10" s="440" customFormat="1" ht="12" customHeight="1" thickBot="1" x14ac:dyDescent="0.3">
      <c r="A5" s="465" t="s">
        <v>46</v>
      </c>
      <c r="B5" s="466" t="s">
        <v>47</v>
      </c>
      <c r="C5" s="467" t="s">
        <v>48</v>
      </c>
      <c r="D5" s="467" t="s">
        <v>49</v>
      </c>
      <c r="E5" s="467" t="s">
        <v>50</v>
      </c>
      <c r="F5" s="466" t="s">
        <v>294</v>
      </c>
      <c r="G5" s="467" t="s">
        <v>295</v>
      </c>
      <c r="H5" s="467" t="s">
        <v>296</v>
      </c>
      <c r="I5" s="468" t="s">
        <v>297</v>
      </c>
      <c r="J5" s="1806"/>
    </row>
    <row r="6" spans="1:10" ht="15" customHeight="1" x14ac:dyDescent="0.25">
      <c r="A6" s="441" t="s">
        <v>51</v>
      </c>
      <c r="B6" s="442" t="s">
        <v>298</v>
      </c>
      <c r="C6" s="430">
        <f>'1_2_Mindösszesen'!C6</f>
        <v>514472405</v>
      </c>
      <c r="D6" s="430">
        <f>'1_2_Mindösszesen'!E6</f>
        <v>531398359</v>
      </c>
      <c r="E6" s="430" t="e">
        <f>'1_2_Mindösszesen'!#REF!</f>
        <v>#REF!</v>
      </c>
      <c r="F6" s="442" t="s">
        <v>299</v>
      </c>
      <c r="G6" s="430">
        <f>'1_2_Mindösszesen'!C93</f>
        <v>665042249</v>
      </c>
      <c r="H6" s="430">
        <f>'1_2_Mindösszesen'!E93</f>
        <v>678854249</v>
      </c>
      <c r="I6" s="436" t="e">
        <f>'1_2_Mindösszesen'!#REF!</f>
        <v>#REF!</v>
      </c>
      <c r="J6" s="1806"/>
    </row>
    <row r="7" spans="1:10" ht="15" customHeight="1" x14ac:dyDescent="0.25">
      <c r="A7" s="443" t="s">
        <v>65</v>
      </c>
      <c r="B7" s="444" t="s">
        <v>300</v>
      </c>
      <c r="C7" s="431">
        <f>'1_2_Mindösszesen'!C13</f>
        <v>31215700</v>
      </c>
      <c r="D7" s="431">
        <f>'1_2_Mindösszesen'!E13</f>
        <v>33140480</v>
      </c>
      <c r="E7" s="431" t="e">
        <f>'1_2_Mindösszesen'!#REF!</f>
        <v>#REF!</v>
      </c>
      <c r="F7" s="444" t="s">
        <v>216</v>
      </c>
      <c r="G7" s="431">
        <f>'1_2_Mindösszesen'!C94</f>
        <v>139198302</v>
      </c>
      <c r="H7" s="431">
        <f>'1_2_Mindösszesen'!E94</f>
        <v>140044848</v>
      </c>
      <c r="I7" s="437" t="e">
        <f>'1_2_Mindösszesen'!#REF!</f>
        <v>#REF!</v>
      </c>
      <c r="J7" s="1806"/>
    </row>
    <row r="8" spans="1:10" ht="15" customHeight="1" x14ac:dyDescent="0.25">
      <c r="A8" s="443" t="s">
        <v>79</v>
      </c>
      <c r="B8" s="444" t="s">
        <v>301</v>
      </c>
      <c r="C8" s="431"/>
      <c r="D8" s="431"/>
      <c r="E8" s="431"/>
      <c r="F8" s="444" t="s">
        <v>302</v>
      </c>
      <c r="G8" s="431">
        <f>'1_2_Mindösszesen'!C95</f>
        <v>525131401</v>
      </c>
      <c r="H8" s="431">
        <f>'1_2_Mindösszesen'!E95</f>
        <v>566628157</v>
      </c>
      <c r="I8" s="437" t="e">
        <f>'1_2_Mindösszesen'!#REF!</f>
        <v>#REF!</v>
      </c>
      <c r="J8" s="1806"/>
    </row>
    <row r="9" spans="1:10" ht="15" customHeight="1" x14ac:dyDescent="0.25">
      <c r="A9" s="443" t="s">
        <v>262</v>
      </c>
      <c r="B9" s="444" t="s">
        <v>303</v>
      </c>
      <c r="C9" s="431">
        <f>'1_2_Mindösszesen'!C27</f>
        <v>684000000</v>
      </c>
      <c r="D9" s="431">
        <f>'1_2_Mindösszesen'!E27</f>
        <v>725000000</v>
      </c>
      <c r="E9" s="431" t="e">
        <f>'1_2_Mindösszesen'!#REF!</f>
        <v>#REF!</v>
      </c>
      <c r="F9" s="444" t="s">
        <v>218</v>
      </c>
      <c r="G9" s="431">
        <f>'1_2_Mindösszesen'!C96</f>
        <v>10000000</v>
      </c>
      <c r="H9" s="431">
        <f>'1_2_Mindösszesen'!E96</f>
        <v>10217705</v>
      </c>
      <c r="I9" s="437" t="e">
        <f>'1_2_Mindösszesen'!#REF!</f>
        <v>#REF!</v>
      </c>
      <c r="J9" s="1806"/>
    </row>
    <row r="10" spans="1:10" ht="15" customHeight="1" x14ac:dyDescent="0.25">
      <c r="A10" s="443" t="s">
        <v>107</v>
      </c>
      <c r="B10" s="445" t="s">
        <v>304</v>
      </c>
      <c r="C10" s="431">
        <f>'1_2_Mindösszesen'!C51</f>
        <v>30350000</v>
      </c>
      <c r="D10" s="431">
        <f>'1_2_Mindösszesen'!E51</f>
        <v>63100000</v>
      </c>
      <c r="E10" s="431" t="e">
        <f>'1_2_Mindösszesen'!#REF!</f>
        <v>#REF!</v>
      </c>
      <c r="F10" s="444" t="s">
        <v>220</v>
      </c>
      <c r="G10" s="431">
        <f>'1_2_Mindösszesen'!C97</f>
        <v>21396000</v>
      </c>
      <c r="H10" s="431">
        <f>'1_2_Mindösszesen'!E97</f>
        <v>88232641</v>
      </c>
      <c r="I10" s="437" t="e">
        <f>'1_2_Mindösszesen'!#REF!</f>
        <v>#REF!</v>
      </c>
      <c r="J10" s="1806"/>
    </row>
    <row r="11" spans="1:10" ht="15" customHeight="1" x14ac:dyDescent="0.25">
      <c r="A11" s="443" t="s">
        <v>129</v>
      </c>
      <c r="B11" s="444" t="s">
        <v>305</v>
      </c>
      <c r="C11" s="432"/>
      <c r="D11" s="432"/>
      <c r="E11" s="432"/>
      <c r="F11" s="444" t="s">
        <v>306</v>
      </c>
      <c r="G11" s="431">
        <f>'1_2_Mindösszesen'!C122</f>
        <v>1804406</v>
      </c>
      <c r="H11" s="431">
        <f>'1_2_Mindösszesen'!E122</f>
        <v>33191074</v>
      </c>
      <c r="I11" s="437" t="e">
        <f>'1_2_Mindösszesen'!#REF!</f>
        <v>#REF!</v>
      </c>
      <c r="J11" s="1806"/>
    </row>
    <row r="12" spans="1:10" ht="15" customHeight="1" x14ac:dyDescent="0.25">
      <c r="A12" s="443" t="s">
        <v>273</v>
      </c>
      <c r="B12" s="444" t="s">
        <v>128</v>
      </c>
      <c r="C12" s="431">
        <f>'1_2_Mindösszesen'!C34</f>
        <v>220960300</v>
      </c>
      <c r="D12" s="431">
        <f>'1_2_Mindösszesen'!E34</f>
        <v>224770300</v>
      </c>
      <c r="E12" s="431" t="e">
        <f>'1_2_Mindösszesen'!#REF!</f>
        <v>#REF!</v>
      </c>
      <c r="F12" s="7"/>
      <c r="G12" s="431"/>
      <c r="H12" s="431"/>
      <c r="I12" s="437"/>
      <c r="J12" s="1806"/>
    </row>
    <row r="13" spans="1:10" ht="15" customHeight="1" x14ac:dyDescent="0.25">
      <c r="A13" s="443" t="s">
        <v>151</v>
      </c>
      <c r="B13" s="7"/>
      <c r="C13" s="431"/>
      <c r="D13" s="431"/>
      <c r="E13" s="431"/>
      <c r="F13" s="7"/>
      <c r="G13" s="431"/>
      <c r="H13" s="431"/>
      <c r="I13" s="437"/>
      <c r="J13" s="1806"/>
    </row>
    <row r="14" spans="1:10" ht="15" customHeight="1" x14ac:dyDescent="0.25">
      <c r="A14" s="443" t="s">
        <v>161</v>
      </c>
      <c r="B14" s="452"/>
      <c r="C14" s="432"/>
      <c r="D14" s="432"/>
      <c r="E14" s="432"/>
      <c r="F14" s="7"/>
      <c r="G14" s="431"/>
      <c r="H14" s="431"/>
      <c r="I14" s="437"/>
      <c r="J14" s="1806"/>
    </row>
    <row r="15" spans="1:10" ht="15" customHeight="1" x14ac:dyDescent="0.25">
      <c r="A15" s="443" t="s">
        <v>285</v>
      </c>
      <c r="B15" s="7"/>
      <c r="C15" s="431"/>
      <c r="D15" s="431"/>
      <c r="E15" s="431"/>
      <c r="F15" s="7"/>
      <c r="G15" s="431"/>
      <c r="H15" s="431"/>
      <c r="I15" s="437"/>
      <c r="J15" s="1806"/>
    </row>
    <row r="16" spans="1:10" ht="15" customHeight="1" x14ac:dyDescent="0.25">
      <c r="A16" s="443" t="s">
        <v>307</v>
      </c>
      <c r="B16" s="7"/>
      <c r="C16" s="431"/>
      <c r="D16" s="431"/>
      <c r="E16" s="431"/>
      <c r="F16" s="7"/>
      <c r="G16" s="431"/>
      <c r="H16" s="431"/>
      <c r="I16" s="437"/>
      <c r="J16" s="1806"/>
    </row>
    <row r="17" spans="1:10" ht="15" customHeight="1" thickBot="1" x14ac:dyDescent="0.3">
      <c r="A17" s="443" t="s">
        <v>308</v>
      </c>
      <c r="B17" s="12"/>
      <c r="C17" s="433"/>
      <c r="D17" s="433"/>
      <c r="E17" s="433"/>
      <c r="F17" s="7"/>
      <c r="G17" s="433"/>
      <c r="H17" s="433"/>
      <c r="I17" s="438"/>
      <c r="J17" s="1806"/>
    </row>
    <row r="18" spans="1:10" ht="17.25" customHeight="1" thickBot="1" x14ac:dyDescent="0.3">
      <c r="A18" s="446" t="s">
        <v>309</v>
      </c>
      <c r="B18" s="429" t="s">
        <v>310</v>
      </c>
      <c r="C18" s="434">
        <f>+C6+C7+C9+C10+C12+C13+C14+C15+C16+C17</f>
        <v>1480998405</v>
      </c>
      <c r="D18" s="434">
        <f>+D6+D7+D9+D10+D12+D13+D14+D15+D16+D17</f>
        <v>1577409139</v>
      </c>
      <c r="E18" s="434" t="e">
        <f>+E6+E7+E9+E10+E12+E13+E14+E15+E16+E17</f>
        <v>#REF!</v>
      </c>
      <c r="F18" s="429" t="s">
        <v>311</v>
      </c>
      <c r="G18" s="434">
        <f>SUM(G6:G17)</f>
        <v>1362572358</v>
      </c>
      <c r="H18" s="434">
        <f>SUM(H6:H17)</f>
        <v>1517168674</v>
      </c>
      <c r="I18" s="434" t="e">
        <f>SUM(I6:I17)</f>
        <v>#REF!</v>
      </c>
      <c r="J18" s="1806"/>
    </row>
    <row r="19" spans="1:10" ht="15" customHeight="1" x14ac:dyDescent="0.25">
      <c r="A19" s="665" t="s">
        <v>312</v>
      </c>
      <c r="B19" s="447" t="s">
        <v>313</v>
      </c>
      <c r="C19" s="40">
        <f>+C20+C21+C22+C23</f>
        <v>14837945</v>
      </c>
      <c r="D19" s="40">
        <f>+D20+D21+D22+D23</f>
        <v>123812622</v>
      </c>
      <c r="E19" s="40" t="e">
        <f>+E20+E21+E22+E23</f>
        <v>#REF!</v>
      </c>
      <c r="F19" s="448" t="s">
        <v>314</v>
      </c>
      <c r="G19" s="435"/>
      <c r="H19" s="435"/>
      <c r="I19" s="435"/>
      <c r="J19" s="1806"/>
    </row>
    <row r="20" spans="1:10" ht="15" customHeight="1" x14ac:dyDescent="0.25">
      <c r="A20" s="666" t="s">
        <v>315</v>
      </c>
      <c r="B20" s="448" t="s">
        <v>316</v>
      </c>
      <c r="C20" s="428">
        <f>'5_Hivatal'!C71+'6_Óvoda'!C71+'4_Önkormányzat'!C71</f>
        <v>14837945</v>
      </c>
      <c r="D20" s="428">
        <f>'5_Hivatal'!E71+'6_Óvoda'!E71+'4_Önkormányzat'!E71</f>
        <v>123812622</v>
      </c>
      <c r="E20" s="428" t="e">
        <f>'5_Hivatal'!#REF!+'6_Óvoda'!#REF!+'4_Önkormányzat'!#REF!</f>
        <v>#REF!</v>
      </c>
      <c r="F20" s="448" t="s">
        <v>317</v>
      </c>
      <c r="G20" s="428"/>
      <c r="H20" s="428"/>
      <c r="I20" s="428"/>
      <c r="J20" s="1806"/>
    </row>
    <row r="21" spans="1:10" ht="15" customHeight="1" x14ac:dyDescent="0.25">
      <c r="A21" s="666" t="s">
        <v>318</v>
      </c>
      <c r="B21" s="448" t="s">
        <v>319</v>
      </c>
      <c r="C21" s="428"/>
      <c r="D21" s="428"/>
      <c r="E21" s="428"/>
      <c r="F21" s="448" t="s">
        <v>320</v>
      </c>
      <c r="G21" s="428"/>
      <c r="H21" s="428"/>
      <c r="I21" s="428"/>
      <c r="J21" s="1806"/>
    </row>
    <row r="22" spans="1:10" ht="15" customHeight="1" x14ac:dyDescent="0.25">
      <c r="A22" s="666" t="s">
        <v>321</v>
      </c>
      <c r="B22" s="448" t="s">
        <v>322</v>
      </c>
      <c r="C22" s="428"/>
      <c r="D22" s="428"/>
      <c r="E22" s="428"/>
      <c r="F22" s="448" t="s">
        <v>323</v>
      </c>
      <c r="G22" s="428"/>
      <c r="H22" s="428"/>
      <c r="I22" s="428"/>
      <c r="J22" s="1806"/>
    </row>
    <row r="23" spans="1:10" ht="15" customHeight="1" x14ac:dyDescent="0.25">
      <c r="A23" s="666" t="s">
        <v>324</v>
      </c>
      <c r="B23" s="448" t="s">
        <v>325</v>
      </c>
      <c r="C23" s="428"/>
      <c r="D23" s="428"/>
      <c r="E23" s="428">
        <v>4542948</v>
      </c>
      <c r="F23" s="447" t="s">
        <v>326</v>
      </c>
      <c r="G23" s="428"/>
      <c r="H23" s="428"/>
      <c r="I23" s="428"/>
      <c r="J23" s="1806"/>
    </row>
    <row r="24" spans="1:10" ht="15" customHeight="1" x14ac:dyDescent="0.25">
      <c r="A24" s="666" t="s">
        <v>327</v>
      </c>
      <c r="B24" s="448" t="s">
        <v>328</v>
      </c>
      <c r="C24" s="449">
        <f>+C25+C26</f>
        <v>0</v>
      </c>
      <c r="D24" s="449">
        <f>+D25+D26</f>
        <v>0</v>
      </c>
      <c r="E24" s="449">
        <f>+E25+E26</f>
        <v>0</v>
      </c>
      <c r="F24" s="448" t="s">
        <v>329</v>
      </c>
      <c r="G24" s="428"/>
      <c r="H24" s="428"/>
      <c r="I24" s="428"/>
      <c r="J24" s="1806"/>
    </row>
    <row r="25" spans="1:10" ht="15" customHeight="1" x14ac:dyDescent="0.25">
      <c r="A25" s="665" t="s">
        <v>330</v>
      </c>
      <c r="B25" s="447" t="s">
        <v>331</v>
      </c>
      <c r="C25" s="435"/>
      <c r="D25" s="435"/>
      <c r="E25" s="435"/>
      <c r="F25" s="442" t="s">
        <v>332</v>
      </c>
      <c r="G25" s="435"/>
      <c r="H25" s="435"/>
      <c r="I25" s="435"/>
      <c r="J25" s="1806"/>
    </row>
    <row r="26" spans="1:10" ht="15" customHeight="1" thickBot="1" x14ac:dyDescent="0.3">
      <c r="A26" s="666" t="s">
        <v>333</v>
      </c>
      <c r="B26" s="448" t="s">
        <v>334</v>
      </c>
      <c r="C26" s="428"/>
      <c r="D26" s="428"/>
      <c r="E26" s="428"/>
      <c r="F26" s="7" t="s">
        <v>335</v>
      </c>
      <c r="G26" s="428"/>
      <c r="H26" s="428">
        <v>4455423</v>
      </c>
      <c r="I26" s="428">
        <v>4455423</v>
      </c>
      <c r="J26" s="1806"/>
    </row>
    <row r="27" spans="1:10" ht="17.25" customHeight="1" thickBot="1" x14ac:dyDescent="0.3">
      <c r="A27" s="446" t="s">
        <v>336</v>
      </c>
      <c r="B27" s="429" t="s">
        <v>337</v>
      </c>
      <c r="C27" s="434">
        <f>+C19+C24</f>
        <v>14837945</v>
      </c>
      <c r="D27" s="434">
        <f>+D19+D24</f>
        <v>123812622</v>
      </c>
      <c r="E27" s="434" t="e">
        <f>+E19+E24</f>
        <v>#REF!</v>
      </c>
      <c r="F27" s="429" t="s">
        <v>338</v>
      </c>
      <c r="G27" s="434">
        <f>SUM(G19:G26)</f>
        <v>0</v>
      </c>
      <c r="H27" s="434">
        <f>SUM(H19:H26)</f>
        <v>4455423</v>
      </c>
      <c r="I27" s="434">
        <f>SUM(I19:I26)</f>
        <v>4455423</v>
      </c>
      <c r="J27" s="1806"/>
    </row>
    <row r="28" spans="1:10" ht="17.25" customHeight="1" thickBot="1" x14ac:dyDescent="0.3">
      <c r="A28" s="446" t="s">
        <v>339</v>
      </c>
      <c r="B28" s="450" t="s">
        <v>340</v>
      </c>
      <c r="C28" s="95">
        <f>+C18+C27</f>
        <v>1495836350</v>
      </c>
      <c r="D28" s="95">
        <f>+D18+D27</f>
        <v>1701221761</v>
      </c>
      <c r="E28" s="451" t="e">
        <f>+E18+E27</f>
        <v>#REF!</v>
      </c>
      <c r="F28" s="450" t="s">
        <v>341</v>
      </c>
      <c r="G28" s="95">
        <f>+G18+G27</f>
        <v>1362572358</v>
      </c>
      <c r="H28" s="95">
        <f>+H18+H27</f>
        <v>1521624097</v>
      </c>
      <c r="I28" s="95" t="e">
        <f>+I18+I27</f>
        <v>#REF!</v>
      </c>
      <c r="J28" s="1806"/>
    </row>
    <row r="29" spans="1:10" ht="17.25" customHeight="1" thickBot="1" x14ac:dyDescent="0.3">
      <c r="A29" s="446" t="s">
        <v>342</v>
      </c>
      <c r="B29" s="450" t="s">
        <v>343</v>
      </c>
      <c r="C29" s="95" t="str">
        <f>IF(C18-G18&lt;0,G18-C18,"-")</f>
        <v>-</v>
      </c>
      <c r="D29" s="95" t="str">
        <f>IF(D18-H18&lt;0,H18-D18,"-")</f>
        <v>-</v>
      </c>
      <c r="E29" s="451" t="e">
        <f>IF(E18-I18&lt;0,I18-E18,"-")</f>
        <v>#REF!</v>
      </c>
      <c r="F29" s="450" t="s">
        <v>344</v>
      </c>
      <c r="G29" s="95">
        <f>IF(C18-G18&gt;0,C18-G18,"-")</f>
        <v>118426047</v>
      </c>
      <c r="H29" s="95">
        <f>IF(D18-H18&gt;0,D18-H18,"-")</f>
        <v>60240465</v>
      </c>
      <c r="I29" s="95" t="e">
        <f>IF(E18-I18&gt;0,E18-I18,"-")</f>
        <v>#REF!</v>
      </c>
      <c r="J29" s="1806"/>
    </row>
    <row r="30" spans="1:10" ht="17.25" customHeight="1" thickBot="1" x14ac:dyDescent="0.3">
      <c r="A30" s="446" t="s">
        <v>345</v>
      </c>
      <c r="B30" s="450" t="s">
        <v>346</v>
      </c>
      <c r="C30" s="95" t="str">
        <f>IF(C28-G28&lt;0,G28-C28,"-")</f>
        <v>-</v>
      </c>
      <c r="D30" s="95" t="str">
        <f>IF(D28-H28&lt;0,H28-D28,"-")</f>
        <v>-</v>
      </c>
      <c r="E30" s="451" t="e">
        <f>IF(E28-I28&lt;0,I28-E28,"-")</f>
        <v>#REF!</v>
      </c>
      <c r="F30" s="450" t="s">
        <v>347</v>
      </c>
      <c r="G30" s="95">
        <f>IF(C28-G28&gt;0,C28-G28,"-")</f>
        <v>133263992</v>
      </c>
      <c r="H30" s="95">
        <f>IF(D28-H28&gt;0,D28-H28,"-")</f>
        <v>179597664</v>
      </c>
      <c r="I30" s="95" t="e">
        <f>IF(E28-I28&gt;0,E28-I28,"-")</f>
        <v>#REF!</v>
      </c>
      <c r="J30" s="1806"/>
    </row>
  </sheetData>
  <mergeCells count="3">
    <mergeCell ref="A3:A4"/>
    <mergeCell ref="J1:J30"/>
    <mergeCell ref="A1:I1"/>
  </mergeCells>
  <phoneticPr fontId="0" type="noConversion"/>
  <printOptions horizontalCentered="1"/>
  <pageMargins left="0.33" right="0.48" top="0.9055118110236221" bottom="0.5" header="0.6692913385826772" footer="0.28000000000000003"/>
  <pageSetup paperSize="9" scale="70" orientation="landscape" verticalDpi="300" r:id="rId1"/>
  <headerFooter alignWithMargins="0">
    <oddHeader xml:space="preserve">&amp;R&amp;"Times New Roman CE,Félkövér dőlt"&amp;11 </oddHeader>
  </headerFooter>
  <ignoredErrors>
    <ignoredError sqref="C13:E22 C11 C8 C6:E7 C9:E10 D8:E8 C12:E12 D11:E11 C24:E28 C23" unlockedFormula="1"/>
  </ignoredError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rgb="FF92D050"/>
  </sheetPr>
  <dimension ref="A1:J33"/>
  <sheetViews>
    <sheetView showGridLines="0" zoomScaleNormal="100" zoomScaleSheetLayoutView="115" workbookViewId="0">
      <selection activeCell="I3" sqref="I3"/>
    </sheetView>
  </sheetViews>
  <sheetFormatPr defaultColWidth="9.33203125" defaultRowHeight="13.2" x14ac:dyDescent="0.25"/>
  <cols>
    <col min="1" max="1" width="6.77734375" style="10" customWidth="1"/>
    <col min="2" max="2" width="55.109375" style="26" customWidth="1"/>
    <col min="3" max="5" width="16.33203125" style="10" customWidth="1"/>
    <col min="6" max="6" width="55.109375" style="10" customWidth="1"/>
    <col min="7" max="9" width="16.33203125" style="10" customWidth="1"/>
    <col min="10" max="10" width="4.77734375" style="10" customWidth="1"/>
    <col min="11" max="16384" width="9.33203125" style="10"/>
  </cols>
  <sheetData>
    <row r="1" spans="1:10" ht="54" customHeight="1" x14ac:dyDescent="0.25">
      <c r="A1" s="1807" t="s">
        <v>1763</v>
      </c>
      <c r="B1" s="1808"/>
      <c r="C1" s="1808"/>
      <c r="D1" s="1808"/>
      <c r="E1" s="1808"/>
      <c r="F1" s="1808"/>
      <c r="G1" s="1808"/>
      <c r="H1" s="1808"/>
      <c r="I1" s="1808"/>
      <c r="J1" s="1811"/>
    </row>
    <row r="2" spans="1:10" ht="14.4" thickBot="1" x14ac:dyDescent="0.3">
      <c r="G2" s="39"/>
      <c r="H2" s="39"/>
      <c r="I2" s="39" t="s">
        <v>1788</v>
      </c>
      <c r="J2" s="1811"/>
    </row>
    <row r="3" spans="1:10" ht="24" customHeight="1" thickBot="1" x14ac:dyDescent="0.3">
      <c r="A3" s="1809" t="s">
        <v>41</v>
      </c>
      <c r="B3" s="462" t="s">
        <v>291</v>
      </c>
      <c r="C3" s="463"/>
      <c r="D3" s="463"/>
      <c r="E3" s="463"/>
      <c r="F3" s="462" t="s">
        <v>292</v>
      </c>
      <c r="G3" s="464"/>
      <c r="H3" s="464"/>
      <c r="I3" s="464"/>
      <c r="J3" s="1811"/>
    </row>
    <row r="4" spans="1:10" s="439" customFormat="1" ht="35.25" customHeight="1" thickBot="1" x14ac:dyDescent="0.3">
      <c r="A4" s="1810"/>
      <c r="B4" s="27" t="s">
        <v>293</v>
      </c>
      <c r="C4" s="707" t="s">
        <v>1722</v>
      </c>
      <c r="D4" s="688" t="s">
        <v>1723</v>
      </c>
      <c r="E4" s="688" t="s">
        <v>1724</v>
      </c>
      <c r="F4" s="27" t="s">
        <v>293</v>
      </c>
      <c r="G4" s="707" t="s">
        <v>1722</v>
      </c>
      <c r="H4" s="688" t="s">
        <v>1723</v>
      </c>
      <c r="I4" s="688" t="s">
        <v>1724</v>
      </c>
      <c r="J4" s="1811"/>
    </row>
    <row r="5" spans="1:10" s="439" customFormat="1" ht="13.8" thickBot="1" x14ac:dyDescent="0.3">
      <c r="A5" s="465" t="s">
        <v>46</v>
      </c>
      <c r="B5" s="466" t="s">
        <v>47</v>
      </c>
      <c r="C5" s="467" t="s">
        <v>48</v>
      </c>
      <c r="D5" s="467" t="s">
        <v>49</v>
      </c>
      <c r="E5" s="467" t="s">
        <v>50</v>
      </c>
      <c r="F5" s="466" t="s">
        <v>294</v>
      </c>
      <c r="G5" s="467" t="s">
        <v>295</v>
      </c>
      <c r="H5" s="467" t="s">
        <v>296</v>
      </c>
      <c r="I5" s="468" t="s">
        <v>297</v>
      </c>
      <c r="J5" s="1811"/>
    </row>
    <row r="6" spans="1:10" ht="12.9" customHeight="1" x14ac:dyDescent="0.25">
      <c r="A6" s="441" t="s">
        <v>51</v>
      </c>
      <c r="B6" s="442" t="s">
        <v>348</v>
      </c>
      <c r="C6" s="430">
        <f>'5_Hivatal'!C20+'6_Óvoda'!C20+'4_Önkormányzat'!C20</f>
        <v>0</v>
      </c>
      <c r="D6" s="430">
        <f>'5_Hivatal'!E20+'6_Óvoda'!E20+'4_Önkormányzat'!E20</f>
        <v>0</v>
      </c>
      <c r="E6" s="430" t="e">
        <f>'5_Hivatal'!#REF!+'6_Óvoda'!#REF!+'4_Önkormányzat'!#REF!</f>
        <v>#REF!</v>
      </c>
      <c r="F6" s="442" t="s">
        <v>241</v>
      </c>
      <c r="G6" s="430">
        <f>'4_Önkormányzat'!C108+'6_Óvoda'!C110+'5_Hivatal'!C110</f>
        <v>96075145</v>
      </c>
      <c r="H6" s="430">
        <f>'4_Önkormányzat'!E108+'6_Óvoda'!E110+'5_Hivatal'!E110</f>
        <v>86234455</v>
      </c>
      <c r="I6" s="436" t="e">
        <f>'4_Önkormányzat'!#REF!+'6_Óvoda'!#REF!+'5_Hivatal'!#REF!</f>
        <v>#REF!</v>
      </c>
      <c r="J6" s="1811"/>
    </row>
    <row r="7" spans="1:10" x14ac:dyDescent="0.25">
      <c r="A7" s="443" t="s">
        <v>65</v>
      </c>
      <c r="B7" s="444" t="s">
        <v>349</v>
      </c>
      <c r="C7" s="431"/>
      <c r="D7" s="431"/>
      <c r="E7" s="431"/>
      <c r="F7" s="444" t="s">
        <v>350</v>
      </c>
      <c r="G7" s="431"/>
      <c r="H7" s="431"/>
      <c r="I7" s="437"/>
      <c r="J7" s="1811"/>
    </row>
    <row r="8" spans="1:10" ht="12.9" customHeight="1" x14ac:dyDescent="0.25">
      <c r="A8" s="443" t="s">
        <v>79</v>
      </c>
      <c r="B8" s="444" t="s">
        <v>351</v>
      </c>
      <c r="C8" s="430">
        <f>'5_Hivatal'!C45+'6_Óvoda'!C45+'4_Önkormányzat'!C45</f>
        <v>106800000</v>
      </c>
      <c r="D8" s="430">
        <f>'5_Hivatal'!E45+'6_Óvoda'!E45+'4_Önkormányzat'!E45</f>
        <v>106800000</v>
      </c>
      <c r="E8" s="430" t="e">
        <f>'5_Hivatal'!#REF!+'6_Óvoda'!#REF!+'4_Önkormányzat'!#REF!</f>
        <v>#REF!</v>
      </c>
      <c r="F8" s="444" t="s">
        <v>243</v>
      </c>
      <c r="G8" s="430">
        <f>'4_Önkormányzat'!C110+'6_Óvoda'!C112+'5_Hivatal'!C112</f>
        <v>46500000</v>
      </c>
      <c r="H8" s="430">
        <f>'4_Önkormányzat'!E110+'6_Óvoda'!E112+'5_Hivatal'!E112</f>
        <v>77518890</v>
      </c>
      <c r="I8" s="436" t="e">
        <f>'4_Önkormányzat'!#REF!+'6_Óvoda'!#REF!+'5_Hivatal'!#REF!</f>
        <v>#REF!</v>
      </c>
      <c r="J8" s="1811"/>
    </row>
    <row r="9" spans="1:10" ht="12.9" customHeight="1" x14ac:dyDescent="0.25">
      <c r="A9" s="443" t="s">
        <v>262</v>
      </c>
      <c r="B9" s="444" t="s">
        <v>352</v>
      </c>
      <c r="C9" s="430">
        <f>'5_Hivatal'!C56+'6_Óvoda'!C56+'4_Önkormányzat'!C56</f>
        <v>11000000</v>
      </c>
      <c r="D9" s="430">
        <f>'5_Hivatal'!E56+'6_Óvoda'!E56+'4_Önkormányzat'!E56</f>
        <v>11000000</v>
      </c>
      <c r="E9" s="430" t="e">
        <f>'5_Hivatal'!#REF!+'6_Óvoda'!#REF!+'4_Önkormányzat'!#REF!</f>
        <v>#REF!</v>
      </c>
      <c r="F9" s="444" t="s">
        <v>353</v>
      </c>
      <c r="G9" s="431"/>
      <c r="H9" s="431"/>
      <c r="I9" s="437"/>
      <c r="J9" s="1811"/>
    </row>
    <row r="10" spans="1:10" ht="12.75" customHeight="1" x14ac:dyDescent="0.25">
      <c r="A10" s="443" t="s">
        <v>107</v>
      </c>
      <c r="B10" s="444" t="s">
        <v>354</v>
      </c>
      <c r="C10" s="431"/>
      <c r="D10" s="431"/>
      <c r="E10" s="431"/>
      <c r="F10" s="444" t="s">
        <v>245</v>
      </c>
      <c r="G10" s="430">
        <f>'4_Önkormányzat'!C112+'6_Óvoda'!C114+'5_Hivatal'!C114</f>
        <v>2500000</v>
      </c>
      <c r="H10" s="430">
        <f>'4_Önkormányzat'!E112+'6_Óvoda'!E114+'5_Hivatal'!E114</f>
        <v>32783467</v>
      </c>
      <c r="I10" s="436" t="e">
        <f>'4_Önkormányzat'!#REF!+'6_Óvoda'!#REF!+'5_Hivatal'!#REF!</f>
        <v>#REF!</v>
      </c>
      <c r="J10" s="1811"/>
    </row>
    <row r="11" spans="1:10" ht="12.9" customHeight="1" x14ac:dyDescent="0.25">
      <c r="A11" s="443" t="s">
        <v>129</v>
      </c>
      <c r="B11" s="444" t="s">
        <v>355</v>
      </c>
      <c r="C11" s="432"/>
      <c r="D11" s="432"/>
      <c r="E11" s="432"/>
      <c r="F11" s="483"/>
      <c r="G11" s="431"/>
      <c r="H11" s="431"/>
      <c r="I11" s="437"/>
      <c r="J11" s="1811"/>
    </row>
    <row r="12" spans="1:10" ht="12.9" customHeight="1" x14ac:dyDescent="0.25">
      <c r="A12" s="443" t="s">
        <v>273</v>
      </c>
      <c r="B12" s="7"/>
      <c r="C12" s="431"/>
      <c r="D12" s="431"/>
      <c r="E12" s="431"/>
      <c r="F12" s="483"/>
      <c r="G12" s="431"/>
      <c r="H12" s="431"/>
      <c r="I12" s="437"/>
      <c r="J12" s="1811"/>
    </row>
    <row r="13" spans="1:10" ht="12.9" customHeight="1" x14ac:dyDescent="0.25">
      <c r="A13" s="443" t="s">
        <v>151</v>
      </c>
      <c r="B13" s="7"/>
      <c r="C13" s="431"/>
      <c r="D13" s="431"/>
      <c r="E13" s="431"/>
      <c r="F13" s="484"/>
      <c r="G13" s="431"/>
      <c r="H13" s="431"/>
      <c r="I13" s="437"/>
      <c r="J13" s="1811"/>
    </row>
    <row r="14" spans="1:10" ht="12.9" customHeight="1" x14ac:dyDescent="0.25">
      <c r="A14" s="443" t="s">
        <v>161</v>
      </c>
      <c r="B14" s="481"/>
      <c r="C14" s="432"/>
      <c r="D14" s="432"/>
      <c r="E14" s="432"/>
      <c r="F14" s="483"/>
      <c r="G14" s="431"/>
      <c r="H14" s="431"/>
      <c r="I14" s="437"/>
      <c r="J14" s="1811"/>
    </row>
    <row r="15" spans="1:10" x14ac:dyDescent="0.25">
      <c r="A15" s="443" t="s">
        <v>285</v>
      </c>
      <c r="B15" s="7"/>
      <c r="C15" s="432"/>
      <c r="D15" s="432"/>
      <c r="E15" s="432"/>
      <c r="F15" s="483"/>
      <c r="G15" s="431"/>
      <c r="H15" s="431"/>
      <c r="I15" s="437"/>
      <c r="J15" s="1811"/>
    </row>
    <row r="16" spans="1:10" ht="12.9" customHeight="1" thickBot="1" x14ac:dyDescent="0.3">
      <c r="A16" s="478" t="s">
        <v>307</v>
      </c>
      <c r="B16" s="482"/>
      <c r="C16" s="480"/>
      <c r="D16" s="102"/>
      <c r="E16" s="109"/>
      <c r="F16" s="479" t="s">
        <v>306</v>
      </c>
      <c r="G16" s="431"/>
      <c r="H16" s="431"/>
      <c r="I16" s="437"/>
      <c r="J16" s="1811"/>
    </row>
    <row r="17" spans="1:10" ht="15.9" customHeight="1" thickBot="1" x14ac:dyDescent="0.3">
      <c r="A17" s="446" t="s">
        <v>308</v>
      </c>
      <c r="B17" s="429" t="s">
        <v>356</v>
      </c>
      <c r="C17" s="434">
        <f>+C6+C8+C9+C11+C12+C13+C14+C15+C16</f>
        <v>117800000</v>
      </c>
      <c r="D17" s="434">
        <f>+D6+D8+D9+D11+D12+D13+D14+D15+D16</f>
        <v>117800000</v>
      </c>
      <c r="E17" s="434" t="e">
        <f>+E6+E8+E9+E11+E12+E13+E14+E15+E16</f>
        <v>#REF!</v>
      </c>
      <c r="F17" s="429" t="s">
        <v>357</v>
      </c>
      <c r="G17" s="434">
        <f>+G6+G8+G10+G11+G12+G13+G14+G15+G16</f>
        <v>145075145</v>
      </c>
      <c r="H17" s="434">
        <f>+H6+H8+H10+H11+H12+H13+H14+H15+H16</f>
        <v>196536812</v>
      </c>
      <c r="I17" s="461" t="e">
        <f>+I6+I8+I10+I11+I12+I13+I14+I15+I16</f>
        <v>#REF!</v>
      </c>
      <c r="J17" s="1811"/>
    </row>
    <row r="18" spans="1:10" ht="12.9" customHeight="1" x14ac:dyDescent="0.25">
      <c r="A18" s="441" t="s">
        <v>309</v>
      </c>
      <c r="B18" s="470" t="s">
        <v>358</v>
      </c>
      <c r="C18" s="477">
        <f>+C19+C20+C21+C22+C23</f>
        <v>0</v>
      </c>
      <c r="D18" s="477">
        <f>+D19+D20+D21+D22+D23</f>
        <v>0</v>
      </c>
      <c r="E18" s="477">
        <f>+E19+E20+E21+E22+E23</f>
        <v>0</v>
      </c>
      <c r="F18" s="448" t="s">
        <v>314</v>
      </c>
      <c r="G18" s="97"/>
      <c r="H18" s="97"/>
      <c r="I18" s="456"/>
      <c r="J18" s="1811"/>
    </row>
    <row r="19" spans="1:10" ht="12.9" customHeight="1" x14ac:dyDescent="0.25">
      <c r="A19" s="443" t="s">
        <v>312</v>
      </c>
      <c r="B19" s="471" t="s">
        <v>359</v>
      </c>
      <c r="C19" s="428"/>
      <c r="D19" s="428"/>
      <c r="E19" s="428"/>
      <c r="F19" s="448" t="s">
        <v>360</v>
      </c>
      <c r="G19" s="428"/>
      <c r="H19" s="428"/>
      <c r="I19" s="457"/>
      <c r="J19" s="1811"/>
    </row>
    <row r="20" spans="1:10" ht="12.9" customHeight="1" x14ac:dyDescent="0.25">
      <c r="A20" s="441" t="s">
        <v>315</v>
      </c>
      <c r="B20" s="471" t="s">
        <v>361</v>
      </c>
      <c r="C20" s="428"/>
      <c r="D20" s="428"/>
      <c r="E20" s="428"/>
      <c r="F20" s="448" t="s">
        <v>320</v>
      </c>
      <c r="G20" s="428"/>
      <c r="H20" s="428"/>
      <c r="I20" s="457"/>
      <c r="J20" s="1811"/>
    </row>
    <row r="21" spans="1:10" ht="12.9" customHeight="1" x14ac:dyDescent="0.25">
      <c r="A21" s="443" t="s">
        <v>318</v>
      </c>
      <c r="B21" s="471" t="s">
        <v>362</v>
      </c>
      <c r="C21" s="428"/>
      <c r="D21" s="428"/>
      <c r="E21" s="428"/>
      <c r="F21" s="448" t="s">
        <v>323</v>
      </c>
      <c r="G21" s="428"/>
      <c r="H21" s="428"/>
      <c r="I21" s="457"/>
      <c r="J21" s="1811"/>
    </row>
    <row r="22" spans="1:10" ht="12.9" customHeight="1" x14ac:dyDescent="0.25">
      <c r="A22" s="441" t="s">
        <v>321</v>
      </c>
      <c r="B22" s="471" t="s">
        <v>363</v>
      </c>
      <c r="C22" s="428"/>
      <c r="D22" s="428"/>
      <c r="E22" s="428"/>
      <c r="F22" s="447" t="s">
        <v>326</v>
      </c>
      <c r="G22" s="428"/>
      <c r="H22" s="428"/>
      <c r="I22" s="457"/>
      <c r="J22" s="1811"/>
    </row>
    <row r="23" spans="1:10" ht="12.9" customHeight="1" x14ac:dyDescent="0.25">
      <c r="A23" s="443" t="s">
        <v>324</v>
      </c>
      <c r="B23" s="472" t="s">
        <v>364</v>
      </c>
      <c r="C23" s="428"/>
      <c r="D23" s="428"/>
      <c r="E23" s="428"/>
      <c r="F23" s="448" t="s">
        <v>365</v>
      </c>
      <c r="G23" s="428"/>
      <c r="H23" s="428"/>
      <c r="I23" s="457"/>
      <c r="J23" s="1811"/>
    </row>
    <row r="24" spans="1:10" ht="12.9" customHeight="1" x14ac:dyDescent="0.25">
      <c r="A24" s="441" t="s">
        <v>327</v>
      </c>
      <c r="B24" s="473" t="s">
        <v>366</v>
      </c>
      <c r="C24" s="449">
        <f>+C25+C26+C27+C28+C29</f>
        <v>0</v>
      </c>
      <c r="D24" s="449">
        <f>+D25+D26+D27+D28+D29</f>
        <v>0</v>
      </c>
      <c r="E24" s="449">
        <f>+E25+E26+E27+E28+E29</f>
        <v>0</v>
      </c>
      <c r="F24" s="474" t="s">
        <v>332</v>
      </c>
      <c r="G24" s="428"/>
      <c r="H24" s="428"/>
      <c r="I24" s="457"/>
      <c r="J24" s="1811"/>
    </row>
    <row r="25" spans="1:10" ht="12.9" customHeight="1" x14ac:dyDescent="0.25">
      <c r="A25" s="443" t="s">
        <v>330</v>
      </c>
      <c r="B25" s="472" t="s">
        <v>367</v>
      </c>
      <c r="C25" s="428"/>
      <c r="D25" s="428"/>
      <c r="E25" s="428"/>
      <c r="F25" s="474" t="s">
        <v>368</v>
      </c>
      <c r="G25" s="428"/>
      <c r="H25" s="428"/>
      <c r="I25" s="457"/>
      <c r="J25" s="1811"/>
    </row>
    <row r="26" spans="1:10" ht="12.9" customHeight="1" x14ac:dyDescent="0.25">
      <c r="A26" s="441" t="s">
        <v>333</v>
      </c>
      <c r="B26" s="472" t="s">
        <v>369</v>
      </c>
      <c r="C26" s="428"/>
      <c r="D26" s="428"/>
      <c r="E26" s="428"/>
      <c r="F26" s="469"/>
      <c r="G26" s="428"/>
      <c r="H26" s="428"/>
      <c r="I26" s="457"/>
      <c r="J26" s="1811"/>
    </row>
    <row r="27" spans="1:10" ht="12.9" customHeight="1" x14ac:dyDescent="0.25">
      <c r="A27" s="443" t="s">
        <v>336</v>
      </c>
      <c r="B27" s="471" t="s">
        <v>370</v>
      </c>
      <c r="C27" s="428"/>
      <c r="D27" s="428"/>
      <c r="E27" s="428"/>
      <c r="F27" s="458"/>
      <c r="G27" s="428"/>
      <c r="H27" s="428"/>
      <c r="I27" s="457"/>
      <c r="J27" s="1811"/>
    </row>
    <row r="28" spans="1:10" ht="12.9" customHeight="1" x14ac:dyDescent="0.25">
      <c r="A28" s="441" t="s">
        <v>339</v>
      </c>
      <c r="B28" s="475" t="s">
        <v>371</v>
      </c>
      <c r="C28" s="428"/>
      <c r="D28" s="428"/>
      <c r="E28" s="428"/>
      <c r="F28" s="7"/>
      <c r="G28" s="428"/>
      <c r="H28" s="428"/>
      <c r="I28" s="457"/>
      <c r="J28" s="1811"/>
    </row>
    <row r="29" spans="1:10" ht="12.9" customHeight="1" thickBot="1" x14ac:dyDescent="0.3">
      <c r="A29" s="443" t="s">
        <v>342</v>
      </c>
      <c r="B29" s="476" t="s">
        <v>372</v>
      </c>
      <c r="C29" s="428"/>
      <c r="D29" s="428"/>
      <c r="E29" s="428"/>
      <c r="F29" s="458"/>
      <c r="G29" s="428"/>
      <c r="H29" s="428"/>
      <c r="I29" s="457"/>
      <c r="J29" s="1811"/>
    </row>
    <row r="30" spans="1:10" ht="28.5" customHeight="1" thickBot="1" x14ac:dyDescent="0.3">
      <c r="A30" s="446" t="s">
        <v>345</v>
      </c>
      <c r="B30" s="429" t="s">
        <v>373</v>
      </c>
      <c r="C30" s="434">
        <f>+C18+C24</f>
        <v>0</v>
      </c>
      <c r="D30" s="434">
        <f>+D18+D24</f>
        <v>0</v>
      </c>
      <c r="E30" s="434">
        <f>+E18+E24</f>
        <v>0</v>
      </c>
      <c r="F30" s="429" t="s">
        <v>374</v>
      </c>
      <c r="G30" s="434">
        <f>SUM(G18:G29)</f>
        <v>0</v>
      </c>
      <c r="H30" s="434">
        <f>SUM(H18:H29)</f>
        <v>0</v>
      </c>
      <c r="I30" s="461">
        <f>SUM(I18:I29)</f>
        <v>0</v>
      </c>
      <c r="J30" s="1811"/>
    </row>
    <row r="31" spans="1:10" ht="16.5" customHeight="1" thickBot="1" x14ac:dyDescent="0.3">
      <c r="A31" s="446" t="s">
        <v>375</v>
      </c>
      <c r="B31" s="450" t="s">
        <v>376</v>
      </c>
      <c r="C31" s="95">
        <f>+C17+C30</f>
        <v>117800000</v>
      </c>
      <c r="D31" s="95">
        <f>+D17+D30</f>
        <v>117800000</v>
      </c>
      <c r="E31" s="451" t="e">
        <f>+E17+E30</f>
        <v>#REF!</v>
      </c>
      <c r="F31" s="450" t="s">
        <v>377</v>
      </c>
      <c r="G31" s="95">
        <f>+G17+G30</f>
        <v>145075145</v>
      </c>
      <c r="H31" s="95">
        <f>+H17+H30</f>
        <v>196536812</v>
      </c>
      <c r="I31" s="96" t="e">
        <f>+I17+I30</f>
        <v>#REF!</v>
      </c>
      <c r="J31" s="1811"/>
    </row>
    <row r="32" spans="1:10" ht="16.5" customHeight="1" thickBot="1" x14ac:dyDescent="0.3">
      <c r="A32" s="446" t="s">
        <v>378</v>
      </c>
      <c r="B32" s="450" t="s">
        <v>343</v>
      </c>
      <c r="C32" s="95">
        <f>IF(C17-G17&lt;0,G17-C17,"-")</f>
        <v>27275145</v>
      </c>
      <c r="D32" s="95">
        <f>IF(D17-H17&lt;0,H17-D17,"-")</f>
        <v>78736812</v>
      </c>
      <c r="E32" s="451" t="e">
        <f>IF(E17-I17&lt;0,I17-E17,"-")</f>
        <v>#REF!</v>
      </c>
      <c r="F32" s="450" t="s">
        <v>344</v>
      </c>
      <c r="G32" s="95" t="str">
        <f>IF(C17-G17&gt;0,C17-G17,"-")</f>
        <v>-</v>
      </c>
      <c r="H32" s="95" t="str">
        <f>IF(D17-H17&gt;0,D17-H17,"-")</f>
        <v>-</v>
      </c>
      <c r="I32" s="96" t="e">
        <f>IF(E17-I17&gt;0,E17-I17,"-")</f>
        <v>#REF!</v>
      </c>
      <c r="J32" s="1811"/>
    </row>
    <row r="33" spans="1:10" ht="16.5" customHeight="1" thickBot="1" x14ac:dyDescent="0.3">
      <c r="A33" s="446" t="s">
        <v>379</v>
      </c>
      <c r="B33" s="450" t="s">
        <v>346</v>
      </c>
      <c r="C33" s="95" t="str">
        <f>IF(C26-G26&lt;0,G26-C26,"-")</f>
        <v>-</v>
      </c>
      <c r="D33" s="95" t="str">
        <f>IF(D26-H26&lt;0,H26-D26,"-")</f>
        <v>-</v>
      </c>
      <c r="E33" s="451" t="str">
        <f>IF(E26-I26&lt;0,I26-E26,"-")</f>
        <v>-</v>
      </c>
      <c r="F33" s="450" t="s">
        <v>347</v>
      </c>
      <c r="G33" s="95" t="str">
        <f>IF(C26-G26&gt;0,C26-G26,"-")</f>
        <v>-</v>
      </c>
      <c r="H33" s="95" t="str">
        <f>IF(D26-H26&gt;0,D26-H26,"-")</f>
        <v>-</v>
      </c>
      <c r="I33" s="96" t="str">
        <f>IF(E26-I26&gt;0,E26-I26,"-")</f>
        <v>-</v>
      </c>
      <c r="J33" s="1811"/>
    </row>
  </sheetData>
  <mergeCells count="3">
    <mergeCell ref="A3:A4"/>
    <mergeCell ref="J1:J33"/>
    <mergeCell ref="A1:I1"/>
  </mergeCells>
  <phoneticPr fontId="0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65" orientation="landscape" verticalDpi="300" r:id="rId1"/>
  <headerFooter alignWithMargins="0"/>
  <ignoredErrors>
    <ignoredError sqref="C6:I25 C27:I31 C26:E26 G26 C33:I33 C32:G32 I32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H158"/>
  <sheetViews>
    <sheetView showGridLines="0" view="pageLayout" zoomScaleNormal="130" zoomScaleSheetLayoutView="100" workbookViewId="0">
      <selection activeCell="G36" sqref="G36"/>
    </sheetView>
  </sheetViews>
  <sheetFormatPr defaultColWidth="9.33203125" defaultRowHeight="15.6" x14ac:dyDescent="0.3"/>
  <cols>
    <col min="1" max="1" width="9.44140625" style="395" customWidth="1"/>
    <col min="2" max="2" width="60.77734375" style="395" customWidth="1"/>
    <col min="3" max="3" width="15.77734375" style="396" customWidth="1"/>
    <col min="4" max="4" width="13" style="396" customWidth="1"/>
    <col min="5" max="5" width="14.33203125" style="396" customWidth="1"/>
    <col min="6" max="7" width="13.109375" style="406" customWidth="1"/>
    <col min="8" max="8" width="10.33203125" style="406" bestFit="1" customWidth="1"/>
    <col min="9" max="16384" width="9.33203125" style="406"/>
  </cols>
  <sheetData>
    <row r="1" spans="1:8" ht="15.9" customHeight="1" x14ac:dyDescent="0.3">
      <c r="A1" s="1617" t="s">
        <v>39</v>
      </c>
      <c r="B1" s="1618"/>
      <c r="C1" s="1618"/>
      <c r="D1" s="1618"/>
      <c r="E1" s="1618"/>
      <c r="F1" s="1542"/>
      <c r="G1" s="1543"/>
    </row>
    <row r="2" spans="1:8" ht="15.9" customHeight="1" thickBot="1" x14ac:dyDescent="0.35">
      <c r="A2" s="1405" t="s">
        <v>2119</v>
      </c>
      <c r="B2" s="42"/>
      <c r="C2" s="393"/>
      <c r="D2" s="393"/>
      <c r="E2" s="1546"/>
      <c r="F2" s="1544"/>
      <c r="G2" s="1406" t="s">
        <v>1690</v>
      </c>
    </row>
    <row r="3" spans="1:8" ht="15.9" customHeight="1" thickBot="1" x14ac:dyDescent="0.35">
      <c r="A3" s="1624" t="s">
        <v>41</v>
      </c>
      <c r="B3" s="1626" t="s">
        <v>42</v>
      </c>
      <c r="C3" s="1628" t="s">
        <v>1795</v>
      </c>
      <c r="D3" s="1629"/>
      <c r="E3" s="1629"/>
      <c r="F3" s="1629"/>
      <c r="G3" s="1630"/>
    </row>
    <row r="4" spans="1:8" ht="38.1" customHeight="1" thickBot="1" x14ac:dyDescent="0.35">
      <c r="A4" s="1625"/>
      <c r="B4" s="1627"/>
      <c r="C4" s="1538" t="s">
        <v>43</v>
      </c>
      <c r="D4" s="1538" t="s">
        <v>2175</v>
      </c>
      <c r="E4" s="1538" t="s">
        <v>2173</v>
      </c>
      <c r="F4" s="1541" t="s">
        <v>2174</v>
      </c>
      <c r="G4" s="1541" t="s">
        <v>2182</v>
      </c>
    </row>
    <row r="5" spans="1:8" s="407" customFormat="1" ht="12" customHeight="1" thickBot="1" x14ac:dyDescent="0.25">
      <c r="A5" s="372" t="s">
        <v>46</v>
      </c>
      <c r="B5" s="373" t="s">
        <v>47</v>
      </c>
      <c r="C5" s="373" t="s">
        <v>48</v>
      </c>
      <c r="D5" s="373" t="s">
        <v>49</v>
      </c>
      <c r="E5" s="373" t="s">
        <v>50</v>
      </c>
      <c r="F5" s="373" t="s">
        <v>50</v>
      </c>
      <c r="G5" s="373" t="s">
        <v>294</v>
      </c>
    </row>
    <row r="6" spans="1:8" s="408" customFormat="1" ht="12" customHeight="1" thickBot="1" x14ac:dyDescent="0.3">
      <c r="A6" s="367" t="s">
        <v>51</v>
      </c>
      <c r="B6" s="368" t="s">
        <v>52</v>
      </c>
      <c r="C6" s="398">
        <f>SUM(C7:C12)</f>
        <v>0</v>
      </c>
      <c r="D6" s="398">
        <f>SUM(D7:D12)</f>
        <v>0</v>
      </c>
      <c r="E6" s="398">
        <f>SUM(E7:E12)</f>
        <v>0</v>
      </c>
      <c r="F6" s="398">
        <f>SUM(F7:F12)</f>
        <v>0</v>
      </c>
      <c r="G6" s="398">
        <f>SUM(G7:G12)</f>
        <v>0</v>
      </c>
      <c r="H6" s="912">
        <f>G6-F6</f>
        <v>0</v>
      </c>
    </row>
    <row r="7" spans="1:8" s="408" customFormat="1" ht="12" customHeight="1" x14ac:dyDescent="0.25">
      <c r="A7" s="362" t="s">
        <v>53</v>
      </c>
      <c r="B7" s="409" t="s">
        <v>54</v>
      </c>
      <c r="C7" s="400"/>
      <c r="D7" s="400"/>
      <c r="E7" s="400"/>
      <c r="F7" s="400"/>
      <c r="G7" s="400"/>
      <c r="H7" s="912">
        <f t="shared" ref="H7:H70" si="0">G7-F7</f>
        <v>0</v>
      </c>
    </row>
    <row r="8" spans="1:8" s="408" customFormat="1" ht="12" customHeight="1" x14ac:dyDescent="0.25">
      <c r="A8" s="361" t="s">
        <v>55</v>
      </c>
      <c r="B8" s="410" t="s">
        <v>56</v>
      </c>
      <c r="C8" s="399"/>
      <c r="D8" s="399"/>
      <c r="E8" s="399"/>
      <c r="F8" s="399"/>
      <c r="G8" s="399"/>
      <c r="H8" s="912">
        <f t="shared" si="0"/>
        <v>0</v>
      </c>
    </row>
    <row r="9" spans="1:8" s="408" customFormat="1" ht="12" customHeight="1" x14ac:dyDescent="0.25">
      <c r="A9" s="361" t="s">
        <v>57</v>
      </c>
      <c r="B9" s="410" t="s">
        <v>58</v>
      </c>
      <c r="C9" s="399"/>
      <c r="D9" s="399"/>
      <c r="E9" s="399"/>
      <c r="F9" s="399"/>
      <c r="G9" s="399"/>
      <c r="H9" s="912">
        <f t="shared" si="0"/>
        <v>0</v>
      </c>
    </row>
    <row r="10" spans="1:8" s="408" customFormat="1" ht="12" customHeight="1" x14ac:dyDescent="0.25">
      <c r="A10" s="361" t="s">
        <v>59</v>
      </c>
      <c r="B10" s="410" t="s">
        <v>60</v>
      </c>
      <c r="C10" s="399"/>
      <c r="D10" s="399"/>
      <c r="E10" s="399"/>
      <c r="F10" s="399"/>
      <c r="G10" s="399"/>
      <c r="H10" s="912">
        <f t="shared" si="0"/>
        <v>0</v>
      </c>
    </row>
    <row r="11" spans="1:8" s="408" customFormat="1" ht="12" customHeight="1" x14ac:dyDescent="0.25">
      <c r="A11" s="361" t="s">
        <v>61</v>
      </c>
      <c r="B11" s="410" t="s">
        <v>287</v>
      </c>
      <c r="C11" s="399"/>
      <c r="D11" s="399"/>
      <c r="E11" s="399"/>
      <c r="F11" s="399"/>
      <c r="G11" s="399"/>
      <c r="H11" s="912">
        <f t="shared" si="0"/>
        <v>0</v>
      </c>
    </row>
    <row r="12" spans="1:8" s="408" customFormat="1" ht="12" customHeight="1" thickBot="1" x14ac:dyDescent="0.3">
      <c r="A12" s="363" t="s">
        <v>63</v>
      </c>
      <c r="B12" s="411" t="s">
        <v>64</v>
      </c>
      <c r="C12" s="401"/>
      <c r="D12" s="401"/>
      <c r="E12" s="401"/>
      <c r="F12" s="401"/>
      <c r="G12" s="401"/>
      <c r="H12" s="912">
        <f t="shared" si="0"/>
        <v>0</v>
      </c>
    </row>
    <row r="13" spans="1:8" s="408" customFormat="1" ht="12" customHeight="1" thickBot="1" x14ac:dyDescent="0.3">
      <c r="A13" s="367" t="s">
        <v>65</v>
      </c>
      <c r="B13" s="388" t="s">
        <v>66</v>
      </c>
      <c r="C13" s="398">
        <f>SUM(C14:C18)</f>
        <v>0</v>
      </c>
      <c r="D13" s="398">
        <f>SUM(D14:D18)</f>
        <v>0</v>
      </c>
      <c r="E13" s="398">
        <f>SUM(E14:E18)</f>
        <v>0</v>
      </c>
      <c r="F13" s="398">
        <f>SUM(F14:F18)</f>
        <v>0</v>
      </c>
      <c r="G13" s="398">
        <f>SUM(G14:G18)</f>
        <v>0</v>
      </c>
      <c r="H13" s="912">
        <f t="shared" si="0"/>
        <v>0</v>
      </c>
    </row>
    <row r="14" spans="1:8" s="408" customFormat="1" ht="12" customHeight="1" x14ac:dyDescent="0.25">
      <c r="A14" s="362" t="s">
        <v>67</v>
      </c>
      <c r="B14" s="409" t="s">
        <v>68</v>
      </c>
      <c r="C14" s="400"/>
      <c r="D14" s="400"/>
      <c r="E14" s="400"/>
      <c r="F14" s="400"/>
      <c r="G14" s="400"/>
      <c r="H14" s="912">
        <f t="shared" si="0"/>
        <v>0</v>
      </c>
    </row>
    <row r="15" spans="1:8" s="408" customFormat="1" ht="12" customHeight="1" x14ac:dyDescent="0.25">
      <c r="A15" s="361" t="s">
        <v>69</v>
      </c>
      <c r="B15" s="410" t="s">
        <v>70</v>
      </c>
      <c r="C15" s="399"/>
      <c r="D15" s="399"/>
      <c r="E15" s="399"/>
      <c r="F15" s="399"/>
      <c r="G15" s="399"/>
      <c r="H15" s="912">
        <f t="shared" si="0"/>
        <v>0</v>
      </c>
    </row>
    <row r="16" spans="1:8" s="408" customFormat="1" ht="12" customHeight="1" x14ac:dyDescent="0.25">
      <c r="A16" s="361" t="s">
        <v>71</v>
      </c>
      <c r="B16" s="410" t="s">
        <v>72</v>
      </c>
      <c r="C16" s="399"/>
      <c r="D16" s="399"/>
      <c r="E16" s="399"/>
      <c r="F16" s="399"/>
      <c r="G16" s="399"/>
      <c r="H16" s="912">
        <f t="shared" si="0"/>
        <v>0</v>
      </c>
    </row>
    <row r="17" spans="1:8" s="408" customFormat="1" ht="12" customHeight="1" x14ac:dyDescent="0.25">
      <c r="A17" s="361" t="s">
        <v>73</v>
      </c>
      <c r="B17" s="410" t="s">
        <v>74</v>
      </c>
      <c r="C17" s="399"/>
      <c r="D17" s="399"/>
      <c r="E17" s="399"/>
      <c r="F17" s="399"/>
      <c r="G17" s="399"/>
      <c r="H17" s="912">
        <f t="shared" si="0"/>
        <v>0</v>
      </c>
    </row>
    <row r="18" spans="1:8" s="408" customFormat="1" ht="12" customHeight="1" x14ac:dyDescent="0.25">
      <c r="A18" s="361" t="s">
        <v>75</v>
      </c>
      <c r="B18" s="410" t="s">
        <v>76</v>
      </c>
      <c r="C18" s="399"/>
      <c r="D18" s="399"/>
      <c r="E18" s="399"/>
      <c r="F18" s="399"/>
      <c r="G18" s="399"/>
      <c r="H18" s="912">
        <f t="shared" si="0"/>
        <v>0</v>
      </c>
    </row>
    <row r="19" spans="1:8" s="408" customFormat="1" ht="12" customHeight="1" thickBot="1" x14ac:dyDescent="0.3">
      <c r="A19" s="363" t="s">
        <v>77</v>
      </c>
      <c r="B19" s="411" t="s">
        <v>78</v>
      </c>
      <c r="C19" s="401"/>
      <c r="D19" s="401"/>
      <c r="E19" s="401"/>
      <c r="F19" s="401"/>
      <c r="G19" s="401"/>
      <c r="H19" s="912">
        <f t="shared" si="0"/>
        <v>0</v>
      </c>
    </row>
    <row r="20" spans="1:8" s="408" customFormat="1" ht="12" customHeight="1" thickBot="1" x14ac:dyDescent="0.3">
      <c r="A20" s="367" t="s">
        <v>79</v>
      </c>
      <c r="B20" s="368" t="s">
        <v>80</v>
      </c>
      <c r="C20" s="398">
        <f>SUM(C21:C25)</f>
        <v>0</v>
      </c>
      <c r="D20" s="398">
        <f>SUM(D21:D25)</f>
        <v>0</v>
      </c>
      <c r="E20" s="398">
        <f>SUM(E21:E25)</f>
        <v>0</v>
      </c>
      <c r="F20" s="398">
        <f>SUM(F21:F25)</f>
        <v>0</v>
      </c>
      <c r="G20" s="398">
        <f>SUM(G21:G25)</f>
        <v>0</v>
      </c>
      <c r="H20" s="912">
        <f t="shared" si="0"/>
        <v>0</v>
      </c>
    </row>
    <row r="21" spans="1:8" s="408" customFormat="1" ht="12" customHeight="1" x14ac:dyDescent="0.25">
      <c r="A21" s="362" t="s">
        <v>81</v>
      </c>
      <c r="B21" s="409" t="s">
        <v>82</v>
      </c>
      <c r="C21" s="400"/>
      <c r="D21" s="400"/>
      <c r="E21" s="400"/>
      <c r="F21" s="400"/>
      <c r="G21" s="400"/>
      <c r="H21" s="912">
        <f t="shared" si="0"/>
        <v>0</v>
      </c>
    </row>
    <row r="22" spans="1:8" s="408" customFormat="1" ht="12" customHeight="1" x14ac:dyDescent="0.25">
      <c r="A22" s="361" t="s">
        <v>83</v>
      </c>
      <c r="B22" s="410" t="s">
        <v>84</v>
      </c>
      <c r="C22" s="399"/>
      <c r="D22" s="399"/>
      <c r="E22" s="399"/>
      <c r="F22" s="399"/>
      <c r="G22" s="399"/>
      <c r="H22" s="912">
        <f t="shared" si="0"/>
        <v>0</v>
      </c>
    </row>
    <row r="23" spans="1:8" s="408" customFormat="1" ht="12" customHeight="1" x14ac:dyDescent="0.25">
      <c r="A23" s="361" t="s">
        <v>85</v>
      </c>
      <c r="B23" s="410" t="s">
        <v>86</v>
      </c>
      <c r="C23" s="399"/>
      <c r="D23" s="399"/>
      <c r="E23" s="399"/>
      <c r="F23" s="399"/>
      <c r="G23" s="399"/>
      <c r="H23" s="912">
        <f t="shared" si="0"/>
        <v>0</v>
      </c>
    </row>
    <row r="24" spans="1:8" s="408" customFormat="1" ht="12" customHeight="1" x14ac:dyDescent="0.25">
      <c r="A24" s="361" t="s">
        <v>87</v>
      </c>
      <c r="B24" s="410" t="s">
        <v>88</v>
      </c>
      <c r="C24" s="399"/>
      <c r="D24" s="399"/>
      <c r="E24" s="399"/>
      <c r="F24" s="399"/>
      <c r="G24" s="399"/>
      <c r="H24" s="912">
        <f t="shared" si="0"/>
        <v>0</v>
      </c>
    </row>
    <row r="25" spans="1:8" s="408" customFormat="1" ht="12" customHeight="1" x14ac:dyDescent="0.25">
      <c r="A25" s="361" t="s">
        <v>89</v>
      </c>
      <c r="B25" s="410" t="s">
        <v>90</v>
      </c>
      <c r="C25" s="399"/>
      <c r="D25" s="399"/>
      <c r="E25" s="399"/>
      <c r="F25" s="399"/>
      <c r="G25" s="399"/>
      <c r="H25" s="912">
        <f t="shared" si="0"/>
        <v>0</v>
      </c>
    </row>
    <row r="26" spans="1:8" s="408" customFormat="1" ht="12" customHeight="1" thickBot="1" x14ac:dyDescent="0.3">
      <c r="A26" s="363" t="s">
        <v>91</v>
      </c>
      <c r="B26" s="411" t="s">
        <v>92</v>
      </c>
      <c r="C26" s="401"/>
      <c r="D26" s="401"/>
      <c r="E26" s="401"/>
      <c r="F26" s="401"/>
      <c r="G26" s="401"/>
      <c r="H26" s="912">
        <f t="shared" si="0"/>
        <v>0</v>
      </c>
    </row>
    <row r="27" spans="1:8" s="408" customFormat="1" ht="12" customHeight="1" thickBot="1" x14ac:dyDescent="0.3">
      <c r="A27" s="367" t="s">
        <v>93</v>
      </c>
      <c r="B27" s="368" t="s">
        <v>94</v>
      </c>
      <c r="C27" s="404">
        <f>+C28+C31+C32+C33</f>
        <v>0</v>
      </c>
      <c r="D27" s="404">
        <f>+D28+D31+D32+D33</f>
        <v>0</v>
      </c>
      <c r="E27" s="404">
        <f>+E28+E31+E32+E33</f>
        <v>0</v>
      </c>
      <c r="F27" s="404">
        <f>+F28+F31+F32+F33</f>
        <v>0</v>
      </c>
      <c r="G27" s="404">
        <f>+G28+G31+G32+G33</f>
        <v>0</v>
      </c>
      <c r="H27" s="912">
        <f t="shared" si="0"/>
        <v>0</v>
      </c>
    </row>
    <row r="28" spans="1:8" s="408" customFormat="1" ht="12" customHeight="1" x14ac:dyDescent="0.25">
      <c r="A28" s="362" t="s">
        <v>95</v>
      </c>
      <c r="B28" s="409" t="s">
        <v>96</v>
      </c>
      <c r="C28" s="419">
        <f>+C29+C30</f>
        <v>0</v>
      </c>
      <c r="D28" s="419">
        <f>+D29+D30</f>
        <v>0</v>
      </c>
      <c r="E28" s="419">
        <f>+E29+E30</f>
        <v>0</v>
      </c>
      <c r="F28" s="419">
        <f>+F29+F30</f>
        <v>0</v>
      </c>
      <c r="G28" s="419">
        <f>+G29+G30</f>
        <v>0</v>
      </c>
      <c r="H28" s="912">
        <f t="shared" si="0"/>
        <v>0</v>
      </c>
    </row>
    <row r="29" spans="1:8" s="408" customFormat="1" ht="12" customHeight="1" x14ac:dyDescent="0.25">
      <c r="A29" s="361" t="s">
        <v>97</v>
      </c>
      <c r="B29" s="410" t="s">
        <v>98</v>
      </c>
      <c r="C29" s="399"/>
      <c r="D29" s="399"/>
      <c r="E29" s="399"/>
      <c r="F29" s="399"/>
      <c r="G29" s="399"/>
      <c r="H29" s="912">
        <f t="shared" si="0"/>
        <v>0</v>
      </c>
    </row>
    <row r="30" spans="1:8" s="408" customFormat="1" ht="12" customHeight="1" x14ac:dyDescent="0.25">
      <c r="A30" s="361" t="s">
        <v>99</v>
      </c>
      <c r="B30" s="410" t="s">
        <v>100</v>
      </c>
      <c r="C30" s="399"/>
      <c r="D30" s="399"/>
      <c r="E30" s="399"/>
      <c r="F30" s="399"/>
      <c r="G30" s="399"/>
      <c r="H30" s="912">
        <f t="shared" si="0"/>
        <v>0</v>
      </c>
    </row>
    <row r="31" spans="1:8" s="408" customFormat="1" ht="12" customHeight="1" x14ac:dyDescent="0.25">
      <c r="A31" s="361" t="s">
        <v>101</v>
      </c>
      <c r="B31" s="410" t="s">
        <v>102</v>
      </c>
      <c r="C31" s="399"/>
      <c r="D31" s="399"/>
      <c r="E31" s="399"/>
      <c r="F31" s="399"/>
      <c r="G31" s="399"/>
      <c r="H31" s="912">
        <f t="shared" si="0"/>
        <v>0</v>
      </c>
    </row>
    <row r="32" spans="1:8" s="408" customFormat="1" ht="12" customHeight="1" x14ac:dyDescent="0.25">
      <c r="A32" s="361" t="s">
        <v>103</v>
      </c>
      <c r="B32" s="410" t="s">
        <v>104</v>
      </c>
      <c r="C32" s="399"/>
      <c r="D32" s="399"/>
      <c r="E32" s="399"/>
      <c r="F32" s="399"/>
      <c r="G32" s="399"/>
      <c r="H32" s="912">
        <f t="shared" si="0"/>
        <v>0</v>
      </c>
    </row>
    <row r="33" spans="1:8" s="408" customFormat="1" ht="12" customHeight="1" thickBot="1" x14ac:dyDescent="0.3">
      <c r="A33" s="363" t="s">
        <v>105</v>
      </c>
      <c r="B33" s="411" t="s">
        <v>106</v>
      </c>
      <c r="C33" s="401"/>
      <c r="D33" s="401"/>
      <c r="E33" s="401"/>
      <c r="F33" s="401"/>
      <c r="G33" s="401"/>
      <c r="H33" s="912">
        <f t="shared" si="0"/>
        <v>0</v>
      </c>
    </row>
    <row r="34" spans="1:8" s="408" customFormat="1" ht="12" customHeight="1" thickBot="1" x14ac:dyDescent="0.3">
      <c r="A34" s="367" t="s">
        <v>107</v>
      </c>
      <c r="B34" s="368" t="s">
        <v>108</v>
      </c>
      <c r="C34" s="398">
        <f>SUM(C35:C44)</f>
        <v>21320000</v>
      </c>
      <c r="D34" s="398">
        <f>SUM(D35:D44)</f>
        <v>21320000</v>
      </c>
      <c r="E34" s="398">
        <f>SUM(E35:E44)</f>
        <v>25130000</v>
      </c>
      <c r="F34" s="398">
        <f>SUM(F35:F44)</f>
        <v>25130000</v>
      </c>
      <c r="G34" s="398">
        <f>SUM(G35:G44)</f>
        <v>32076991</v>
      </c>
      <c r="H34" s="912">
        <f t="shared" si="0"/>
        <v>6946991</v>
      </c>
    </row>
    <row r="35" spans="1:8" s="408" customFormat="1" ht="12" customHeight="1" x14ac:dyDescent="0.25">
      <c r="A35" s="362" t="s">
        <v>109</v>
      </c>
      <c r="B35" s="409" t="s">
        <v>110</v>
      </c>
      <c r="C35" s="400"/>
      <c r="D35" s="400"/>
      <c r="E35" s="400"/>
      <c r="F35" s="400"/>
      <c r="G35" s="400"/>
      <c r="H35" s="912">
        <f t="shared" si="0"/>
        <v>0</v>
      </c>
    </row>
    <row r="36" spans="1:8" s="408" customFormat="1" ht="12" customHeight="1" x14ac:dyDescent="0.25">
      <c r="A36" s="361" t="s">
        <v>111</v>
      </c>
      <c r="B36" s="410" t="s">
        <v>112</v>
      </c>
      <c r="C36" s="399">
        <v>1000000</v>
      </c>
      <c r="D36" s="399">
        <v>1000000</v>
      </c>
      <c r="E36" s="399">
        <v>1000000</v>
      </c>
      <c r="F36" s="399">
        <v>1000000</v>
      </c>
      <c r="G36" s="399">
        <v>1112494</v>
      </c>
      <c r="H36" s="912">
        <f t="shared" si="0"/>
        <v>112494</v>
      </c>
    </row>
    <row r="37" spans="1:8" s="408" customFormat="1" ht="12" customHeight="1" x14ac:dyDescent="0.25">
      <c r="A37" s="361" t="s">
        <v>113</v>
      </c>
      <c r="B37" s="410" t="s">
        <v>114</v>
      </c>
      <c r="C37" s="399"/>
      <c r="D37" s="399"/>
      <c r="E37" s="399"/>
      <c r="F37" s="399"/>
      <c r="G37" s="399">
        <v>29555</v>
      </c>
      <c r="H37" s="912">
        <f t="shared" si="0"/>
        <v>29555</v>
      </c>
    </row>
    <row r="38" spans="1:8" s="408" customFormat="1" ht="12" customHeight="1" x14ac:dyDescent="0.25">
      <c r="A38" s="361" t="s">
        <v>115</v>
      </c>
      <c r="B38" s="410" t="s">
        <v>116</v>
      </c>
      <c r="C38" s="399"/>
      <c r="D38" s="399"/>
      <c r="E38" s="399"/>
      <c r="F38" s="399"/>
      <c r="G38" s="399"/>
      <c r="H38" s="912">
        <f t="shared" si="0"/>
        <v>0</v>
      </c>
    </row>
    <row r="39" spans="1:8" s="408" customFormat="1" ht="12" customHeight="1" x14ac:dyDescent="0.25">
      <c r="A39" s="361" t="s">
        <v>117</v>
      </c>
      <c r="B39" s="410" t="s">
        <v>118</v>
      </c>
      <c r="C39" s="399">
        <v>16000000</v>
      </c>
      <c r="D39" s="399">
        <v>16000000</v>
      </c>
      <c r="E39" s="399">
        <f>D39+3000000</f>
        <v>19000000</v>
      </c>
      <c r="F39" s="399">
        <f>E39</f>
        <v>19000000</v>
      </c>
      <c r="G39" s="399">
        <v>25804942</v>
      </c>
      <c r="H39" s="912">
        <f t="shared" si="0"/>
        <v>6804942</v>
      </c>
    </row>
    <row r="40" spans="1:8" s="408" customFormat="1" ht="12" customHeight="1" x14ac:dyDescent="0.25">
      <c r="A40" s="361" t="s">
        <v>119</v>
      </c>
      <c r="B40" s="410" t="s">
        <v>120</v>
      </c>
      <c r="C40" s="399">
        <v>4320000</v>
      </c>
      <c r="D40" s="399">
        <v>4320000</v>
      </c>
      <c r="E40" s="399">
        <f>D40+810000</f>
        <v>5130000</v>
      </c>
      <c r="F40" s="399">
        <f>E40</f>
        <v>5130000</v>
      </c>
      <c r="G40" s="399">
        <f>F40</f>
        <v>5130000</v>
      </c>
      <c r="H40" s="912">
        <f t="shared" si="0"/>
        <v>0</v>
      </c>
    </row>
    <row r="41" spans="1:8" s="408" customFormat="1" ht="12" customHeight="1" x14ac:dyDescent="0.25">
      <c r="A41" s="361" t="s">
        <v>121</v>
      </c>
      <c r="B41" s="410" t="s">
        <v>122</v>
      </c>
      <c r="C41" s="399"/>
      <c r="D41" s="399"/>
      <c r="E41" s="399"/>
      <c r="F41" s="399"/>
      <c r="G41" s="399"/>
      <c r="H41" s="912">
        <f t="shared" si="0"/>
        <v>0</v>
      </c>
    </row>
    <row r="42" spans="1:8" s="408" customFormat="1" ht="12" customHeight="1" x14ac:dyDescent="0.25">
      <c r="A42" s="361" t="s">
        <v>123</v>
      </c>
      <c r="B42" s="410" t="s">
        <v>124</v>
      </c>
      <c r="C42" s="399"/>
      <c r="D42" s="399"/>
      <c r="E42" s="399"/>
      <c r="F42" s="399"/>
      <c r="G42" s="399"/>
      <c r="H42" s="912">
        <f t="shared" si="0"/>
        <v>0</v>
      </c>
    </row>
    <row r="43" spans="1:8" s="408" customFormat="1" ht="12" customHeight="1" x14ac:dyDescent="0.25">
      <c r="A43" s="361" t="s">
        <v>125</v>
      </c>
      <c r="B43" s="410" t="s">
        <v>126</v>
      </c>
      <c r="C43" s="402"/>
      <c r="D43" s="402"/>
      <c r="E43" s="402"/>
      <c r="F43" s="402"/>
      <c r="G43" s="402"/>
      <c r="H43" s="912">
        <f t="shared" si="0"/>
        <v>0</v>
      </c>
    </row>
    <row r="44" spans="1:8" s="408" customFormat="1" ht="12" customHeight="1" thickBot="1" x14ac:dyDescent="0.3">
      <c r="A44" s="363" t="s">
        <v>127</v>
      </c>
      <c r="B44" s="411" t="s">
        <v>128</v>
      </c>
      <c r="C44" s="403"/>
      <c r="D44" s="403"/>
      <c r="E44" s="403"/>
      <c r="F44" s="403"/>
      <c r="G44" s="403"/>
      <c r="H44" s="912">
        <f t="shared" si="0"/>
        <v>0</v>
      </c>
    </row>
    <row r="45" spans="1:8" s="408" customFormat="1" ht="12" customHeight="1" thickBot="1" x14ac:dyDescent="0.3">
      <c r="A45" s="367" t="s">
        <v>129</v>
      </c>
      <c r="B45" s="368" t="s">
        <v>130</v>
      </c>
      <c r="C45" s="398">
        <f>SUM(C46:C50)</f>
        <v>0</v>
      </c>
      <c r="D45" s="398">
        <f>SUM(D46:D50)</f>
        <v>0</v>
      </c>
      <c r="E45" s="398">
        <f>SUM(E46:E50)</f>
        <v>0</v>
      </c>
      <c r="F45" s="398">
        <f>SUM(F46:F50)</f>
        <v>0</v>
      </c>
      <c r="G45" s="398">
        <f>SUM(G46:G50)</f>
        <v>0</v>
      </c>
      <c r="H45" s="912">
        <f t="shared" si="0"/>
        <v>0</v>
      </c>
    </row>
    <row r="46" spans="1:8" s="408" customFormat="1" ht="12" customHeight="1" x14ac:dyDescent="0.25">
      <c r="A46" s="362" t="s">
        <v>131</v>
      </c>
      <c r="B46" s="409" t="s">
        <v>132</v>
      </c>
      <c r="C46" s="421"/>
      <c r="D46" s="421"/>
      <c r="E46" s="421"/>
      <c r="F46" s="421"/>
      <c r="G46" s="421"/>
      <c r="H46" s="912">
        <f t="shared" si="0"/>
        <v>0</v>
      </c>
    </row>
    <row r="47" spans="1:8" s="408" customFormat="1" ht="12" customHeight="1" x14ac:dyDescent="0.25">
      <c r="A47" s="361" t="s">
        <v>133</v>
      </c>
      <c r="B47" s="410" t="s">
        <v>134</v>
      </c>
      <c r="C47" s="402"/>
      <c r="D47" s="402"/>
      <c r="E47" s="402"/>
      <c r="F47" s="402"/>
      <c r="G47" s="402"/>
      <c r="H47" s="912">
        <f t="shared" si="0"/>
        <v>0</v>
      </c>
    </row>
    <row r="48" spans="1:8" s="408" customFormat="1" ht="12" customHeight="1" x14ac:dyDescent="0.25">
      <c r="A48" s="361" t="s">
        <v>135</v>
      </c>
      <c r="B48" s="410" t="s">
        <v>136</v>
      </c>
      <c r="C48" s="402"/>
      <c r="D48" s="402"/>
      <c r="E48" s="402"/>
      <c r="F48" s="402"/>
      <c r="G48" s="402"/>
      <c r="H48" s="912">
        <f t="shared" si="0"/>
        <v>0</v>
      </c>
    </row>
    <row r="49" spans="1:8" s="408" customFormat="1" ht="12" customHeight="1" x14ac:dyDescent="0.25">
      <c r="A49" s="361" t="s">
        <v>137</v>
      </c>
      <c r="B49" s="410" t="s">
        <v>138</v>
      </c>
      <c r="C49" s="402"/>
      <c r="D49" s="402"/>
      <c r="E49" s="402"/>
      <c r="F49" s="402"/>
      <c r="G49" s="402"/>
      <c r="H49" s="912">
        <f t="shared" si="0"/>
        <v>0</v>
      </c>
    </row>
    <row r="50" spans="1:8" s="408" customFormat="1" ht="12" customHeight="1" thickBot="1" x14ac:dyDescent="0.3">
      <c r="A50" s="363" t="s">
        <v>139</v>
      </c>
      <c r="B50" s="411" t="s">
        <v>140</v>
      </c>
      <c r="C50" s="403"/>
      <c r="D50" s="403"/>
      <c r="E50" s="403"/>
      <c r="F50" s="403"/>
      <c r="G50" s="403"/>
      <c r="H50" s="912">
        <f t="shared" si="0"/>
        <v>0</v>
      </c>
    </row>
    <row r="51" spans="1:8" s="408" customFormat="1" ht="17.25" customHeight="1" thickBot="1" x14ac:dyDescent="0.3">
      <c r="A51" s="367" t="s">
        <v>141</v>
      </c>
      <c r="B51" s="368" t="s">
        <v>142</v>
      </c>
      <c r="C51" s="398">
        <f>SUM(C52:C54)</f>
        <v>0</v>
      </c>
      <c r="D51" s="398">
        <f>SUM(D52:D54)</f>
        <v>0</v>
      </c>
      <c r="E51" s="398">
        <f>SUM(E52:E54)</f>
        <v>0</v>
      </c>
      <c r="F51" s="398">
        <f>SUM(F52:F54)</f>
        <v>0</v>
      </c>
      <c r="G51" s="398">
        <f>SUM(G52:G54)</f>
        <v>0</v>
      </c>
      <c r="H51" s="912">
        <f t="shared" si="0"/>
        <v>0</v>
      </c>
    </row>
    <row r="52" spans="1:8" s="408" customFormat="1" ht="12" customHeight="1" x14ac:dyDescent="0.25">
      <c r="A52" s="362" t="s">
        <v>143</v>
      </c>
      <c r="B52" s="409" t="s">
        <v>144</v>
      </c>
      <c r="C52" s="400"/>
      <c r="D52" s="400"/>
      <c r="E52" s="400"/>
      <c r="F52" s="400"/>
      <c r="G52" s="400"/>
      <c r="H52" s="912">
        <f t="shared" si="0"/>
        <v>0</v>
      </c>
    </row>
    <row r="53" spans="1:8" s="408" customFormat="1" ht="12" customHeight="1" x14ac:dyDescent="0.25">
      <c r="A53" s="361" t="s">
        <v>145</v>
      </c>
      <c r="B53" s="410" t="s">
        <v>72</v>
      </c>
      <c r="C53" s="399"/>
      <c r="D53" s="399"/>
      <c r="E53" s="399"/>
      <c r="F53" s="399"/>
      <c r="G53" s="399"/>
      <c r="H53" s="912">
        <f t="shared" si="0"/>
        <v>0</v>
      </c>
    </row>
    <row r="54" spans="1:8" s="408" customFormat="1" ht="12" customHeight="1" x14ac:dyDescent="0.25">
      <c r="A54" s="361" t="s">
        <v>147</v>
      </c>
      <c r="B54" s="410" t="s">
        <v>148</v>
      </c>
      <c r="C54" s="399"/>
      <c r="D54" s="399"/>
      <c r="E54" s="399"/>
      <c r="F54" s="399"/>
      <c r="G54" s="399"/>
      <c r="H54" s="912">
        <f t="shared" si="0"/>
        <v>0</v>
      </c>
    </row>
    <row r="55" spans="1:8" s="408" customFormat="1" ht="12" customHeight="1" thickBot="1" x14ac:dyDescent="0.3">
      <c r="A55" s="363" t="s">
        <v>149</v>
      </c>
      <c r="B55" s="411" t="s">
        <v>150</v>
      </c>
      <c r="C55" s="401"/>
      <c r="D55" s="401"/>
      <c r="E55" s="401"/>
      <c r="F55" s="401"/>
      <c r="G55" s="401"/>
      <c r="H55" s="912">
        <f t="shared" si="0"/>
        <v>0</v>
      </c>
    </row>
    <row r="56" spans="1:8" s="408" customFormat="1" ht="12" customHeight="1" thickBot="1" x14ac:dyDescent="0.3">
      <c r="A56" s="367" t="s">
        <v>151</v>
      </c>
      <c r="B56" s="388" t="s">
        <v>152</v>
      </c>
      <c r="C56" s="398">
        <f>SUM(C57:C59)</f>
        <v>0</v>
      </c>
      <c r="D56" s="398">
        <f>SUM(D57:D59)</f>
        <v>0</v>
      </c>
      <c r="E56" s="398">
        <f>SUM(E57:E59)</f>
        <v>0</v>
      </c>
      <c r="F56" s="398">
        <f>SUM(F57:F59)</f>
        <v>0</v>
      </c>
      <c r="G56" s="398">
        <f>SUM(G57:G59)</f>
        <v>0</v>
      </c>
      <c r="H56" s="912">
        <f t="shared" si="0"/>
        <v>0</v>
      </c>
    </row>
    <row r="57" spans="1:8" s="408" customFormat="1" ht="12" customHeight="1" x14ac:dyDescent="0.25">
      <c r="A57" s="362" t="s">
        <v>153</v>
      </c>
      <c r="B57" s="409" t="s">
        <v>154</v>
      </c>
      <c r="C57" s="402"/>
      <c r="D57" s="402"/>
      <c r="E57" s="402"/>
      <c r="F57" s="402"/>
      <c r="G57" s="402"/>
      <c r="H57" s="912">
        <f t="shared" si="0"/>
        <v>0</v>
      </c>
    </row>
    <row r="58" spans="1:8" s="408" customFormat="1" ht="12" customHeight="1" x14ac:dyDescent="0.25">
      <c r="A58" s="361" t="s">
        <v>155</v>
      </c>
      <c r="B58" s="410" t="s">
        <v>156</v>
      </c>
      <c r="C58" s="402"/>
      <c r="D58" s="402"/>
      <c r="E58" s="402"/>
      <c r="F58" s="402"/>
      <c r="G58" s="402"/>
      <c r="H58" s="912">
        <f t="shared" si="0"/>
        <v>0</v>
      </c>
    </row>
    <row r="59" spans="1:8" s="408" customFormat="1" ht="12" customHeight="1" x14ac:dyDescent="0.25">
      <c r="A59" s="361" t="s">
        <v>157</v>
      </c>
      <c r="B59" s="410" t="s">
        <v>158</v>
      </c>
      <c r="C59" s="402"/>
      <c r="D59" s="402"/>
      <c r="E59" s="402"/>
      <c r="F59" s="402"/>
      <c r="G59" s="402"/>
      <c r="H59" s="912">
        <f t="shared" si="0"/>
        <v>0</v>
      </c>
    </row>
    <row r="60" spans="1:8" s="408" customFormat="1" ht="12" customHeight="1" thickBot="1" x14ac:dyDescent="0.3">
      <c r="A60" s="363" t="s">
        <v>159</v>
      </c>
      <c r="B60" s="411" t="s">
        <v>160</v>
      </c>
      <c r="C60" s="402"/>
      <c r="D60" s="402"/>
      <c r="E60" s="402"/>
      <c r="F60" s="402"/>
      <c r="G60" s="402"/>
      <c r="H60" s="912">
        <f t="shared" si="0"/>
        <v>0</v>
      </c>
    </row>
    <row r="61" spans="1:8" s="408" customFormat="1" ht="12" customHeight="1" thickBot="1" x14ac:dyDescent="0.3">
      <c r="A61" s="367" t="s">
        <v>161</v>
      </c>
      <c r="B61" s="368" t="s">
        <v>162</v>
      </c>
      <c r="C61" s="404">
        <f>+C6+C13+C20+C27+C34+C45+C51+C56</f>
        <v>21320000</v>
      </c>
      <c r="D61" s="404">
        <f>+D6+D13+D20+D27+D34+D45+D51+D56</f>
        <v>21320000</v>
      </c>
      <c r="E61" s="404">
        <f>+E6+E13+E20+E27+E34+E45+E51+E56</f>
        <v>25130000</v>
      </c>
      <c r="F61" s="404">
        <f>+F6+F13+F20+F27+F34+F45+F51+F56</f>
        <v>25130000</v>
      </c>
      <c r="G61" s="404">
        <f>+G6+G13+G20+G27+G34+G45+G51+G56</f>
        <v>32076991</v>
      </c>
      <c r="H61" s="912">
        <f t="shared" si="0"/>
        <v>6946991</v>
      </c>
    </row>
    <row r="62" spans="1:8" s="408" customFormat="1" ht="12" customHeight="1" thickBot="1" x14ac:dyDescent="0.3">
      <c r="A62" s="422" t="s">
        <v>163</v>
      </c>
      <c r="B62" s="388" t="s">
        <v>164</v>
      </c>
      <c r="C62" s="398">
        <f>+C63+C64+C65</f>
        <v>0</v>
      </c>
      <c r="D62" s="398">
        <f>+D63+D64+D65</f>
        <v>0</v>
      </c>
      <c r="E62" s="398">
        <f>+E63+E64+E65</f>
        <v>0</v>
      </c>
      <c r="F62" s="398">
        <f>+F63+F64+F65</f>
        <v>0</v>
      </c>
      <c r="G62" s="398">
        <f>+G63+G64+G65</f>
        <v>0</v>
      </c>
      <c r="H62" s="912">
        <f t="shared" si="0"/>
        <v>0</v>
      </c>
    </row>
    <row r="63" spans="1:8" s="408" customFormat="1" ht="12" customHeight="1" x14ac:dyDescent="0.25">
      <c r="A63" s="362" t="s">
        <v>165</v>
      </c>
      <c r="B63" s="409" t="s">
        <v>166</v>
      </c>
      <c r="C63" s="402"/>
      <c r="D63" s="402"/>
      <c r="E63" s="402"/>
      <c r="F63" s="402"/>
      <c r="G63" s="402"/>
      <c r="H63" s="912">
        <f t="shared" si="0"/>
        <v>0</v>
      </c>
    </row>
    <row r="64" spans="1:8" s="408" customFormat="1" ht="12" customHeight="1" x14ac:dyDescent="0.25">
      <c r="A64" s="361" t="s">
        <v>167</v>
      </c>
      <c r="B64" s="410" t="s">
        <v>168</v>
      </c>
      <c r="C64" s="402"/>
      <c r="D64" s="402"/>
      <c r="E64" s="402"/>
      <c r="F64" s="402"/>
      <c r="G64" s="402"/>
      <c r="H64" s="912">
        <f t="shared" si="0"/>
        <v>0</v>
      </c>
    </row>
    <row r="65" spans="1:8" s="408" customFormat="1" ht="12" customHeight="1" thickBot="1" x14ac:dyDescent="0.3">
      <c r="A65" s="363" t="s">
        <v>169</v>
      </c>
      <c r="B65" s="347" t="s">
        <v>170</v>
      </c>
      <c r="C65" s="402"/>
      <c r="D65" s="402"/>
      <c r="E65" s="402"/>
      <c r="F65" s="402"/>
      <c r="G65" s="402"/>
      <c r="H65" s="912">
        <f t="shared" si="0"/>
        <v>0</v>
      </c>
    </row>
    <row r="66" spans="1:8" s="408" customFormat="1" ht="12" customHeight="1" thickBot="1" x14ac:dyDescent="0.3">
      <c r="A66" s="422" t="s">
        <v>171</v>
      </c>
      <c r="B66" s="388" t="s">
        <v>172</v>
      </c>
      <c r="C66" s="398">
        <f>+C67+C68+C69+C70</f>
        <v>0</v>
      </c>
      <c r="D66" s="398">
        <f>+D67+D68+D69+D70</f>
        <v>0</v>
      </c>
      <c r="E66" s="398">
        <f>+E67+E68+E69+E70</f>
        <v>0</v>
      </c>
      <c r="F66" s="398">
        <f>+F67+F68+F69+F70</f>
        <v>0</v>
      </c>
      <c r="G66" s="398">
        <f>+G67+G68+G69+G70</f>
        <v>0</v>
      </c>
      <c r="H66" s="912">
        <f t="shared" si="0"/>
        <v>0</v>
      </c>
    </row>
    <row r="67" spans="1:8" s="408" customFormat="1" ht="13.5" customHeight="1" x14ac:dyDescent="0.25">
      <c r="A67" s="362" t="s">
        <v>173</v>
      </c>
      <c r="B67" s="409" t="s">
        <v>174</v>
      </c>
      <c r="C67" s="402"/>
      <c r="D67" s="402"/>
      <c r="E67" s="402"/>
      <c r="F67" s="402"/>
      <c r="G67" s="402"/>
      <c r="H67" s="912">
        <f t="shared" si="0"/>
        <v>0</v>
      </c>
    </row>
    <row r="68" spans="1:8" s="408" customFormat="1" ht="12" customHeight="1" x14ac:dyDescent="0.25">
      <c r="A68" s="361" t="s">
        <v>175</v>
      </c>
      <c r="B68" s="410" t="s">
        <v>176</v>
      </c>
      <c r="C68" s="402"/>
      <c r="D68" s="402"/>
      <c r="E68" s="402"/>
      <c r="F68" s="402"/>
      <c r="G68" s="402"/>
      <c r="H68" s="912">
        <f t="shared" si="0"/>
        <v>0</v>
      </c>
    </row>
    <row r="69" spans="1:8" s="408" customFormat="1" ht="12" customHeight="1" x14ac:dyDescent="0.25">
      <c r="A69" s="361" t="s">
        <v>177</v>
      </c>
      <c r="B69" s="410" t="s">
        <v>178</v>
      </c>
      <c r="C69" s="402"/>
      <c r="D69" s="402"/>
      <c r="E69" s="402"/>
      <c r="F69" s="402"/>
      <c r="G69" s="402"/>
      <c r="H69" s="912">
        <f t="shared" si="0"/>
        <v>0</v>
      </c>
    </row>
    <row r="70" spans="1:8" s="408" customFormat="1" ht="12" customHeight="1" thickBot="1" x14ac:dyDescent="0.3">
      <c r="A70" s="363" t="s">
        <v>179</v>
      </c>
      <c r="B70" s="411" t="s">
        <v>180</v>
      </c>
      <c r="C70" s="402"/>
      <c r="D70" s="402"/>
      <c r="E70" s="402"/>
      <c r="F70" s="402"/>
      <c r="G70" s="402"/>
      <c r="H70" s="912">
        <f t="shared" si="0"/>
        <v>0</v>
      </c>
    </row>
    <row r="71" spans="1:8" s="408" customFormat="1" ht="12" customHeight="1" thickBot="1" x14ac:dyDescent="0.3">
      <c r="A71" s="422" t="s">
        <v>181</v>
      </c>
      <c r="B71" s="388" t="s">
        <v>182</v>
      </c>
      <c r="C71" s="398">
        <f>+C72+C73</f>
        <v>0</v>
      </c>
      <c r="D71" s="398">
        <f>+D72+D73</f>
        <v>0</v>
      </c>
      <c r="E71" s="398">
        <f>+E72+E73</f>
        <v>0</v>
      </c>
      <c r="F71" s="398">
        <f>+F72+F73</f>
        <v>0</v>
      </c>
      <c r="G71" s="398">
        <f>+G72+G73</f>
        <v>0</v>
      </c>
      <c r="H71" s="912">
        <f t="shared" ref="H71:H134" si="1">G71-F71</f>
        <v>0</v>
      </c>
    </row>
    <row r="72" spans="1:8" s="408" customFormat="1" ht="12" customHeight="1" x14ac:dyDescent="0.25">
      <c r="A72" s="362" t="s">
        <v>183</v>
      </c>
      <c r="B72" s="409" t="s">
        <v>184</v>
      </c>
      <c r="C72" s="402"/>
      <c r="D72" s="402"/>
      <c r="E72" s="402"/>
      <c r="F72" s="402"/>
      <c r="G72" s="402"/>
      <c r="H72" s="912">
        <f t="shared" si="1"/>
        <v>0</v>
      </c>
    </row>
    <row r="73" spans="1:8" s="408" customFormat="1" ht="12" customHeight="1" thickBot="1" x14ac:dyDescent="0.3">
      <c r="A73" s="363" t="s">
        <v>185</v>
      </c>
      <c r="B73" s="411" t="s">
        <v>186</v>
      </c>
      <c r="C73" s="402"/>
      <c r="D73" s="402"/>
      <c r="E73" s="402"/>
      <c r="F73" s="402"/>
      <c r="G73" s="402"/>
      <c r="H73" s="912">
        <f t="shared" si="1"/>
        <v>0</v>
      </c>
    </row>
    <row r="74" spans="1:8" s="408" customFormat="1" ht="12" customHeight="1" thickBot="1" x14ac:dyDescent="0.3">
      <c r="A74" s="422" t="s">
        <v>187</v>
      </c>
      <c r="B74" s="388" t="s">
        <v>188</v>
      </c>
      <c r="C74" s="398">
        <f>+C75+C76+C77</f>
        <v>389354335</v>
      </c>
      <c r="D74" s="398">
        <f>+D75+D76+D77</f>
        <v>384354335</v>
      </c>
      <c r="E74" s="398">
        <f>+E75+E76+E77</f>
        <v>392927335</v>
      </c>
      <c r="F74" s="398">
        <f>+F75+F76+F77</f>
        <v>392927335</v>
      </c>
      <c r="G74" s="398">
        <f>+G75+G76+G77</f>
        <v>392927335</v>
      </c>
      <c r="H74" s="912">
        <f t="shared" si="1"/>
        <v>0</v>
      </c>
    </row>
    <row r="75" spans="1:8" s="408" customFormat="1" ht="12" customHeight="1" x14ac:dyDescent="0.25">
      <c r="A75" s="362" t="s">
        <v>189</v>
      </c>
      <c r="B75" s="409" t="s">
        <v>190</v>
      </c>
      <c r="C75" s="402"/>
      <c r="D75" s="402"/>
      <c r="E75" s="402"/>
      <c r="F75" s="402"/>
      <c r="G75" s="402"/>
      <c r="H75" s="912">
        <f t="shared" si="1"/>
        <v>0</v>
      </c>
    </row>
    <row r="76" spans="1:8" s="408" customFormat="1" ht="12" customHeight="1" x14ac:dyDescent="0.25">
      <c r="A76" s="361" t="s">
        <v>191</v>
      </c>
      <c r="B76" s="410" t="s">
        <v>192</v>
      </c>
      <c r="C76" s="402"/>
      <c r="D76" s="402"/>
      <c r="E76" s="402"/>
      <c r="F76" s="402"/>
      <c r="G76" s="402"/>
      <c r="H76" s="912">
        <f t="shared" si="1"/>
        <v>0</v>
      </c>
    </row>
    <row r="77" spans="1:8" s="408" customFormat="1" ht="12" customHeight="1" thickBot="1" x14ac:dyDescent="0.3">
      <c r="A77" s="363" t="s">
        <v>193</v>
      </c>
      <c r="B77" s="390" t="s">
        <v>1793</v>
      </c>
      <c r="C77" s="402">
        <v>389354335</v>
      </c>
      <c r="D77" s="402">
        <f>389354335-5000000</f>
        <v>384354335</v>
      </c>
      <c r="E77" s="402">
        <f>D77+6073000+2500000</f>
        <v>392927335</v>
      </c>
      <c r="F77" s="402">
        <f>E77</f>
        <v>392927335</v>
      </c>
      <c r="G77" s="402">
        <f>F77</f>
        <v>392927335</v>
      </c>
      <c r="H77" s="912">
        <f t="shared" si="1"/>
        <v>0</v>
      </c>
    </row>
    <row r="78" spans="1:8" s="408" customFormat="1" ht="12" customHeight="1" thickBot="1" x14ac:dyDescent="0.3">
      <c r="A78" s="422" t="s">
        <v>195</v>
      </c>
      <c r="B78" s="388" t="s">
        <v>196</v>
      </c>
      <c r="C78" s="398">
        <f>+C79+C80+C81+C82</f>
        <v>0</v>
      </c>
      <c r="D78" s="398">
        <f>+D79+D80+D81+D82</f>
        <v>0</v>
      </c>
      <c r="E78" s="398">
        <f>+E79+E80+E81+E82</f>
        <v>0</v>
      </c>
      <c r="F78" s="398">
        <f>+F79+F80+F81+F82</f>
        <v>0</v>
      </c>
      <c r="G78" s="398">
        <f>+G79+G80+G81+G82</f>
        <v>0</v>
      </c>
      <c r="H78" s="912">
        <f t="shared" si="1"/>
        <v>0</v>
      </c>
    </row>
    <row r="79" spans="1:8" s="408" customFormat="1" ht="12" customHeight="1" x14ac:dyDescent="0.25">
      <c r="A79" s="412" t="s">
        <v>197</v>
      </c>
      <c r="B79" s="409" t="s">
        <v>198</v>
      </c>
      <c r="C79" s="402"/>
      <c r="D79" s="402"/>
      <c r="E79" s="402"/>
      <c r="F79" s="402"/>
      <c r="G79" s="402"/>
      <c r="H79" s="912">
        <f t="shared" si="1"/>
        <v>0</v>
      </c>
    </row>
    <row r="80" spans="1:8" s="408" customFormat="1" ht="12" customHeight="1" x14ac:dyDescent="0.25">
      <c r="A80" s="413" t="s">
        <v>199</v>
      </c>
      <c r="B80" s="410" t="s">
        <v>200</v>
      </c>
      <c r="C80" s="402"/>
      <c r="D80" s="402"/>
      <c r="E80" s="402"/>
      <c r="F80" s="402"/>
      <c r="G80" s="402"/>
      <c r="H80" s="912">
        <f t="shared" si="1"/>
        <v>0</v>
      </c>
    </row>
    <row r="81" spans="1:8" s="408" customFormat="1" ht="12" customHeight="1" x14ac:dyDescent="0.25">
      <c r="A81" s="413" t="s">
        <v>201</v>
      </c>
      <c r="B81" s="410" t="s">
        <v>202</v>
      </c>
      <c r="C81" s="402"/>
      <c r="D81" s="402"/>
      <c r="E81" s="402"/>
      <c r="F81" s="402"/>
      <c r="G81" s="402"/>
      <c r="H81" s="912">
        <f t="shared" si="1"/>
        <v>0</v>
      </c>
    </row>
    <row r="82" spans="1:8" s="408" customFormat="1" ht="12" customHeight="1" thickBot="1" x14ac:dyDescent="0.3">
      <c r="A82" s="423" t="s">
        <v>203</v>
      </c>
      <c r="B82" s="390" t="s">
        <v>204</v>
      </c>
      <c r="C82" s="402"/>
      <c r="D82" s="402"/>
      <c r="E82" s="402"/>
      <c r="F82" s="402"/>
      <c r="G82" s="402"/>
      <c r="H82" s="912">
        <f t="shared" si="1"/>
        <v>0</v>
      </c>
    </row>
    <row r="83" spans="1:8" s="408" customFormat="1" ht="12" customHeight="1" thickBot="1" x14ac:dyDescent="0.3">
      <c r="A83" s="422" t="s">
        <v>205</v>
      </c>
      <c r="B83" s="388" t="s">
        <v>206</v>
      </c>
      <c r="C83" s="425"/>
      <c r="D83" s="425"/>
      <c r="E83" s="425"/>
      <c r="F83" s="425"/>
      <c r="G83" s="425"/>
      <c r="H83" s="912">
        <f t="shared" si="1"/>
        <v>0</v>
      </c>
    </row>
    <row r="84" spans="1:8" s="408" customFormat="1" ht="12" customHeight="1" thickBot="1" x14ac:dyDescent="0.3">
      <c r="A84" s="422" t="s">
        <v>207</v>
      </c>
      <c r="B84" s="345" t="s">
        <v>208</v>
      </c>
      <c r="C84" s="404">
        <f>+C62+C66+C71+C74+C78+C83</f>
        <v>389354335</v>
      </c>
      <c r="D84" s="404">
        <f>+D62+D66+D71+D74+D78+D83</f>
        <v>384354335</v>
      </c>
      <c r="E84" s="404">
        <f>+E62+E66+E71+E74+E78+E83</f>
        <v>392927335</v>
      </c>
      <c r="F84" s="404">
        <f>+F62+F66+F71+F74+F78+F83</f>
        <v>392927335</v>
      </c>
      <c r="G84" s="404">
        <f>+G62+G66+G71+G74+G78+G83</f>
        <v>392927335</v>
      </c>
      <c r="H84" s="912">
        <f t="shared" si="1"/>
        <v>0</v>
      </c>
    </row>
    <row r="85" spans="1:8" s="408" customFormat="1" ht="12" customHeight="1" thickBot="1" x14ac:dyDescent="0.3">
      <c r="A85" s="424" t="s">
        <v>209</v>
      </c>
      <c r="B85" s="348" t="s">
        <v>210</v>
      </c>
      <c r="C85" s="404">
        <f>+C61+C84</f>
        <v>410674335</v>
      </c>
      <c r="D85" s="404">
        <f>+D61+D84</f>
        <v>405674335</v>
      </c>
      <c r="E85" s="404">
        <f>+E61+E84</f>
        <v>418057335</v>
      </c>
      <c r="F85" s="404">
        <f>+F61+F84</f>
        <v>418057335</v>
      </c>
      <c r="G85" s="404">
        <f>+G61+G84</f>
        <v>425004326</v>
      </c>
      <c r="H85" s="912">
        <f t="shared" si="1"/>
        <v>6946991</v>
      </c>
    </row>
    <row r="86" spans="1:8" s="408" customFormat="1" ht="12" customHeight="1" x14ac:dyDescent="0.25">
      <c r="A86" s="343"/>
      <c r="B86" s="343"/>
      <c r="C86" s="344"/>
      <c r="D86" s="344"/>
      <c r="E86" s="344"/>
      <c r="H86" s="912">
        <f t="shared" si="1"/>
        <v>0</v>
      </c>
    </row>
    <row r="87" spans="1:8" s="408" customFormat="1" ht="12" customHeight="1" x14ac:dyDescent="0.25">
      <c r="A87" s="343"/>
      <c r="B87" s="343"/>
      <c r="C87" s="344"/>
      <c r="D87" s="344"/>
      <c r="E87" s="344"/>
      <c r="H87" s="912">
        <f t="shared" si="1"/>
        <v>0</v>
      </c>
    </row>
    <row r="88" spans="1:8" ht="16.5" customHeight="1" x14ac:dyDescent="0.3">
      <c r="A88" s="1637" t="s">
        <v>211</v>
      </c>
      <c r="B88" s="1637"/>
      <c r="C88" s="1637"/>
      <c r="D88" s="1637"/>
      <c r="E88" s="1637"/>
      <c r="H88" s="912">
        <f t="shared" si="1"/>
        <v>0</v>
      </c>
    </row>
    <row r="89" spans="1:8" s="414" customFormat="1" ht="16.5" customHeight="1" thickBot="1" x14ac:dyDescent="0.35">
      <c r="A89" s="1531" t="s">
        <v>2120</v>
      </c>
      <c r="B89" s="1531"/>
      <c r="C89" s="1532"/>
      <c r="D89" s="1532"/>
      <c r="E89" s="1532" t="s">
        <v>1690</v>
      </c>
      <c r="H89" s="912">
        <f t="shared" si="1"/>
        <v>0</v>
      </c>
    </row>
    <row r="90" spans="1:8" s="414" customFormat="1" ht="16.5" customHeight="1" thickBot="1" x14ac:dyDescent="0.35">
      <c r="A90" s="1624" t="s">
        <v>41</v>
      </c>
      <c r="B90" s="1626" t="s">
        <v>213</v>
      </c>
      <c r="C90" s="1628" t="str">
        <f>+C3</f>
        <v>2019. évi</v>
      </c>
      <c r="D90" s="1629"/>
      <c r="E90" s="1629"/>
      <c r="F90" s="1629"/>
      <c r="G90" s="1630"/>
      <c r="H90" s="912">
        <f t="shared" si="1"/>
        <v>0</v>
      </c>
    </row>
    <row r="91" spans="1:8" ht="38.1" customHeight="1" thickBot="1" x14ac:dyDescent="0.35">
      <c r="A91" s="1625"/>
      <c r="B91" s="1627"/>
      <c r="C91" s="1538" t="s">
        <v>43</v>
      </c>
      <c r="D91" s="1538" t="s">
        <v>2175</v>
      </c>
      <c r="E91" s="1538" t="s">
        <v>2173</v>
      </c>
      <c r="F91" s="1541" t="s">
        <v>2174</v>
      </c>
      <c r="G91" s="1541" t="s">
        <v>2182</v>
      </c>
      <c r="H91" s="912" t="e">
        <f t="shared" si="1"/>
        <v>#VALUE!</v>
      </c>
    </row>
    <row r="92" spans="1:8" s="407" customFormat="1" ht="12" customHeight="1" thickBot="1" x14ac:dyDescent="0.3">
      <c r="A92" s="372" t="s">
        <v>46</v>
      </c>
      <c r="B92" s="373" t="s">
        <v>47</v>
      </c>
      <c r="C92" s="373" t="s">
        <v>48</v>
      </c>
      <c r="D92" s="373" t="s">
        <v>49</v>
      </c>
      <c r="E92" s="373" t="s">
        <v>50</v>
      </c>
      <c r="F92" s="373" t="s">
        <v>50</v>
      </c>
      <c r="G92" s="373" t="s">
        <v>294</v>
      </c>
      <c r="H92" s="912" t="e">
        <f t="shared" si="1"/>
        <v>#VALUE!</v>
      </c>
    </row>
    <row r="93" spans="1:8" ht="12" customHeight="1" thickBot="1" x14ac:dyDescent="0.35">
      <c r="A93" s="369" t="s">
        <v>51</v>
      </c>
      <c r="B93" s="371" t="s">
        <v>288</v>
      </c>
      <c r="C93" s="397">
        <f>SUM(C94:C98)</f>
        <v>409620235</v>
      </c>
      <c r="D93" s="397">
        <f>SUM(D94:D98)</f>
        <v>404620235</v>
      </c>
      <c r="E93" s="397">
        <f>SUM(E94:E98)</f>
        <v>417003235</v>
      </c>
      <c r="F93" s="397">
        <f>SUM(F94:F98)</f>
        <v>417003235</v>
      </c>
      <c r="G93" s="397">
        <f>SUM(G94:G98)</f>
        <v>423950226</v>
      </c>
      <c r="H93" s="912">
        <f t="shared" si="1"/>
        <v>6946991</v>
      </c>
    </row>
    <row r="94" spans="1:8" ht="12" customHeight="1" x14ac:dyDescent="0.3">
      <c r="A94" s="364" t="s">
        <v>53</v>
      </c>
      <c r="B94" s="357" t="s">
        <v>215</v>
      </c>
      <c r="C94" s="92">
        <v>268577586</v>
      </c>
      <c r="D94" s="92">
        <v>268577586</v>
      </c>
      <c r="E94" s="92">
        <v>268577586</v>
      </c>
      <c r="F94" s="92">
        <v>268577586</v>
      </c>
      <c r="G94" s="92">
        <v>268577586</v>
      </c>
      <c r="H94" s="912">
        <f t="shared" si="1"/>
        <v>0</v>
      </c>
    </row>
    <row r="95" spans="1:8" ht="12" customHeight="1" x14ac:dyDescent="0.3">
      <c r="A95" s="361" t="s">
        <v>55</v>
      </c>
      <c r="B95" s="355" t="s">
        <v>216</v>
      </c>
      <c r="C95" s="399">
        <v>56042649</v>
      </c>
      <c r="D95" s="399">
        <v>56042649</v>
      </c>
      <c r="E95" s="399">
        <v>56042649</v>
      </c>
      <c r="F95" s="399">
        <v>56042649</v>
      </c>
      <c r="G95" s="399">
        <v>56042649</v>
      </c>
      <c r="H95" s="912">
        <f t="shared" si="1"/>
        <v>0</v>
      </c>
    </row>
    <row r="96" spans="1:8" ht="12" customHeight="1" x14ac:dyDescent="0.3">
      <c r="A96" s="361" t="s">
        <v>57</v>
      </c>
      <c r="B96" s="355" t="s">
        <v>217</v>
      </c>
      <c r="C96" s="401">
        <v>85000000</v>
      </c>
      <c r="D96" s="401">
        <f>85000000-5000000</f>
        <v>80000000</v>
      </c>
      <c r="E96" s="401">
        <f>D96+9883000+2500000</f>
        <v>92383000</v>
      </c>
      <c r="F96" s="401">
        <f>E96</f>
        <v>92383000</v>
      </c>
      <c r="G96" s="401">
        <v>99329991</v>
      </c>
      <c r="H96" s="912">
        <f t="shared" si="1"/>
        <v>6946991</v>
      </c>
    </row>
    <row r="97" spans="1:8" ht="12" customHeight="1" x14ac:dyDescent="0.3">
      <c r="A97" s="361" t="s">
        <v>59</v>
      </c>
      <c r="B97" s="358" t="s">
        <v>218</v>
      </c>
      <c r="C97" s="401"/>
      <c r="D97" s="401"/>
      <c r="E97" s="401"/>
      <c r="F97" s="401"/>
      <c r="G97" s="401"/>
      <c r="H97" s="912">
        <f t="shared" si="1"/>
        <v>0</v>
      </c>
    </row>
    <row r="98" spans="1:8" ht="12" customHeight="1" x14ac:dyDescent="0.3">
      <c r="A98" s="361" t="s">
        <v>219</v>
      </c>
      <c r="B98" s="366" t="s">
        <v>220</v>
      </c>
      <c r="C98" s="401"/>
      <c r="D98" s="401"/>
      <c r="E98" s="401"/>
      <c r="F98" s="401"/>
      <c r="G98" s="401"/>
      <c r="H98" s="912">
        <f t="shared" si="1"/>
        <v>0</v>
      </c>
    </row>
    <row r="99" spans="1:8" ht="12" customHeight="1" x14ac:dyDescent="0.3">
      <c r="A99" s="361" t="s">
        <v>63</v>
      </c>
      <c r="B99" s="355" t="s">
        <v>221</v>
      </c>
      <c r="C99" s="401"/>
      <c r="D99" s="401"/>
      <c r="E99" s="401"/>
      <c r="F99" s="401"/>
      <c r="G99" s="401"/>
      <c r="H99" s="912">
        <f t="shared" si="1"/>
        <v>0</v>
      </c>
    </row>
    <row r="100" spans="1:8" ht="12" customHeight="1" x14ac:dyDescent="0.3">
      <c r="A100" s="361" t="s">
        <v>222</v>
      </c>
      <c r="B100" s="377" t="s">
        <v>223</v>
      </c>
      <c r="C100" s="401"/>
      <c r="D100" s="401"/>
      <c r="E100" s="401"/>
      <c r="F100" s="401"/>
      <c r="G100" s="401"/>
      <c r="H100" s="912">
        <f t="shared" si="1"/>
        <v>0</v>
      </c>
    </row>
    <row r="101" spans="1:8" ht="12" customHeight="1" x14ac:dyDescent="0.3">
      <c r="A101" s="361" t="s">
        <v>224</v>
      </c>
      <c r="B101" s="378" t="s">
        <v>225</v>
      </c>
      <c r="C101" s="401"/>
      <c r="D101" s="401"/>
      <c r="E101" s="401"/>
      <c r="F101" s="401"/>
      <c r="G101" s="401"/>
      <c r="H101" s="912">
        <f t="shared" si="1"/>
        <v>0</v>
      </c>
    </row>
    <row r="102" spans="1:8" ht="12" customHeight="1" x14ac:dyDescent="0.3">
      <c r="A102" s="361" t="s">
        <v>226</v>
      </c>
      <c r="B102" s="378" t="s">
        <v>227</v>
      </c>
      <c r="C102" s="401"/>
      <c r="D102" s="401"/>
      <c r="E102" s="401"/>
      <c r="F102" s="401"/>
      <c r="G102" s="401"/>
      <c r="H102" s="912">
        <f t="shared" si="1"/>
        <v>0</v>
      </c>
    </row>
    <row r="103" spans="1:8" ht="12" customHeight="1" x14ac:dyDescent="0.3">
      <c r="A103" s="361" t="s">
        <v>228</v>
      </c>
      <c r="B103" s="377" t="s">
        <v>229</v>
      </c>
      <c r="C103" s="401"/>
      <c r="D103" s="401"/>
      <c r="E103" s="401"/>
      <c r="F103" s="401"/>
      <c r="G103" s="401"/>
      <c r="H103" s="912">
        <f t="shared" si="1"/>
        <v>0</v>
      </c>
    </row>
    <row r="104" spans="1:8" ht="12" customHeight="1" x14ac:dyDescent="0.3">
      <c r="A104" s="361" t="s">
        <v>230</v>
      </c>
      <c r="B104" s="377" t="s">
        <v>231</v>
      </c>
      <c r="C104" s="401"/>
      <c r="D104" s="401"/>
      <c r="E104" s="401"/>
      <c r="F104" s="401"/>
      <c r="G104" s="401"/>
      <c r="H104" s="912">
        <f t="shared" si="1"/>
        <v>0</v>
      </c>
    </row>
    <row r="105" spans="1:8" ht="12" customHeight="1" x14ac:dyDescent="0.3">
      <c r="A105" s="361" t="s">
        <v>232</v>
      </c>
      <c r="B105" s="378" t="s">
        <v>233</v>
      </c>
      <c r="C105" s="401"/>
      <c r="D105" s="401"/>
      <c r="E105" s="401"/>
      <c r="F105" s="401"/>
      <c r="G105" s="401"/>
      <c r="H105" s="912">
        <f t="shared" si="1"/>
        <v>0</v>
      </c>
    </row>
    <row r="106" spans="1:8" ht="12" customHeight="1" x14ac:dyDescent="0.3">
      <c r="A106" s="360" t="s">
        <v>234</v>
      </c>
      <c r="B106" s="379" t="s">
        <v>235</v>
      </c>
      <c r="C106" s="401"/>
      <c r="D106" s="401"/>
      <c r="E106" s="401"/>
      <c r="F106" s="401"/>
      <c r="G106" s="401"/>
      <c r="H106" s="912">
        <f t="shared" si="1"/>
        <v>0</v>
      </c>
    </row>
    <row r="107" spans="1:8" ht="12" customHeight="1" x14ac:dyDescent="0.3">
      <c r="A107" s="361" t="s">
        <v>236</v>
      </c>
      <c r="B107" s="379" t="s">
        <v>237</v>
      </c>
      <c r="C107" s="401"/>
      <c r="D107" s="401"/>
      <c r="E107" s="401"/>
      <c r="F107" s="401"/>
      <c r="G107" s="401"/>
      <c r="H107" s="912">
        <f t="shared" si="1"/>
        <v>0</v>
      </c>
    </row>
    <row r="108" spans="1:8" ht="12" customHeight="1" thickBot="1" x14ac:dyDescent="0.35">
      <c r="A108" s="365" t="s">
        <v>238</v>
      </c>
      <c r="B108" s="380" t="s">
        <v>239</v>
      </c>
      <c r="C108" s="93"/>
      <c r="D108" s="93"/>
      <c r="E108" s="93"/>
      <c r="F108" s="93"/>
      <c r="G108" s="93"/>
      <c r="H108" s="912">
        <f t="shared" si="1"/>
        <v>0</v>
      </c>
    </row>
    <row r="109" spans="1:8" ht="12" customHeight="1" thickBot="1" x14ac:dyDescent="0.35">
      <c r="A109" s="367" t="s">
        <v>65</v>
      </c>
      <c r="B109" s="370" t="s">
        <v>289</v>
      </c>
      <c r="C109" s="398">
        <f>+C110+C112+C114</f>
        <v>1054100</v>
      </c>
      <c r="D109" s="398">
        <f>+D110+D112+D114</f>
        <v>1054100</v>
      </c>
      <c r="E109" s="398">
        <f>+E110+E112+E114</f>
        <v>1054100</v>
      </c>
      <c r="F109" s="398">
        <f>+F110+F112+F114</f>
        <v>1054100</v>
      </c>
      <c r="G109" s="398">
        <f>+G110+G112+G114</f>
        <v>1054100</v>
      </c>
      <c r="H109" s="912">
        <f t="shared" si="1"/>
        <v>0</v>
      </c>
    </row>
    <row r="110" spans="1:8" ht="12" customHeight="1" x14ac:dyDescent="0.3">
      <c r="A110" s="362" t="s">
        <v>67</v>
      </c>
      <c r="B110" s="355" t="s">
        <v>241</v>
      </c>
      <c r="C110" s="400">
        <v>1054100</v>
      </c>
      <c r="D110" s="400">
        <v>1054100</v>
      </c>
      <c r="E110" s="400">
        <v>1054100</v>
      </c>
      <c r="F110" s="400">
        <v>1054100</v>
      </c>
      <c r="G110" s="400">
        <v>1054100</v>
      </c>
      <c r="H110" s="912">
        <f t="shared" si="1"/>
        <v>0</v>
      </c>
    </row>
    <row r="111" spans="1:8" ht="12" customHeight="1" x14ac:dyDescent="0.3">
      <c r="A111" s="362" t="s">
        <v>69</v>
      </c>
      <c r="B111" s="359" t="s">
        <v>242</v>
      </c>
      <c r="C111" s="400"/>
      <c r="D111" s="400"/>
      <c r="E111" s="400"/>
      <c r="F111" s="400"/>
      <c r="G111" s="400"/>
      <c r="H111" s="912">
        <f t="shared" si="1"/>
        <v>0</v>
      </c>
    </row>
    <row r="112" spans="1:8" x14ac:dyDescent="0.3">
      <c r="A112" s="362" t="s">
        <v>71</v>
      </c>
      <c r="B112" s="359" t="s">
        <v>243</v>
      </c>
      <c r="C112" s="399"/>
      <c r="D112" s="399"/>
      <c r="E112" s="399"/>
      <c r="F112" s="399"/>
      <c r="G112" s="399"/>
      <c r="H112" s="912">
        <f t="shared" si="1"/>
        <v>0</v>
      </c>
    </row>
    <row r="113" spans="1:8" ht="12" customHeight="1" x14ac:dyDescent="0.3">
      <c r="A113" s="362" t="s">
        <v>73</v>
      </c>
      <c r="B113" s="359" t="s">
        <v>244</v>
      </c>
      <c r="C113" s="399"/>
      <c r="D113" s="399"/>
      <c r="E113" s="399"/>
      <c r="F113" s="399"/>
      <c r="G113" s="399"/>
      <c r="H113" s="912">
        <f t="shared" si="1"/>
        <v>0</v>
      </c>
    </row>
    <row r="114" spans="1:8" ht="12" customHeight="1" x14ac:dyDescent="0.3">
      <c r="A114" s="362" t="s">
        <v>75</v>
      </c>
      <c r="B114" s="390" t="s">
        <v>245</v>
      </c>
      <c r="C114" s="399"/>
      <c r="D114" s="399"/>
      <c r="E114" s="399"/>
      <c r="F114" s="399"/>
      <c r="G114" s="399"/>
      <c r="H114" s="912">
        <f t="shared" si="1"/>
        <v>0</v>
      </c>
    </row>
    <row r="115" spans="1:8" ht="21.75" customHeight="1" x14ac:dyDescent="0.3">
      <c r="A115" s="362" t="s">
        <v>77</v>
      </c>
      <c r="B115" s="389" t="s">
        <v>246</v>
      </c>
      <c r="C115" s="399"/>
      <c r="D115" s="399"/>
      <c r="E115" s="399"/>
      <c r="F115" s="399"/>
      <c r="G115" s="399"/>
      <c r="H115" s="912">
        <f t="shared" si="1"/>
        <v>0</v>
      </c>
    </row>
    <row r="116" spans="1:8" ht="24" customHeight="1" x14ac:dyDescent="0.3">
      <c r="A116" s="362" t="s">
        <v>247</v>
      </c>
      <c r="B116" s="405" t="s">
        <v>248</v>
      </c>
      <c r="C116" s="399"/>
      <c r="D116" s="399"/>
      <c r="E116" s="399"/>
      <c r="F116" s="399"/>
      <c r="G116" s="399"/>
      <c r="H116" s="912">
        <f t="shared" si="1"/>
        <v>0</v>
      </c>
    </row>
    <row r="117" spans="1:8" ht="12" customHeight="1" x14ac:dyDescent="0.3">
      <c r="A117" s="362" t="s">
        <v>249</v>
      </c>
      <c r="B117" s="378" t="s">
        <v>227</v>
      </c>
      <c r="C117" s="399"/>
      <c r="D117" s="399"/>
      <c r="E117" s="399"/>
      <c r="F117" s="399"/>
      <c r="G117" s="399"/>
      <c r="H117" s="912">
        <f t="shared" si="1"/>
        <v>0</v>
      </c>
    </row>
    <row r="118" spans="1:8" ht="12" customHeight="1" x14ac:dyDescent="0.3">
      <c r="A118" s="362" t="s">
        <v>250</v>
      </c>
      <c r="B118" s="378" t="s">
        <v>251</v>
      </c>
      <c r="C118" s="399"/>
      <c r="D118" s="399"/>
      <c r="E118" s="399"/>
      <c r="F118" s="399"/>
      <c r="G118" s="399"/>
      <c r="H118" s="912">
        <f t="shared" si="1"/>
        <v>0</v>
      </c>
    </row>
    <row r="119" spans="1:8" ht="12" customHeight="1" x14ac:dyDescent="0.3">
      <c r="A119" s="362" t="s">
        <v>252</v>
      </c>
      <c r="B119" s="378" t="s">
        <v>253</v>
      </c>
      <c r="C119" s="399"/>
      <c r="D119" s="399"/>
      <c r="E119" s="399"/>
      <c r="F119" s="399"/>
      <c r="G119" s="399"/>
      <c r="H119" s="912">
        <f t="shared" si="1"/>
        <v>0</v>
      </c>
    </row>
    <row r="120" spans="1:8" s="427" customFormat="1" ht="12" customHeight="1" x14ac:dyDescent="0.25">
      <c r="A120" s="362" t="s">
        <v>254</v>
      </c>
      <c r="B120" s="378" t="s">
        <v>233</v>
      </c>
      <c r="C120" s="399"/>
      <c r="D120" s="399"/>
      <c r="E120" s="399"/>
      <c r="F120" s="399"/>
      <c r="G120" s="399"/>
      <c r="H120" s="912">
        <f t="shared" si="1"/>
        <v>0</v>
      </c>
    </row>
    <row r="121" spans="1:8" ht="12" customHeight="1" x14ac:dyDescent="0.3">
      <c r="A121" s="362" t="s">
        <v>255</v>
      </c>
      <c r="B121" s="378" t="s">
        <v>256</v>
      </c>
      <c r="C121" s="399"/>
      <c r="D121" s="399"/>
      <c r="E121" s="399"/>
      <c r="F121" s="399"/>
      <c r="G121" s="399"/>
      <c r="H121" s="912">
        <f t="shared" si="1"/>
        <v>0</v>
      </c>
    </row>
    <row r="122" spans="1:8" ht="12" customHeight="1" thickBot="1" x14ac:dyDescent="0.35">
      <c r="A122" s="360" t="s">
        <v>257</v>
      </c>
      <c r="B122" s="378" t="s">
        <v>258</v>
      </c>
      <c r="C122" s="401"/>
      <c r="D122" s="401"/>
      <c r="E122" s="401"/>
      <c r="F122" s="401"/>
      <c r="G122" s="401"/>
      <c r="H122" s="912">
        <f t="shared" si="1"/>
        <v>0</v>
      </c>
    </row>
    <row r="123" spans="1:8" ht="12" customHeight="1" thickBot="1" x14ac:dyDescent="0.35">
      <c r="A123" s="367" t="s">
        <v>79</v>
      </c>
      <c r="B123" s="375" t="s">
        <v>259</v>
      </c>
      <c r="C123" s="398">
        <f>+C124+C125</f>
        <v>0</v>
      </c>
      <c r="D123" s="398">
        <f>+D124+D125</f>
        <v>0</v>
      </c>
      <c r="E123" s="398">
        <f>+E124+E125</f>
        <v>0</v>
      </c>
      <c r="F123" s="398">
        <f>+F124+F125</f>
        <v>0</v>
      </c>
      <c r="G123" s="398">
        <f>+G124+G125</f>
        <v>0</v>
      </c>
      <c r="H123" s="912">
        <f t="shared" si="1"/>
        <v>0</v>
      </c>
    </row>
    <row r="124" spans="1:8" ht="12" customHeight="1" x14ac:dyDescent="0.3">
      <c r="A124" s="362" t="s">
        <v>81</v>
      </c>
      <c r="B124" s="356" t="s">
        <v>260</v>
      </c>
      <c r="C124" s="400"/>
      <c r="D124" s="400"/>
      <c r="E124" s="400"/>
      <c r="F124" s="400"/>
      <c r="G124" s="400"/>
      <c r="H124" s="912">
        <f t="shared" si="1"/>
        <v>0</v>
      </c>
    </row>
    <row r="125" spans="1:8" ht="12" customHeight="1" thickBot="1" x14ac:dyDescent="0.35">
      <c r="A125" s="363" t="s">
        <v>83</v>
      </c>
      <c r="B125" s="359" t="s">
        <v>261</v>
      </c>
      <c r="C125" s="401"/>
      <c r="D125" s="401"/>
      <c r="E125" s="401"/>
      <c r="F125" s="401"/>
      <c r="G125" s="401"/>
      <c r="H125" s="912">
        <f t="shared" si="1"/>
        <v>0</v>
      </c>
    </row>
    <row r="126" spans="1:8" ht="12" customHeight="1" thickBot="1" x14ac:dyDescent="0.35">
      <c r="A126" s="367" t="s">
        <v>262</v>
      </c>
      <c r="B126" s="375" t="s">
        <v>263</v>
      </c>
      <c r="C126" s="398">
        <f>+C93+C109+C123</f>
        <v>410674335</v>
      </c>
      <c r="D126" s="398">
        <f>+D93+D109+D123</f>
        <v>405674335</v>
      </c>
      <c r="E126" s="398">
        <f>+E93+E109+E123</f>
        <v>418057335</v>
      </c>
      <c r="F126" s="398">
        <f>+F93+F109+F123</f>
        <v>418057335</v>
      </c>
      <c r="G126" s="398">
        <f>+G93+G109+G123</f>
        <v>425004326</v>
      </c>
      <c r="H126" s="912">
        <f t="shared" si="1"/>
        <v>6946991</v>
      </c>
    </row>
    <row r="127" spans="1:8" ht="12" customHeight="1" thickBot="1" x14ac:dyDescent="0.35">
      <c r="A127" s="367" t="s">
        <v>107</v>
      </c>
      <c r="B127" s="375" t="s">
        <v>264</v>
      </c>
      <c r="C127" s="398">
        <f>+C128+C129+C130</f>
        <v>0</v>
      </c>
      <c r="D127" s="398">
        <f>+D128+D129+D130</f>
        <v>0</v>
      </c>
      <c r="E127" s="398">
        <f>+E128+E129+E130</f>
        <v>0</v>
      </c>
      <c r="F127" s="398">
        <f>+F128+F129+F130</f>
        <v>0</v>
      </c>
      <c r="G127" s="398">
        <f>+G128+G129+G130</f>
        <v>0</v>
      </c>
      <c r="H127" s="912">
        <f t="shared" si="1"/>
        <v>0</v>
      </c>
    </row>
    <row r="128" spans="1:8" ht="12" customHeight="1" x14ac:dyDescent="0.3">
      <c r="A128" s="362" t="s">
        <v>109</v>
      </c>
      <c r="B128" s="356" t="s">
        <v>265</v>
      </c>
      <c r="C128" s="399"/>
      <c r="D128" s="399"/>
      <c r="E128" s="399"/>
      <c r="F128" s="399"/>
      <c r="G128" s="399"/>
      <c r="H128" s="912">
        <f t="shared" si="1"/>
        <v>0</v>
      </c>
    </row>
    <row r="129" spans="1:8" ht="12" customHeight="1" x14ac:dyDescent="0.3">
      <c r="A129" s="362" t="s">
        <v>111</v>
      </c>
      <c r="B129" s="356" t="s">
        <v>266</v>
      </c>
      <c r="C129" s="399"/>
      <c r="D129" s="399"/>
      <c r="E129" s="399"/>
      <c r="F129" s="399"/>
      <c r="G129" s="399"/>
      <c r="H129" s="912">
        <f t="shared" si="1"/>
        <v>0</v>
      </c>
    </row>
    <row r="130" spans="1:8" ht="12" customHeight="1" thickBot="1" x14ac:dyDescent="0.35">
      <c r="A130" s="360" t="s">
        <v>113</v>
      </c>
      <c r="B130" s="354" t="s">
        <v>267</v>
      </c>
      <c r="C130" s="399"/>
      <c r="D130" s="399"/>
      <c r="E130" s="399"/>
      <c r="F130" s="399"/>
      <c r="G130" s="399"/>
      <c r="H130" s="912">
        <f t="shared" si="1"/>
        <v>0</v>
      </c>
    </row>
    <row r="131" spans="1:8" ht="12" customHeight="1" thickBot="1" x14ac:dyDescent="0.35">
      <c r="A131" s="367" t="s">
        <v>129</v>
      </c>
      <c r="B131" s="375" t="s">
        <v>268</v>
      </c>
      <c r="C131" s="398">
        <f>+C132+C133+C135+C134</f>
        <v>0</v>
      </c>
      <c r="D131" s="398">
        <f>+D132+D133+D135+D134</f>
        <v>0</v>
      </c>
      <c r="E131" s="398">
        <f>+E132+E133+E135+E134</f>
        <v>0</v>
      </c>
      <c r="F131" s="398">
        <f>+F132+F133+F135+F134</f>
        <v>0</v>
      </c>
      <c r="G131" s="398">
        <f>+G132+G133+G135+G134</f>
        <v>0</v>
      </c>
      <c r="H131" s="912">
        <f t="shared" si="1"/>
        <v>0</v>
      </c>
    </row>
    <row r="132" spans="1:8" ht="12" customHeight="1" x14ac:dyDescent="0.3">
      <c r="A132" s="362" t="s">
        <v>131</v>
      </c>
      <c r="B132" s="356" t="s">
        <v>269</v>
      </c>
      <c r="C132" s="399"/>
      <c r="D132" s="399"/>
      <c r="E132" s="399"/>
      <c r="F132" s="399"/>
      <c r="G132" s="399"/>
      <c r="H132" s="912">
        <f t="shared" si="1"/>
        <v>0</v>
      </c>
    </row>
    <row r="133" spans="1:8" ht="12" customHeight="1" x14ac:dyDescent="0.3">
      <c r="A133" s="362" t="s">
        <v>133</v>
      </c>
      <c r="B133" s="356" t="s">
        <v>270</v>
      </c>
      <c r="C133" s="399"/>
      <c r="D133" s="399"/>
      <c r="E133" s="399"/>
      <c r="F133" s="399"/>
      <c r="G133" s="399"/>
      <c r="H133" s="912">
        <f t="shared" si="1"/>
        <v>0</v>
      </c>
    </row>
    <row r="134" spans="1:8" ht="12" customHeight="1" x14ac:dyDescent="0.3">
      <c r="A134" s="362" t="s">
        <v>135</v>
      </c>
      <c r="B134" s="356" t="s">
        <v>271</v>
      </c>
      <c r="C134" s="399"/>
      <c r="D134" s="399"/>
      <c r="E134" s="399"/>
      <c r="F134" s="399"/>
      <c r="G134" s="399"/>
      <c r="H134" s="912">
        <f t="shared" si="1"/>
        <v>0</v>
      </c>
    </row>
    <row r="135" spans="1:8" ht="12" customHeight="1" thickBot="1" x14ac:dyDescent="0.35">
      <c r="A135" s="360" t="s">
        <v>137</v>
      </c>
      <c r="B135" s="354" t="s">
        <v>272</v>
      </c>
      <c r="C135" s="399"/>
      <c r="D135" s="399"/>
      <c r="E135" s="399"/>
      <c r="F135" s="399"/>
      <c r="G135" s="399"/>
      <c r="H135" s="912">
        <f t="shared" ref="H135:H147" si="2">G135-F135</f>
        <v>0</v>
      </c>
    </row>
    <row r="136" spans="1:8" ht="12" customHeight="1" thickBot="1" x14ac:dyDescent="0.35">
      <c r="A136" s="367" t="s">
        <v>273</v>
      </c>
      <c r="B136" s="375" t="s">
        <v>274</v>
      </c>
      <c r="C136" s="404">
        <f>+C137+C138+C139+C140</f>
        <v>0</v>
      </c>
      <c r="D136" s="404">
        <f>+D137+D138+D139+D140</f>
        <v>0</v>
      </c>
      <c r="E136" s="404">
        <f>+E137+E138+E139+E140</f>
        <v>0</v>
      </c>
      <c r="F136" s="404">
        <f>+F137+F138+F139+F140</f>
        <v>0</v>
      </c>
      <c r="G136" s="404">
        <f>+G137+G138+G139+G140</f>
        <v>0</v>
      </c>
      <c r="H136" s="912">
        <f t="shared" si="2"/>
        <v>0</v>
      </c>
    </row>
    <row r="137" spans="1:8" ht="12" customHeight="1" x14ac:dyDescent="0.3">
      <c r="A137" s="362" t="s">
        <v>143</v>
      </c>
      <c r="B137" s="356" t="s">
        <v>275</v>
      </c>
      <c r="C137" s="399"/>
      <c r="D137" s="399"/>
      <c r="E137" s="399"/>
      <c r="F137" s="399"/>
      <c r="G137" s="399"/>
      <c r="H137" s="912">
        <f t="shared" si="2"/>
        <v>0</v>
      </c>
    </row>
    <row r="138" spans="1:8" ht="12" customHeight="1" x14ac:dyDescent="0.3">
      <c r="A138" s="362" t="s">
        <v>145</v>
      </c>
      <c r="B138" s="356" t="s">
        <v>276</v>
      </c>
      <c r="C138" s="399"/>
      <c r="D138" s="399"/>
      <c r="E138" s="399"/>
      <c r="F138" s="399"/>
      <c r="G138" s="399"/>
      <c r="H138" s="912">
        <f t="shared" si="2"/>
        <v>0</v>
      </c>
    </row>
    <row r="139" spans="1:8" ht="12" customHeight="1" x14ac:dyDescent="0.3">
      <c r="A139" s="362" t="s">
        <v>147</v>
      </c>
      <c r="B139" s="356" t="s">
        <v>277</v>
      </c>
      <c r="C139" s="399"/>
      <c r="D139" s="399"/>
      <c r="E139" s="399"/>
      <c r="F139" s="399"/>
      <c r="G139" s="399"/>
      <c r="H139" s="912">
        <f t="shared" si="2"/>
        <v>0</v>
      </c>
    </row>
    <row r="140" spans="1:8" ht="12" customHeight="1" thickBot="1" x14ac:dyDescent="0.35">
      <c r="A140" s="360" t="s">
        <v>149</v>
      </c>
      <c r="B140" s="354" t="s">
        <v>278</v>
      </c>
      <c r="C140" s="399"/>
      <c r="D140" s="399"/>
      <c r="E140" s="399"/>
      <c r="F140" s="399"/>
      <c r="G140" s="399"/>
      <c r="H140" s="912">
        <f t="shared" si="2"/>
        <v>0</v>
      </c>
    </row>
    <row r="141" spans="1:8" ht="15" customHeight="1" thickBot="1" x14ac:dyDescent="0.35">
      <c r="A141" s="367" t="s">
        <v>151</v>
      </c>
      <c r="B141" s="375" t="s">
        <v>279</v>
      </c>
      <c r="C141" s="94">
        <f>+C142+C143+C144+C145</f>
        <v>0</v>
      </c>
      <c r="D141" s="94">
        <f>+D142+D143+D144+D145</f>
        <v>0</v>
      </c>
      <c r="E141" s="94">
        <f>+E142+E143+E144+E145</f>
        <v>0</v>
      </c>
      <c r="F141" s="94">
        <f>+F142+F143+F144+F145</f>
        <v>0</v>
      </c>
      <c r="G141" s="94">
        <f>+G142+G143+G144+G145</f>
        <v>0</v>
      </c>
      <c r="H141" s="912">
        <f t="shared" si="2"/>
        <v>0</v>
      </c>
    </row>
    <row r="142" spans="1:8" s="408" customFormat="1" ht="12.9" customHeight="1" x14ac:dyDescent="0.25">
      <c r="A142" s="362" t="s">
        <v>153</v>
      </c>
      <c r="B142" s="356" t="s">
        <v>280</v>
      </c>
      <c r="C142" s="399"/>
      <c r="D142" s="399"/>
      <c r="E142" s="399"/>
      <c r="F142" s="399"/>
      <c r="G142" s="399"/>
      <c r="H142" s="912">
        <f t="shared" si="2"/>
        <v>0</v>
      </c>
    </row>
    <row r="143" spans="1:8" ht="12.75" customHeight="1" x14ac:dyDescent="0.3">
      <c r="A143" s="362" t="s">
        <v>155</v>
      </c>
      <c r="B143" s="356" t="s">
        <v>281</v>
      </c>
      <c r="C143" s="399"/>
      <c r="D143" s="399"/>
      <c r="E143" s="399"/>
      <c r="F143" s="399"/>
      <c r="G143" s="399"/>
      <c r="H143" s="912">
        <f t="shared" si="2"/>
        <v>0</v>
      </c>
    </row>
    <row r="144" spans="1:8" ht="12.75" customHeight="1" x14ac:dyDescent="0.3">
      <c r="A144" s="362" t="s">
        <v>157</v>
      </c>
      <c r="B144" s="356" t="s">
        <v>282</v>
      </c>
      <c r="C144" s="399"/>
      <c r="D144" s="399"/>
      <c r="E144" s="399"/>
      <c r="F144" s="399"/>
      <c r="G144" s="399"/>
      <c r="H144" s="912">
        <f t="shared" si="2"/>
        <v>0</v>
      </c>
    </row>
    <row r="145" spans="1:8" ht="12.75" customHeight="1" thickBot="1" x14ac:dyDescent="0.35">
      <c r="A145" s="362" t="s">
        <v>159</v>
      </c>
      <c r="B145" s="356" t="s">
        <v>283</v>
      </c>
      <c r="C145" s="399"/>
      <c r="D145" s="399"/>
      <c r="E145" s="399"/>
      <c r="F145" s="399"/>
      <c r="G145" s="399"/>
      <c r="H145" s="912">
        <f t="shared" si="2"/>
        <v>0</v>
      </c>
    </row>
    <row r="146" spans="1:8" ht="16.2" thickBot="1" x14ac:dyDescent="0.35">
      <c r="A146" s="367" t="s">
        <v>161</v>
      </c>
      <c r="B146" s="375" t="s">
        <v>284</v>
      </c>
      <c r="C146" s="349">
        <f>+C127+C131+C136+C141</f>
        <v>0</v>
      </c>
      <c r="D146" s="349">
        <f>+D127+D131+D136+D141</f>
        <v>0</v>
      </c>
      <c r="E146" s="349">
        <f>+E127+E131+E136+E141</f>
        <v>0</v>
      </c>
      <c r="F146" s="349">
        <f>+F127+F131+F136+F141</f>
        <v>0</v>
      </c>
      <c r="G146" s="349">
        <f>+G127+G131+G136+G141</f>
        <v>0</v>
      </c>
      <c r="H146" s="912">
        <f t="shared" si="2"/>
        <v>0</v>
      </c>
    </row>
    <row r="147" spans="1:8" ht="16.2" thickBot="1" x14ac:dyDescent="0.35">
      <c r="A147" s="391" t="s">
        <v>285</v>
      </c>
      <c r="B147" s="813" t="s">
        <v>286</v>
      </c>
      <c r="C147" s="814">
        <f>+C126+C146</f>
        <v>410674335</v>
      </c>
      <c r="D147" s="814">
        <f>+D126+D146</f>
        <v>405674335</v>
      </c>
      <c r="E147" s="814">
        <f>+E126+E146</f>
        <v>418057335</v>
      </c>
      <c r="F147" s="814">
        <f>+F126+F146</f>
        <v>418057335</v>
      </c>
      <c r="G147" s="814">
        <f>+G126+G146</f>
        <v>425004326</v>
      </c>
      <c r="H147" s="912">
        <f t="shared" si="2"/>
        <v>6946991</v>
      </c>
    </row>
    <row r="148" spans="1:8" x14ac:dyDescent="0.3">
      <c r="D148" s="811">
        <f>D85-D147</f>
        <v>0</v>
      </c>
      <c r="E148" s="811">
        <f>E85-E147</f>
        <v>0</v>
      </c>
      <c r="G148" s="812">
        <f>G85-G147</f>
        <v>0</v>
      </c>
    </row>
    <row r="149" spans="1:8" ht="7.5" customHeight="1" x14ac:dyDescent="0.3"/>
    <row r="151" spans="1:8" ht="12.75" customHeight="1" x14ac:dyDescent="0.3"/>
    <row r="152" spans="1:8" ht="12.75" customHeight="1" x14ac:dyDescent="0.3"/>
    <row r="153" spans="1:8" ht="12.75" customHeight="1" x14ac:dyDescent="0.3"/>
    <row r="154" spans="1:8" ht="12.75" customHeight="1" x14ac:dyDescent="0.3"/>
    <row r="155" spans="1:8" ht="12.75" customHeight="1" x14ac:dyDescent="0.3"/>
    <row r="156" spans="1:8" ht="12.75" customHeight="1" x14ac:dyDescent="0.3">
      <c r="A156" s="406"/>
      <c r="B156" s="406"/>
    </row>
    <row r="157" spans="1:8" ht="12.75" customHeight="1" x14ac:dyDescent="0.3">
      <c r="A157" s="406"/>
      <c r="B157" s="406"/>
    </row>
    <row r="158" spans="1:8" s="395" customFormat="1" ht="12.75" customHeight="1" x14ac:dyDescent="0.3">
      <c r="C158" s="396"/>
      <c r="D158" s="396"/>
      <c r="E158" s="396"/>
    </row>
  </sheetData>
  <mergeCells count="8">
    <mergeCell ref="A90:A91"/>
    <mergeCell ref="B90:B91"/>
    <mergeCell ref="A1:E1"/>
    <mergeCell ref="A3:A4"/>
    <mergeCell ref="B3:B4"/>
    <mergeCell ref="A88:E88"/>
    <mergeCell ref="C3:G3"/>
    <mergeCell ref="C90:G90"/>
  </mergeCells>
  <printOptions horizontalCentered="1"/>
  <pageMargins left="0.78740157480314965" right="0.78740157480314965" top="1.4566929133858268" bottom="0.86614173228346458" header="0.78740157480314965" footer="0.59055118110236227"/>
  <pageSetup paperSize="9" scale="63" fitToHeight="2" orientation="portrait" r:id="rId1"/>
  <headerFooter alignWithMargins="0">
    <oddHeader xml:space="preserve">&amp;C&amp;"Times New Roman CE,Félkövér"&amp;12
DIÓ ÓVODA
ELEMI KÖLTSÉGVETÉSÉNEK TELJESÍTÉSE 
&amp;R&amp;"Times New Roman CE,Félkövér dőlt"&amp;11 13_14. melléklet a 2/2020. (II.28.) önkormámyzati rendelethez 
</oddHeader>
  </headerFooter>
  <rowBreaks count="1" manualBreakCount="1">
    <brk id="86" max="6" man="1"/>
  </row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tabColor rgb="FF92D050"/>
  </sheetPr>
  <dimension ref="A1:E26"/>
  <sheetViews>
    <sheetView showGridLines="0" zoomScaleNormal="100" workbookViewId="0">
      <selection activeCell="B4" sqref="B4:D4"/>
    </sheetView>
  </sheetViews>
  <sheetFormatPr defaultColWidth="9.33203125" defaultRowHeight="13.2" x14ac:dyDescent="0.25"/>
  <cols>
    <col min="1" max="1" width="71.109375" style="239" customWidth="1"/>
    <col min="2" max="2" width="6.109375" style="254" customWidth="1"/>
    <col min="3" max="3" width="18" style="640" customWidth="1"/>
    <col min="4" max="16384" width="9.33203125" style="640"/>
  </cols>
  <sheetData>
    <row r="1" spans="1:4" ht="45.75" customHeight="1" x14ac:dyDescent="0.25">
      <c r="A1" s="1813" t="s">
        <v>693</v>
      </c>
      <c r="B1" s="1813"/>
      <c r="C1" s="1813"/>
    </row>
    <row r="2" spans="1:4" ht="15.6" x14ac:dyDescent="0.25">
      <c r="A2" s="1813" t="str">
        <f>+CONCATENATE(LEFT(ÖSSZEFÜGGÉSEK!A4,4),". év")</f>
        <v>2016. év</v>
      </c>
      <c r="B2" s="1813"/>
      <c r="C2" s="1813"/>
    </row>
    <row r="4" spans="1:4" ht="13.8" thickBot="1" x14ac:dyDescent="0.3">
      <c r="B4" s="1820" t="s">
        <v>1689</v>
      </c>
      <c r="C4" s="1820"/>
      <c r="D4" s="1820"/>
    </row>
    <row r="5" spans="1:4" s="240" customFormat="1" ht="31.5" customHeight="1" x14ac:dyDescent="0.25">
      <c r="A5" s="1814" t="s">
        <v>694</v>
      </c>
      <c r="B5" s="1816" t="s">
        <v>588</v>
      </c>
      <c r="C5" s="1818" t="s">
        <v>695</v>
      </c>
    </row>
    <row r="6" spans="1:4" s="240" customFormat="1" x14ac:dyDescent="0.25">
      <c r="A6" s="1815"/>
      <c r="B6" s="1817"/>
      <c r="C6" s="1819"/>
    </row>
    <row r="7" spans="1:4" s="244" customFormat="1" ht="13.8" thickBot="1" x14ac:dyDescent="0.3">
      <c r="A7" s="241" t="s">
        <v>46</v>
      </c>
      <c r="B7" s="242" t="s">
        <v>47</v>
      </c>
      <c r="C7" s="243" t="s">
        <v>48</v>
      </c>
    </row>
    <row r="8" spans="1:4" ht="15.75" customHeight="1" x14ac:dyDescent="0.25">
      <c r="A8" s="625" t="s">
        <v>696</v>
      </c>
      <c r="B8" s="245" t="s">
        <v>595</v>
      </c>
      <c r="C8" s="246">
        <v>1414198351</v>
      </c>
    </row>
    <row r="9" spans="1:4" ht="15.75" customHeight="1" x14ac:dyDescent="0.25">
      <c r="A9" s="625" t="s">
        <v>697</v>
      </c>
      <c r="B9" s="247" t="s">
        <v>597</v>
      </c>
      <c r="C9" s="246"/>
    </row>
    <row r="10" spans="1:4" ht="15.75" customHeight="1" x14ac:dyDescent="0.25">
      <c r="A10" s="625" t="s">
        <v>698</v>
      </c>
      <c r="B10" s="247" t="s">
        <v>599</v>
      </c>
      <c r="C10" s="246">
        <f>1067015+487592+71583000</f>
        <v>73137607</v>
      </c>
    </row>
    <row r="11" spans="1:4" ht="15.75" customHeight="1" x14ac:dyDescent="0.25">
      <c r="A11" s="625" t="s">
        <v>699</v>
      </c>
      <c r="B11" s="247" t="s">
        <v>601</v>
      </c>
      <c r="C11" s="248">
        <f>-1767174-2201293+1224614569</f>
        <v>1220646102</v>
      </c>
    </row>
    <row r="12" spans="1:4" ht="15.75" customHeight="1" x14ac:dyDescent="0.25">
      <c r="A12" s="625" t="s">
        <v>700</v>
      </c>
      <c r="B12" s="247" t="s">
        <v>603</v>
      </c>
      <c r="C12" s="248"/>
    </row>
    <row r="13" spans="1:4" ht="15.75" customHeight="1" x14ac:dyDescent="0.25">
      <c r="A13" s="625" t="s">
        <v>701</v>
      </c>
      <c r="B13" s="247" t="s">
        <v>605</v>
      </c>
      <c r="C13" s="248">
        <f>-3102873+1973707-9133035</f>
        <v>-10262201</v>
      </c>
    </row>
    <row r="14" spans="1:4" ht="15.75" customHeight="1" x14ac:dyDescent="0.25">
      <c r="A14" s="625" t="s">
        <v>702</v>
      </c>
      <c r="B14" s="247" t="s">
        <v>607</v>
      </c>
      <c r="C14" s="249">
        <f>+C8+C9+C10+C11+C12+C13</f>
        <v>2697719859</v>
      </c>
    </row>
    <row r="15" spans="1:4" ht="15.75" customHeight="1" x14ac:dyDescent="0.25">
      <c r="A15" s="625" t="s">
        <v>703</v>
      </c>
      <c r="B15" s="247" t="s">
        <v>609</v>
      </c>
      <c r="C15" s="641">
        <f>1074896+1452472+11851563</f>
        <v>14378931</v>
      </c>
    </row>
    <row r="16" spans="1:4" ht="15.75" customHeight="1" x14ac:dyDescent="0.25">
      <c r="A16" s="625" t="s">
        <v>704</v>
      </c>
      <c r="B16" s="247" t="s">
        <v>611</v>
      </c>
      <c r="C16" s="248">
        <f>410596+373638+11185080</f>
        <v>11969314</v>
      </c>
    </row>
    <row r="17" spans="1:5" ht="15.75" customHeight="1" x14ac:dyDescent="0.25">
      <c r="A17" s="625" t="s">
        <v>705</v>
      </c>
      <c r="B17" s="247" t="s">
        <v>285</v>
      </c>
      <c r="C17" s="248">
        <v>8832888</v>
      </c>
    </row>
    <row r="18" spans="1:5" ht="15.75" customHeight="1" x14ac:dyDescent="0.25">
      <c r="A18" s="625" t="s">
        <v>706</v>
      </c>
      <c r="B18" s="247" t="s">
        <v>307</v>
      </c>
      <c r="C18" s="249">
        <f>+C15+C16+C17</f>
        <v>35181133</v>
      </c>
    </row>
    <row r="19" spans="1:5" s="642" customFormat="1" ht="15.75" customHeight="1" x14ac:dyDescent="0.25">
      <c r="A19" s="625" t="s">
        <v>707</v>
      </c>
      <c r="B19" s="247" t="s">
        <v>308</v>
      </c>
      <c r="C19" s="248"/>
    </row>
    <row r="20" spans="1:5" ht="15.75" customHeight="1" x14ac:dyDescent="0.25">
      <c r="A20" s="625" t="s">
        <v>708</v>
      </c>
      <c r="B20" s="247" t="s">
        <v>309</v>
      </c>
      <c r="C20" s="248">
        <f>5445355+5528241+99897552</f>
        <v>110871148</v>
      </c>
    </row>
    <row r="21" spans="1:5" ht="15.75" customHeight="1" thickBot="1" x14ac:dyDescent="0.3">
      <c r="A21" s="250" t="s">
        <v>709</v>
      </c>
      <c r="B21" s="251" t="s">
        <v>312</v>
      </c>
      <c r="C21" s="252">
        <f>+C14+C18+C19+C20</f>
        <v>2843772140</v>
      </c>
    </row>
    <row r="22" spans="1:5" ht="15.6" x14ac:dyDescent="0.3">
      <c r="A22" s="635"/>
      <c r="B22" s="638"/>
      <c r="C22" s="636"/>
      <c r="D22" s="636"/>
      <c r="E22" s="636"/>
    </row>
    <row r="23" spans="1:5" ht="15.6" x14ac:dyDescent="0.3">
      <c r="A23" s="635"/>
      <c r="B23" s="638"/>
      <c r="C23" s="636"/>
      <c r="D23" s="636"/>
      <c r="E23" s="636"/>
    </row>
    <row r="24" spans="1:5" ht="15.6" x14ac:dyDescent="0.3">
      <c r="A24" s="638"/>
      <c r="B24" s="638"/>
      <c r="C24" s="636"/>
      <c r="D24" s="636"/>
      <c r="E24" s="636"/>
    </row>
    <row r="25" spans="1:5" ht="15.6" x14ac:dyDescent="0.3">
      <c r="A25" s="1812"/>
      <c r="B25" s="1812"/>
      <c r="C25" s="1812"/>
      <c r="D25" s="643"/>
      <c r="E25" s="643"/>
    </row>
    <row r="26" spans="1:5" ht="15.6" x14ac:dyDescent="0.3">
      <c r="A26" s="1812"/>
      <c r="B26" s="1812"/>
      <c r="C26" s="1812"/>
      <c r="D26" s="643"/>
      <c r="E26" s="643"/>
    </row>
  </sheetData>
  <mergeCells count="8">
    <mergeCell ref="A25:C25"/>
    <mergeCell ref="A26:C26"/>
    <mergeCell ref="A1:C1"/>
    <mergeCell ref="A2:C2"/>
    <mergeCell ref="A5:A6"/>
    <mergeCell ref="B5:B6"/>
    <mergeCell ref="C5:C6"/>
    <mergeCell ref="B4:D4"/>
  </mergeCells>
  <printOptions horizontalCentered="1"/>
  <pageMargins left="0.78740157480314965" right="0.78740157480314965" top="1.246875" bottom="0.98425196850393704" header="0.78740157480314965" footer="0.78740157480314965"/>
  <pageSetup paperSize="9" scale="95" orientation="landscape" verticalDpi="300" r:id="rId1"/>
  <headerFooter alignWithMargins="0">
    <oddHeader>&amp;L&amp;"Times New Roman,Félkövér dőlt"............................................Önkormányzat&amp;R&amp;"Times New Roman CE,Félkövér dőlt"7.2. tájékoztató tábla a ……/2015. (……) önkormányzati rendelethez</oddHead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tabColor rgb="FF92D050"/>
  </sheetPr>
  <dimension ref="A1:E73"/>
  <sheetViews>
    <sheetView showGridLines="0" zoomScaleNormal="100" zoomScaleSheetLayoutView="120" workbookViewId="0">
      <selection activeCell="C3" sqref="C3:C4"/>
    </sheetView>
  </sheetViews>
  <sheetFormatPr defaultColWidth="12" defaultRowHeight="15.6" x14ac:dyDescent="0.3"/>
  <cols>
    <col min="1" max="1" width="67.109375" style="614" customWidth="1"/>
    <col min="2" max="2" width="6.109375" style="615" customWidth="1"/>
    <col min="3" max="3" width="12.44140625" style="614" customWidth="1"/>
    <col min="4" max="4" width="12.109375" style="614" customWidth="1"/>
    <col min="5" max="5" width="12.109375" style="639" customWidth="1"/>
    <col min="6" max="16384" width="12" style="614"/>
  </cols>
  <sheetData>
    <row r="1" spans="1:5" ht="49.5" customHeight="1" x14ac:dyDescent="0.3">
      <c r="A1" s="1822" t="str">
        <f>+CONCATENATE("VAGYONKIMUTATÁS",CHAR(10),"a könyvviteli mérlegben értékkel szereplő eszközökről",CHAR(10),LEFT(ÖSSZEFÜGGÉSEK!A4,4),".")</f>
        <v>VAGYONKIMUTATÁS
a könyvviteli mérlegben értékkel szereplő eszközökről
2016.</v>
      </c>
      <c r="B1" s="1823"/>
      <c r="C1" s="1823"/>
      <c r="D1" s="1823"/>
      <c r="E1" s="1823"/>
    </row>
    <row r="2" spans="1:5" ht="16.2" thickBot="1" x14ac:dyDescent="0.35">
      <c r="C2" s="1824" t="s">
        <v>1689</v>
      </c>
      <c r="D2" s="1824"/>
      <c r="E2" s="1824"/>
    </row>
    <row r="3" spans="1:5" ht="15.75" customHeight="1" x14ac:dyDescent="0.3">
      <c r="A3" s="1825" t="s">
        <v>587</v>
      </c>
      <c r="B3" s="1828" t="s">
        <v>588</v>
      </c>
      <c r="C3" s="1831" t="s">
        <v>589</v>
      </c>
      <c r="D3" s="1831" t="s">
        <v>590</v>
      </c>
      <c r="E3" s="1833" t="s">
        <v>591</v>
      </c>
    </row>
    <row r="4" spans="1:5" ht="11.25" customHeight="1" x14ac:dyDescent="0.3">
      <c r="A4" s="1826"/>
      <c r="B4" s="1829"/>
      <c r="C4" s="1832"/>
      <c r="D4" s="1832"/>
      <c r="E4" s="1834"/>
    </row>
    <row r="5" spans="1:5" x14ac:dyDescent="0.3">
      <c r="A5" s="1827"/>
      <c r="B5" s="1830"/>
      <c r="C5" s="1835" t="s">
        <v>592</v>
      </c>
      <c r="D5" s="1835"/>
      <c r="E5" s="1836"/>
    </row>
    <row r="6" spans="1:5" s="619" customFormat="1" ht="16.2" thickBot="1" x14ac:dyDescent="0.3">
      <c r="A6" s="616" t="s">
        <v>593</v>
      </c>
      <c r="B6" s="617" t="s">
        <v>47</v>
      </c>
      <c r="C6" s="617" t="s">
        <v>48</v>
      </c>
      <c r="D6" s="617" t="s">
        <v>49</v>
      </c>
      <c r="E6" s="618" t="s">
        <v>50</v>
      </c>
    </row>
    <row r="7" spans="1:5" s="624" customFormat="1" x14ac:dyDescent="0.25">
      <c r="A7" s="620" t="s">
        <v>594</v>
      </c>
      <c r="B7" s="621" t="s">
        <v>595</v>
      </c>
      <c r="C7" s="622">
        <f>142895+2634707</f>
        <v>2777602</v>
      </c>
      <c r="D7" s="622"/>
      <c r="E7" s="623"/>
    </row>
    <row r="8" spans="1:5" s="624" customFormat="1" x14ac:dyDescent="0.25">
      <c r="A8" s="625" t="s">
        <v>596</v>
      </c>
      <c r="B8" s="247" t="s">
        <v>597</v>
      </c>
      <c r="C8" s="792">
        <f>+C9+C14+C19+C24+C29</f>
        <v>2391022110</v>
      </c>
      <c r="D8" s="626">
        <f>+D9+D14+D19+D24+D29</f>
        <v>0</v>
      </c>
      <c r="E8" s="627">
        <f>+E9+E14+E19+E24+E29</f>
        <v>0</v>
      </c>
    </row>
    <row r="9" spans="1:5" s="624" customFormat="1" x14ac:dyDescent="0.25">
      <c r="A9" s="625" t="s">
        <v>598</v>
      </c>
      <c r="B9" s="247" t="s">
        <v>599</v>
      </c>
      <c r="C9" s="792">
        <f>+C10+C11+C12+C13</f>
        <v>2318417534</v>
      </c>
      <c r="D9" s="626">
        <f>+D10+D11+D12+D13</f>
        <v>0</v>
      </c>
      <c r="E9" s="627">
        <f>+E10+E11+E12+E13</f>
        <v>0</v>
      </c>
    </row>
    <row r="10" spans="1:5" s="624" customFormat="1" x14ac:dyDescent="0.25">
      <c r="A10" s="628" t="s">
        <v>600</v>
      </c>
      <c r="B10" s="247" t="s">
        <v>601</v>
      </c>
      <c r="C10" s="793"/>
      <c r="D10" s="236"/>
      <c r="E10" s="629"/>
    </row>
    <row r="11" spans="1:5" s="624" customFormat="1" ht="26.25" customHeight="1" x14ac:dyDescent="0.25">
      <c r="A11" s="628" t="s">
        <v>602</v>
      </c>
      <c r="B11" s="247" t="s">
        <v>603</v>
      </c>
      <c r="C11" s="794"/>
      <c r="D11" s="234"/>
      <c r="E11" s="235"/>
    </row>
    <row r="12" spans="1:5" s="624" customFormat="1" x14ac:dyDescent="0.25">
      <c r="A12" s="628" t="s">
        <v>604</v>
      </c>
      <c r="B12" s="247" t="s">
        <v>605</v>
      </c>
      <c r="C12" s="794">
        <v>2318417534</v>
      </c>
      <c r="D12" s="234"/>
      <c r="E12" s="235"/>
    </row>
    <row r="13" spans="1:5" s="624" customFormat="1" x14ac:dyDescent="0.25">
      <c r="A13" s="628" t="s">
        <v>606</v>
      </c>
      <c r="B13" s="247" t="s">
        <v>607</v>
      </c>
      <c r="C13" s="234"/>
      <c r="D13" s="234"/>
      <c r="E13" s="235"/>
    </row>
    <row r="14" spans="1:5" s="624" customFormat="1" x14ac:dyDescent="0.25">
      <c r="A14" s="625" t="s">
        <v>608</v>
      </c>
      <c r="B14" s="247" t="s">
        <v>609</v>
      </c>
      <c r="C14" s="630">
        <f>+C15+C16+C17+C18</f>
        <v>9023575</v>
      </c>
      <c r="D14" s="630">
        <f>+D15+D16+D17+D18</f>
        <v>0</v>
      </c>
      <c r="E14" s="631">
        <f>+E15+E16+E17+E18</f>
        <v>0</v>
      </c>
    </row>
    <row r="15" spans="1:5" s="624" customFormat="1" x14ac:dyDescent="0.25">
      <c r="A15" s="628" t="s">
        <v>610</v>
      </c>
      <c r="B15" s="247" t="s">
        <v>611</v>
      </c>
      <c r="C15" s="234"/>
      <c r="D15" s="234"/>
      <c r="E15" s="235"/>
    </row>
    <row r="16" spans="1:5" s="624" customFormat="1" ht="20.399999999999999" x14ac:dyDescent="0.25">
      <c r="A16" s="628" t="s">
        <v>612</v>
      </c>
      <c r="B16" s="247" t="s">
        <v>285</v>
      </c>
      <c r="C16" s="234"/>
      <c r="D16" s="234"/>
      <c r="E16" s="235"/>
    </row>
    <row r="17" spans="1:5" s="624" customFormat="1" x14ac:dyDescent="0.25">
      <c r="A17" s="628" t="s">
        <v>613</v>
      </c>
      <c r="B17" s="247" t="s">
        <v>307</v>
      </c>
      <c r="C17" s="234">
        <f>415386+8608189</f>
        <v>9023575</v>
      </c>
      <c r="D17" s="234"/>
      <c r="E17" s="235"/>
    </row>
    <row r="18" spans="1:5" s="624" customFormat="1" x14ac:dyDescent="0.25">
      <c r="A18" s="628" t="s">
        <v>614</v>
      </c>
      <c r="B18" s="247" t="s">
        <v>308</v>
      </c>
      <c r="C18" s="234"/>
      <c r="D18" s="234"/>
      <c r="E18" s="235"/>
    </row>
    <row r="19" spans="1:5" s="624" customFormat="1" x14ac:dyDescent="0.25">
      <c r="A19" s="625" t="s">
        <v>615</v>
      </c>
      <c r="B19" s="247" t="s">
        <v>309</v>
      </c>
      <c r="C19" s="630">
        <f>+C20+C21+C22+C23</f>
        <v>0</v>
      </c>
      <c r="D19" s="630">
        <f>+D20+D21+D22+D23</f>
        <v>0</v>
      </c>
      <c r="E19" s="631">
        <f>+E20+E21+E22+E23</f>
        <v>0</v>
      </c>
    </row>
    <row r="20" spans="1:5" s="624" customFormat="1" x14ac:dyDescent="0.25">
      <c r="A20" s="628" t="s">
        <v>616</v>
      </c>
      <c r="B20" s="247" t="s">
        <v>312</v>
      </c>
      <c r="C20" s="234"/>
      <c r="D20" s="234"/>
      <c r="E20" s="235"/>
    </row>
    <row r="21" spans="1:5" s="624" customFormat="1" x14ac:dyDescent="0.25">
      <c r="A21" s="628" t="s">
        <v>617</v>
      </c>
      <c r="B21" s="247" t="s">
        <v>315</v>
      </c>
      <c r="C21" s="234"/>
      <c r="D21" s="234"/>
      <c r="E21" s="235"/>
    </row>
    <row r="22" spans="1:5" s="624" customFormat="1" x14ac:dyDescent="0.25">
      <c r="A22" s="628" t="s">
        <v>618</v>
      </c>
      <c r="B22" s="247" t="s">
        <v>318</v>
      </c>
      <c r="C22" s="234"/>
      <c r="D22" s="234"/>
      <c r="E22" s="235"/>
    </row>
    <row r="23" spans="1:5" s="624" customFormat="1" x14ac:dyDescent="0.25">
      <c r="A23" s="628" t="s">
        <v>619</v>
      </c>
      <c r="B23" s="247" t="s">
        <v>321</v>
      </c>
      <c r="C23" s="234"/>
      <c r="D23" s="234"/>
      <c r="E23" s="235"/>
    </row>
    <row r="24" spans="1:5" s="624" customFormat="1" x14ac:dyDescent="0.25">
      <c r="A24" s="625" t="s">
        <v>620</v>
      </c>
      <c r="B24" s="247" t="s">
        <v>324</v>
      </c>
      <c r="C24" s="630">
        <f>+C25+C26+C27+C28</f>
        <v>63581001</v>
      </c>
      <c r="D24" s="630">
        <f>+D25+D26+D27+D28</f>
        <v>0</v>
      </c>
      <c r="E24" s="631">
        <f>+E25+E26+E27+E28</f>
        <v>0</v>
      </c>
    </row>
    <row r="25" spans="1:5" s="624" customFormat="1" x14ac:dyDescent="0.25">
      <c r="A25" s="628" t="s">
        <v>621</v>
      </c>
      <c r="B25" s="247" t="s">
        <v>327</v>
      </c>
      <c r="C25" s="234"/>
      <c r="D25" s="234"/>
      <c r="E25" s="235"/>
    </row>
    <row r="26" spans="1:5" s="624" customFormat="1" x14ac:dyDescent="0.25">
      <c r="A26" s="628" t="s">
        <v>622</v>
      </c>
      <c r="B26" s="247" t="s">
        <v>330</v>
      </c>
      <c r="C26" s="234"/>
      <c r="D26" s="234"/>
      <c r="E26" s="235"/>
    </row>
    <row r="27" spans="1:5" s="624" customFormat="1" x14ac:dyDescent="0.25">
      <c r="A27" s="628" t="s">
        <v>623</v>
      </c>
      <c r="B27" s="247" t="s">
        <v>333</v>
      </c>
      <c r="C27" s="234">
        <v>63581001</v>
      </c>
      <c r="D27" s="234"/>
      <c r="E27" s="235"/>
    </row>
    <row r="28" spans="1:5" s="624" customFormat="1" x14ac:dyDescent="0.25">
      <c r="A28" s="628" t="s">
        <v>624</v>
      </c>
      <c r="B28" s="247" t="s">
        <v>336</v>
      </c>
      <c r="C28" s="234"/>
      <c r="D28" s="234"/>
      <c r="E28" s="235"/>
    </row>
    <row r="29" spans="1:5" s="624" customFormat="1" x14ac:dyDescent="0.25">
      <c r="A29" s="625" t="s">
        <v>625</v>
      </c>
      <c r="B29" s="247" t="s">
        <v>339</v>
      </c>
      <c r="C29" s="630">
        <f>+C30+C31+C32+C33</f>
        <v>0</v>
      </c>
      <c r="D29" s="630">
        <f>+D30+D31+D32+D33</f>
        <v>0</v>
      </c>
      <c r="E29" s="631">
        <f>+E30+E31+E32+E33</f>
        <v>0</v>
      </c>
    </row>
    <row r="30" spans="1:5" s="624" customFormat="1" x14ac:dyDescent="0.25">
      <c r="A30" s="628" t="s">
        <v>626</v>
      </c>
      <c r="B30" s="247" t="s">
        <v>342</v>
      </c>
      <c r="C30" s="234"/>
      <c r="D30" s="234"/>
      <c r="E30" s="235"/>
    </row>
    <row r="31" spans="1:5" s="624" customFormat="1" ht="20.399999999999999" x14ac:dyDescent="0.25">
      <c r="A31" s="628" t="s">
        <v>627</v>
      </c>
      <c r="B31" s="247" t="s">
        <v>345</v>
      </c>
      <c r="C31" s="234"/>
      <c r="D31" s="234"/>
      <c r="E31" s="235"/>
    </row>
    <row r="32" spans="1:5" s="624" customFormat="1" x14ac:dyDescent="0.25">
      <c r="A32" s="628" t="s">
        <v>628</v>
      </c>
      <c r="B32" s="247" t="s">
        <v>375</v>
      </c>
      <c r="C32" s="234"/>
      <c r="D32" s="234"/>
      <c r="E32" s="235"/>
    </row>
    <row r="33" spans="1:5" s="624" customFormat="1" x14ac:dyDescent="0.25">
      <c r="A33" s="628" t="s">
        <v>629</v>
      </c>
      <c r="B33" s="247" t="s">
        <v>378</v>
      </c>
      <c r="C33" s="234"/>
      <c r="D33" s="234"/>
      <c r="E33" s="235"/>
    </row>
    <row r="34" spans="1:5" s="624" customFormat="1" x14ac:dyDescent="0.25">
      <c r="A34" s="625" t="s">
        <v>630</v>
      </c>
      <c r="B34" s="247" t="s">
        <v>379</v>
      </c>
      <c r="C34" s="630">
        <f>+C35+C40+C45</f>
        <v>2263200</v>
      </c>
      <c r="D34" s="630">
        <f>+D35+D40+D45</f>
        <v>0</v>
      </c>
      <c r="E34" s="631">
        <f>+E35+E40+E45</f>
        <v>0</v>
      </c>
    </row>
    <row r="35" spans="1:5" s="624" customFormat="1" x14ac:dyDescent="0.25">
      <c r="A35" s="625" t="s">
        <v>631</v>
      </c>
      <c r="B35" s="247" t="s">
        <v>498</v>
      </c>
      <c r="C35" s="630">
        <f>+C36+C37+C38+C39</f>
        <v>2263200</v>
      </c>
      <c r="D35" s="630">
        <f>+D36+D37+D38+D39</f>
        <v>0</v>
      </c>
      <c r="E35" s="631">
        <f>+E36+E37+E38+E39</f>
        <v>0</v>
      </c>
    </row>
    <row r="36" spans="1:5" s="624" customFormat="1" x14ac:dyDescent="0.25">
      <c r="A36" s="628" t="s">
        <v>632</v>
      </c>
      <c r="B36" s="247" t="s">
        <v>499</v>
      </c>
      <c r="C36" s="234"/>
      <c r="D36" s="234"/>
      <c r="E36" s="235"/>
    </row>
    <row r="37" spans="1:5" s="624" customFormat="1" x14ac:dyDescent="0.25">
      <c r="A37" s="628" t="s">
        <v>633</v>
      </c>
      <c r="B37" s="247" t="s">
        <v>500</v>
      </c>
      <c r="C37" s="234"/>
      <c r="D37" s="234"/>
      <c r="E37" s="235"/>
    </row>
    <row r="38" spans="1:5" s="624" customFormat="1" x14ac:dyDescent="0.25">
      <c r="A38" s="628" t="s">
        <v>634</v>
      </c>
      <c r="B38" s="247" t="s">
        <v>585</v>
      </c>
      <c r="C38" s="234">
        <v>2263200</v>
      </c>
      <c r="D38" s="234"/>
      <c r="E38" s="235"/>
    </row>
    <row r="39" spans="1:5" s="624" customFormat="1" x14ac:dyDescent="0.25">
      <c r="A39" s="628" t="s">
        <v>635</v>
      </c>
      <c r="B39" s="247" t="s">
        <v>586</v>
      </c>
      <c r="C39" s="234"/>
      <c r="D39" s="234"/>
      <c r="E39" s="235"/>
    </row>
    <row r="40" spans="1:5" s="624" customFormat="1" x14ac:dyDescent="0.25">
      <c r="A40" s="625" t="s">
        <v>636</v>
      </c>
      <c r="B40" s="247" t="s">
        <v>637</v>
      </c>
      <c r="C40" s="630">
        <f>+C41+C42+C43+C44</f>
        <v>0</v>
      </c>
      <c r="D40" s="630">
        <f>+D41+D42+D43+D44</f>
        <v>0</v>
      </c>
      <c r="E40" s="631">
        <f>+E41+E42+E43+E44</f>
        <v>0</v>
      </c>
    </row>
    <row r="41" spans="1:5" s="624" customFormat="1" x14ac:dyDescent="0.25">
      <c r="A41" s="628" t="s">
        <v>638</v>
      </c>
      <c r="B41" s="247" t="s">
        <v>639</v>
      </c>
      <c r="C41" s="234"/>
      <c r="D41" s="234"/>
      <c r="E41" s="235"/>
    </row>
    <row r="42" spans="1:5" s="624" customFormat="1" ht="20.399999999999999" x14ac:dyDescent="0.25">
      <c r="A42" s="628" t="s">
        <v>640</v>
      </c>
      <c r="B42" s="247" t="s">
        <v>641</v>
      </c>
      <c r="C42" s="234"/>
      <c r="D42" s="234"/>
      <c r="E42" s="235"/>
    </row>
    <row r="43" spans="1:5" s="624" customFormat="1" x14ac:dyDescent="0.25">
      <c r="A43" s="628" t="s">
        <v>642</v>
      </c>
      <c r="B43" s="247" t="s">
        <v>643</v>
      </c>
      <c r="C43" s="234"/>
      <c r="D43" s="234"/>
      <c r="E43" s="235"/>
    </row>
    <row r="44" spans="1:5" s="624" customFormat="1" x14ac:dyDescent="0.25">
      <c r="A44" s="628" t="s">
        <v>644</v>
      </c>
      <c r="B44" s="247" t="s">
        <v>645</v>
      </c>
      <c r="C44" s="234"/>
      <c r="D44" s="234"/>
      <c r="E44" s="235"/>
    </row>
    <row r="45" spans="1:5" s="624" customFormat="1" x14ac:dyDescent="0.25">
      <c r="A45" s="625" t="s">
        <v>646</v>
      </c>
      <c r="B45" s="247" t="s">
        <v>647</v>
      </c>
      <c r="C45" s="630">
        <f>+C46+C47+C48+C49</f>
        <v>0</v>
      </c>
      <c r="D45" s="630">
        <f>+D46+D47+D48+D49</f>
        <v>0</v>
      </c>
      <c r="E45" s="631">
        <f>+E46+E47+E48+E49</f>
        <v>0</v>
      </c>
    </row>
    <row r="46" spans="1:5" s="624" customFormat="1" x14ac:dyDescent="0.25">
      <c r="A46" s="628" t="s">
        <v>648</v>
      </c>
      <c r="B46" s="247" t="s">
        <v>649</v>
      </c>
      <c r="C46" s="234"/>
      <c r="D46" s="234"/>
      <c r="E46" s="235"/>
    </row>
    <row r="47" spans="1:5" s="624" customFormat="1" ht="20.399999999999999" x14ac:dyDescent="0.25">
      <c r="A47" s="628" t="s">
        <v>650</v>
      </c>
      <c r="B47" s="247" t="s">
        <v>651</v>
      </c>
      <c r="C47" s="234"/>
      <c r="D47" s="234"/>
      <c r="E47" s="235"/>
    </row>
    <row r="48" spans="1:5" s="624" customFormat="1" x14ac:dyDescent="0.25">
      <c r="A48" s="628" t="s">
        <v>652</v>
      </c>
      <c r="B48" s="247" t="s">
        <v>653</v>
      </c>
      <c r="C48" s="234"/>
      <c r="D48" s="234"/>
      <c r="E48" s="235"/>
    </row>
    <row r="49" spans="1:5" s="624" customFormat="1" x14ac:dyDescent="0.25">
      <c r="A49" s="628" t="s">
        <v>654</v>
      </c>
      <c r="B49" s="247" t="s">
        <v>655</v>
      </c>
      <c r="C49" s="234"/>
      <c r="D49" s="234"/>
      <c r="E49" s="235"/>
    </row>
    <row r="50" spans="1:5" s="624" customFormat="1" x14ac:dyDescent="0.25">
      <c r="A50" s="625" t="s">
        <v>656</v>
      </c>
      <c r="B50" s="247" t="s">
        <v>657</v>
      </c>
      <c r="C50" s="234">
        <v>161505288</v>
      </c>
      <c r="D50" s="234"/>
      <c r="E50" s="235"/>
    </row>
    <row r="51" spans="1:5" s="624" customFormat="1" ht="20.399999999999999" x14ac:dyDescent="0.25">
      <c r="A51" s="625" t="s">
        <v>658</v>
      </c>
      <c r="B51" s="247" t="s">
        <v>659</v>
      </c>
      <c r="C51" s="795">
        <f>+C7+C8+C34+C50</f>
        <v>2557568200</v>
      </c>
      <c r="D51" s="630">
        <f>+D7+D8+D34+D50</f>
        <v>0</v>
      </c>
      <c r="E51" s="631">
        <f>+E7+E8+E34+E50</f>
        <v>0</v>
      </c>
    </row>
    <row r="52" spans="1:5" s="624" customFormat="1" x14ac:dyDescent="0.25">
      <c r="A52" s="625" t="s">
        <v>660</v>
      </c>
      <c r="B52" s="247" t="s">
        <v>661</v>
      </c>
      <c r="C52" s="234">
        <v>193645</v>
      </c>
      <c r="D52" s="234"/>
      <c r="E52" s="235"/>
    </row>
    <row r="53" spans="1:5" s="624" customFormat="1" x14ac:dyDescent="0.25">
      <c r="A53" s="625" t="s">
        <v>662</v>
      </c>
      <c r="B53" s="247" t="s">
        <v>663</v>
      </c>
      <c r="C53" s="234"/>
      <c r="D53" s="234"/>
      <c r="E53" s="235"/>
    </row>
    <row r="54" spans="1:5" s="624" customFormat="1" x14ac:dyDescent="0.25">
      <c r="A54" s="625" t="s">
        <v>664</v>
      </c>
      <c r="B54" s="247" t="s">
        <v>665</v>
      </c>
      <c r="C54" s="630">
        <f>+C52+C53</f>
        <v>193645</v>
      </c>
      <c r="D54" s="630">
        <f>+D52+D53</f>
        <v>0</v>
      </c>
      <c r="E54" s="631">
        <f>+E52+E53</f>
        <v>0</v>
      </c>
    </row>
    <row r="55" spans="1:5" s="624" customFormat="1" x14ac:dyDescent="0.25">
      <c r="A55" s="625" t="s">
        <v>666</v>
      </c>
      <c r="B55" s="247" t="s">
        <v>667</v>
      </c>
      <c r="C55" s="234"/>
      <c r="D55" s="234"/>
      <c r="E55" s="235"/>
    </row>
    <row r="56" spans="1:5" s="624" customFormat="1" x14ac:dyDescent="0.25">
      <c r="A56" s="625" t="s">
        <v>668</v>
      </c>
      <c r="B56" s="247" t="s">
        <v>669</v>
      </c>
      <c r="C56" s="234">
        <f>200+716900</f>
        <v>717100</v>
      </c>
      <c r="D56" s="234"/>
      <c r="E56" s="235"/>
    </row>
    <row r="57" spans="1:5" s="624" customFormat="1" x14ac:dyDescent="0.25">
      <c r="A57" s="625" t="s">
        <v>670</v>
      </c>
      <c r="B57" s="247" t="s">
        <v>671</v>
      </c>
      <c r="C57" s="234">
        <f>1964991+2279939+167964079</f>
        <v>172209009</v>
      </c>
      <c r="D57" s="234"/>
      <c r="E57" s="235"/>
    </row>
    <row r="58" spans="1:5" s="624" customFormat="1" x14ac:dyDescent="0.25">
      <c r="A58" s="625" t="s">
        <v>672</v>
      </c>
      <c r="B58" s="247" t="s">
        <v>673</v>
      </c>
      <c r="C58" s="234"/>
      <c r="D58" s="234"/>
      <c r="E58" s="235"/>
    </row>
    <row r="59" spans="1:5" s="624" customFormat="1" x14ac:dyDescent="0.25">
      <c r="A59" s="625" t="s">
        <v>674</v>
      </c>
      <c r="B59" s="247" t="s">
        <v>675</v>
      </c>
      <c r="C59" s="630">
        <f>+C55+C56+C57+C58</f>
        <v>172926109</v>
      </c>
      <c r="D59" s="630">
        <f>+D55+D56+D57+D58</f>
        <v>0</v>
      </c>
      <c r="E59" s="631">
        <f>+E55+E56+E57+E58</f>
        <v>0</v>
      </c>
    </row>
    <row r="60" spans="1:5" s="624" customFormat="1" x14ac:dyDescent="0.25">
      <c r="A60" s="625" t="s">
        <v>676</v>
      </c>
      <c r="B60" s="247" t="s">
        <v>677</v>
      </c>
      <c r="C60" s="234">
        <f>4148185+48488103</f>
        <v>52636288</v>
      </c>
      <c r="D60" s="234"/>
      <c r="E60" s="235"/>
    </row>
    <row r="61" spans="1:5" s="624" customFormat="1" x14ac:dyDescent="0.25">
      <c r="A61" s="625" t="s">
        <v>678</v>
      </c>
      <c r="B61" s="247" t="s">
        <v>679</v>
      </c>
      <c r="C61" s="234">
        <v>61700054</v>
      </c>
      <c r="D61" s="234"/>
      <c r="E61" s="235"/>
    </row>
    <row r="62" spans="1:5" s="624" customFormat="1" x14ac:dyDescent="0.25">
      <c r="A62" s="625" t="s">
        <v>680</v>
      </c>
      <c r="B62" s="247" t="s">
        <v>681</v>
      </c>
      <c r="C62" s="234">
        <f>170000+96666+558840</f>
        <v>825506</v>
      </c>
      <c r="D62" s="234"/>
      <c r="E62" s="235"/>
    </row>
    <row r="63" spans="1:5" s="624" customFormat="1" x14ac:dyDescent="0.25">
      <c r="A63" s="625" t="s">
        <v>682</v>
      </c>
      <c r="B63" s="247" t="s">
        <v>683</v>
      </c>
      <c r="C63" s="630">
        <f>+C60+C61+C62</f>
        <v>115161848</v>
      </c>
      <c r="D63" s="630">
        <f>+D60+D61+D62</f>
        <v>0</v>
      </c>
      <c r="E63" s="631">
        <f>+E60+E61+E62</f>
        <v>0</v>
      </c>
    </row>
    <row r="64" spans="1:5" s="624" customFormat="1" x14ac:dyDescent="0.25">
      <c r="A64" s="625" t="s">
        <v>684</v>
      </c>
      <c r="B64" s="247" t="s">
        <v>685</v>
      </c>
      <c r="C64" s="234">
        <f>655911+996600+67269</f>
        <v>1719780</v>
      </c>
      <c r="D64" s="234"/>
      <c r="E64" s="235"/>
    </row>
    <row r="65" spans="1:5" s="624" customFormat="1" x14ac:dyDescent="0.25">
      <c r="A65" s="625" t="s">
        <v>1765</v>
      </c>
      <c r="B65" s="247" t="s">
        <v>686</v>
      </c>
      <c r="C65" s="234">
        <f>-3875000-526000</f>
        <v>-4401000</v>
      </c>
      <c r="D65" s="234"/>
      <c r="E65" s="235"/>
    </row>
    <row r="66" spans="1:5" s="624" customFormat="1" x14ac:dyDescent="0.25">
      <c r="A66" s="625" t="s">
        <v>687</v>
      </c>
      <c r="B66" s="247" t="s">
        <v>688</v>
      </c>
      <c r="C66" s="630">
        <f>+C64+C65</f>
        <v>-2681220</v>
      </c>
      <c r="D66" s="630">
        <f>+D64+D65</f>
        <v>0</v>
      </c>
      <c r="E66" s="631">
        <f>+E64+E65</f>
        <v>0</v>
      </c>
    </row>
    <row r="67" spans="1:5" s="624" customFormat="1" x14ac:dyDescent="0.25">
      <c r="A67" s="625" t="s">
        <v>689</v>
      </c>
      <c r="B67" s="247" t="s">
        <v>690</v>
      </c>
      <c r="C67" s="234">
        <f>193818+9936+399804</f>
        <v>603558</v>
      </c>
      <c r="D67" s="234"/>
      <c r="E67" s="235"/>
    </row>
    <row r="68" spans="1:5" s="624" customFormat="1" ht="16.2" thickBot="1" x14ac:dyDescent="0.3">
      <c r="A68" s="632" t="s">
        <v>691</v>
      </c>
      <c r="B68" s="251" t="s">
        <v>692</v>
      </c>
      <c r="C68" s="796">
        <f>+C51+C54+C59+C63+C66+C67</f>
        <v>2843772140</v>
      </c>
      <c r="D68" s="633">
        <f>+D51+D54+D59+D63+D66+D67</f>
        <v>0</v>
      </c>
      <c r="E68" s="634">
        <f>+E51+E54+E59+E63+E66+E67</f>
        <v>0</v>
      </c>
    </row>
    <row r="69" spans="1:5" x14ac:dyDescent="0.3">
      <c r="A69" s="635"/>
      <c r="C69" s="636"/>
      <c r="D69" s="636"/>
      <c r="E69" s="637"/>
    </row>
    <row r="70" spans="1:5" x14ac:dyDescent="0.3">
      <c r="A70" s="635"/>
      <c r="C70" s="636"/>
      <c r="D70" s="636"/>
      <c r="E70" s="637"/>
    </row>
    <row r="71" spans="1:5" x14ac:dyDescent="0.3">
      <c r="A71" s="638"/>
      <c r="C71" s="636"/>
      <c r="D71" s="636"/>
      <c r="E71" s="637"/>
    </row>
    <row r="72" spans="1:5" x14ac:dyDescent="0.3">
      <c r="A72" s="1821"/>
      <c r="B72" s="1821"/>
      <c r="C72" s="1821"/>
      <c r="D72" s="1821"/>
      <c r="E72" s="1821"/>
    </row>
    <row r="73" spans="1:5" x14ac:dyDescent="0.3">
      <c r="A73" s="1821"/>
      <c r="B73" s="1821"/>
      <c r="C73" s="1821"/>
      <c r="D73" s="1821"/>
      <c r="E73" s="1821"/>
    </row>
  </sheetData>
  <mergeCells count="10">
    <mergeCell ref="A72:E72"/>
    <mergeCell ref="A73:E73"/>
    <mergeCell ref="A1:E1"/>
    <mergeCell ref="C2:E2"/>
    <mergeCell ref="A3:A5"/>
    <mergeCell ref="B3:B5"/>
    <mergeCell ref="C3:C4"/>
    <mergeCell ref="D3:D4"/>
    <mergeCell ref="E3:E4"/>
    <mergeCell ref="C5:E5"/>
  </mergeCells>
  <printOptions horizontalCentered="1"/>
  <pageMargins left="0.78740157480314965" right="0.82677165354330717" top="1.1023622047244095" bottom="0.98425196850393704" header="0.78740157480314965" footer="0.78740157480314965"/>
  <pageSetup paperSize="9" scale="85" orientation="portrait" horizontalDpi="300" verticalDpi="300" r:id="rId1"/>
  <headerFooter alignWithMargins="0">
    <oddHeader>&amp;C&amp;"Times New Roman CE,Félkövér dőlt"&amp;11a …/2017. (IV. …) önkormányzati rendelet 13. sz. melléklete</oddHeader>
    <oddFooter>&amp;C&amp;P</oddFooter>
  </headerFooter>
  <rowBreaks count="1" manualBreakCount="1">
    <brk id="44" max="16383" man="1"/>
  </row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tabColor rgb="FF92D050"/>
  </sheetPr>
  <dimension ref="A1:F44"/>
  <sheetViews>
    <sheetView zoomScaleNormal="100" workbookViewId="0">
      <selection activeCell="C5" sqref="C5"/>
    </sheetView>
  </sheetViews>
  <sheetFormatPr defaultColWidth="12" defaultRowHeight="15.6" x14ac:dyDescent="0.3"/>
  <cols>
    <col min="1" max="1" width="58.77734375" style="233" customWidth="1"/>
    <col min="2" max="2" width="6.77734375" style="233" customWidth="1"/>
    <col min="3" max="3" width="17.109375" style="233" customWidth="1"/>
    <col min="4" max="4" width="19.109375" style="233" customWidth="1"/>
    <col min="5" max="16384" width="12" style="233"/>
  </cols>
  <sheetData>
    <row r="1" spans="1:4" ht="48" customHeight="1" x14ac:dyDescent="0.3">
      <c r="A1" s="1837" t="str">
        <f>+CONCATENATE("VAGYONKIMUTATÁS",CHAR(10),"az érték nélkül nyilvántartott eszközökről",CHAR(10),LEFT(ÖSSZEFÜGGÉSEK!A4,4),".")</f>
        <v>VAGYONKIMUTATÁS
az érték nélkül nyilvántartott eszközökről
2016.</v>
      </c>
      <c r="B1" s="1838"/>
      <c r="C1" s="1838"/>
      <c r="D1" s="1838"/>
    </row>
    <row r="2" spans="1:4" ht="16.2" thickBot="1" x14ac:dyDescent="0.35"/>
    <row r="3" spans="1:4" ht="43.5" customHeight="1" thickBot="1" x14ac:dyDescent="0.35">
      <c r="A3" s="647" t="s">
        <v>293</v>
      </c>
      <c r="B3" s="678" t="s">
        <v>588</v>
      </c>
      <c r="C3" s="648" t="s">
        <v>710</v>
      </c>
      <c r="D3" s="649" t="s">
        <v>711</v>
      </c>
    </row>
    <row r="4" spans="1:4" ht="16.2" thickBot="1" x14ac:dyDescent="0.35">
      <c r="A4" s="255" t="s">
        <v>46</v>
      </c>
      <c r="B4" s="256" t="s">
        <v>47</v>
      </c>
      <c r="C4" s="256" t="s">
        <v>48</v>
      </c>
      <c r="D4" s="257" t="s">
        <v>49</v>
      </c>
    </row>
    <row r="5" spans="1:4" ht="15.75" customHeight="1" x14ac:dyDescent="0.3">
      <c r="A5" s="266" t="s">
        <v>712</v>
      </c>
      <c r="B5" s="259" t="s">
        <v>51</v>
      </c>
      <c r="C5" s="260"/>
      <c r="D5" s="261"/>
    </row>
    <row r="6" spans="1:4" ht="15.75" customHeight="1" x14ac:dyDescent="0.3">
      <c r="A6" s="266" t="s">
        <v>713</v>
      </c>
      <c r="B6" s="263" t="s">
        <v>65</v>
      </c>
      <c r="C6" s="264"/>
      <c r="D6" s="265"/>
    </row>
    <row r="7" spans="1:4" ht="15.75" customHeight="1" x14ac:dyDescent="0.3">
      <c r="A7" s="266" t="s">
        <v>714</v>
      </c>
      <c r="B7" s="263" t="s">
        <v>79</v>
      </c>
      <c r="C7" s="264"/>
      <c r="D7" s="265"/>
    </row>
    <row r="8" spans="1:4" ht="15.75" customHeight="1" thickBot="1" x14ac:dyDescent="0.35">
      <c r="A8" s="267" t="s">
        <v>715</v>
      </c>
      <c r="B8" s="268" t="s">
        <v>262</v>
      </c>
      <c r="C8" s="269">
        <v>1</v>
      </c>
      <c r="D8" s="270">
        <v>638</v>
      </c>
    </row>
    <row r="9" spans="1:4" ht="15.75" customHeight="1" thickBot="1" x14ac:dyDescent="0.35">
      <c r="A9" s="651" t="s">
        <v>716</v>
      </c>
      <c r="B9" s="652" t="s">
        <v>107</v>
      </c>
      <c r="C9" s="653"/>
      <c r="D9" s="654">
        <f>+D10+D11+D12+D13</f>
        <v>0</v>
      </c>
    </row>
    <row r="10" spans="1:4" ht="15.75" customHeight="1" x14ac:dyDescent="0.3">
      <c r="A10" s="650" t="s">
        <v>717</v>
      </c>
      <c r="B10" s="259" t="s">
        <v>129</v>
      </c>
      <c r="C10" s="260"/>
      <c r="D10" s="261"/>
    </row>
    <row r="11" spans="1:4" ht="15.75" customHeight="1" x14ac:dyDescent="0.3">
      <c r="A11" s="266" t="s">
        <v>718</v>
      </c>
      <c r="B11" s="263" t="s">
        <v>273</v>
      </c>
      <c r="C11" s="264"/>
      <c r="D11" s="265"/>
    </row>
    <row r="12" spans="1:4" ht="15.75" customHeight="1" x14ac:dyDescent="0.3">
      <c r="A12" s="266" t="s">
        <v>719</v>
      </c>
      <c r="B12" s="263" t="s">
        <v>151</v>
      </c>
      <c r="C12" s="264"/>
      <c r="D12" s="265"/>
    </row>
    <row r="13" spans="1:4" ht="15.75" customHeight="1" thickBot="1" x14ac:dyDescent="0.35">
      <c r="A13" s="267" t="s">
        <v>720</v>
      </c>
      <c r="B13" s="268" t="s">
        <v>161</v>
      </c>
      <c r="C13" s="269"/>
      <c r="D13" s="270"/>
    </row>
    <row r="14" spans="1:4" ht="15.75" customHeight="1" thickBot="1" x14ac:dyDescent="0.35">
      <c r="A14" s="651" t="s">
        <v>721</v>
      </c>
      <c r="B14" s="652" t="s">
        <v>285</v>
      </c>
      <c r="C14" s="653"/>
      <c r="D14" s="654">
        <f>+D15+D16+D17</f>
        <v>0</v>
      </c>
    </row>
    <row r="15" spans="1:4" ht="15.75" customHeight="1" x14ac:dyDescent="0.3">
      <c r="A15" s="650" t="s">
        <v>722</v>
      </c>
      <c r="B15" s="259" t="s">
        <v>307</v>
      </c>
      <c r="C15" s="260"/>
      <c r="D15" s="261"/>
    </row>
    <row r="16" spans="1:4" ht="15.75" customHeight="1" x14ac:dyDescent="0.3">
      <c r="A16" s="266" t="s">
        <v>723</v>
      </c>
      <c r="B16" s="263" t="s">
        <v>308</v>
      </c>
      <c r="C16" s="264"/>
      <c r="D16" s="265"/>
    </row>
    <row r="17" spans="1:4" ht="15.75" customHeight="1" thickBot="1" x14ac:dyDescent="0.35">
      <c r="A17" s="267" t="s">
        <v>724</v>
      </c>
      <c r="B17" s="268" t="s">
        <v>309</v>
      </c>
      <c r="C17" s="269"/>
      <c r="D17" s="270"/>
    </row>
    <row r="18" spans="1:4" ht="15.75" customHeight="1" thickBot="1" x14ac:dyDescent="0.35">
      <c r="A18" s="651" t="s">
        <v>725</v>
      </c>
      <c r="B18" s="652" t="s">
        <v>312</v>
      </c>
      <c r="C18" s="653"/>
      <c r="D18" s="654">
        <f>+D19+D20+D21</f>
        <v>0</v>
      </c>
    </row>
    <row r="19" spans="1:4" ht="15.75" customHeight="1" x14ac:dyDescent="0.3">
      <c r="A19" s="650" t="s">
        <v>726</v>
      </c>
      <c r="B19" s="259" t="s">
        <v>315</v>
      </c>
      <c r="C19" s="260"/>
      <c r="D19" s="261"/>
    </row>
    <row r="20" spans="1:4" ht="15.75" customHeight="1" x14ac:dyDescent="0.3">
      <c r="A20" s="266" t="s">
        <v>727</v>
      </c>
      <c r="B20" s="263" t="s">
        <v>318</v>
      </c>
      <c r="C20" s="264"/>
      <c r="D20" s="265"/>
    </row>
    <row r="21" spans="1:4" ht="15.75" customHeight="1" x14ac:dyDescent="0.3">
      <c r="A21" s="266" t="s">
        <v>728</v>
      </c>
      <c r="B21" s="263" t="s">
        <v>321</v>
      </c>
      <c r="C21" s="264"/>
      <c r="D21" s="265"/>
    </row>
    <row r="22" spans="1:4" ht="15.75" customHeight="1" x14ac:dyDescent="0.3">
      <c r="A22" s="266" t="s">
        <v>729</v>
      </c>
      <c r="B22" s="263" t="s">
        <v>324</v>
      </c>
      <c r="C22" s="264"/>
      <c r="D22" s="265"/>
    </row>
    <row r="23" spans="1:4" ht="15.75" customHeight="1" x14ac:dyDescent="0.3">
      <c r="A23" s="266"/>
      <c r="B23" s="263" t="s">
        <v>327</v>
      </c>
      <c r="C23" s="264"/>
      <c r="D23" s="265"/>
    </row>
    <row r="24" spans="1:4" ht="15.75" customHeight="1" x14ac:dyDescent="0.3">
      <c r="A24" s="266"/>
      <c r="B24" s="263" t="s">
        <v>330</v>
      </c>
      <c r="C24" s="264"/>
      <c r="D24" s="265"/>
    </row>
    <row r="25" spans="1:4" ht="15.75" customHeight="1" x14ac:dyDescent="0.3">
      <c r="A25" s="266"/>
      <c r="B25" s="263" t="s">
        <v>333</v>
      </c>
      <c r="C25" s="264"/>
      <c r="D25" s="265"/>
    </row>
    <row r="26" spans="1:4" ht="15.75" customHeight="1" x14ac:dyDescent="0.3">
      <c r="A26" s="266"/>
      <c r="B26" s="263" t="s">
        <v>336</v>
      </c>
      <c r="C26" s="264"/>
      <c r="D26" s="265"/>
    </row>
    <row r="27" spans="1:4" ht="15.75" customHeight="1" x14ac:dyDescent="0.3">
      <c r="A27" s="266"/>
      <c r="B27" s="263" t="s">
        <v>339</v>
      </c>
      <c r="C27" s="264"/>
      <c r="D27" s="265"/>
    </row>
    <row r="28" spans="1:4" ht="15.75" customHeight="1" x14ac:dyDescent="0.3">
      <c r="A28" s="266"/>
      <c r="B28" s="263" t="s">
        <v>342</v>
      </c>
      <c r="C28" s="264"/>
      <c r="D28" s="265"/>
    </row>
    <row r="29" spans="1:4" ht="15.75" customHeight="1" x14ac:dyDescent="0.3">
      <c r="A29" s="266"/>
      <c r="B29" s="263" t="s">
        <v>345</v>
      </c>
      <c r="C29" s="264"/>
      <c r="D29" s="265"/>
    </row>
    <row r="30" spans="1:4" ht="15.75" customHeight="1" x14ac:dyDescent="0.3">
      <c r="A30" s="266"/>
      <c r="B30" s="263" t="s">
        <v>375</v>
      </c>
      <c r="C30" s="264"/>
      <c r="D30" s="265"/>
    </row>
    <row r="31" spans="1:4" ht="15.75" customHeight="1" x14ac:dyDescent="0.3">
      <c r="A31" s="266"/>
      <c r="B31" s="263" t="s">
        <v>378</v>
      </c>
      <c r="C31" s="264"/>
      <c r="D31" s="265"/>
    </row>
    <row r="32" spans="1:4" ht="15.75" customHeight="1" x14ac:dyDescent="0.3">
      <c r="A32" s="266"/>
      <c r="B32" s="263" t="s">
        <v>379</v>
      </c>
      <c r="C32" s="264"/>
      <c r="D32" s="265"/>
    </row>
    <row r="33" spans="1:6" ht="15.75" customHeight="1" x14ac:dyDescent="0.3">
      <c r="A33" s="266"/>
      <c r="B33" s="263" t="s">
        <v>498</v>
      </c>
      <c r="C33" s="264"/>
      <c r="D33" s="265"/>
    </row>
    <row r="34" spans="1:6" ht="15.75" customHeight="1" x14ac:dyDescent="0.3">
      <c r="A34" s="266"/>
      <c r="B34" s="263" t="s">
        <v>499</v>
      </c>
      <c r="C34" s="264"/>
      <c r="D34" s="265"/>
    </row>
    <row r="35" spans="1:6" ht="15.75" customHeight="1" x14ac:dyDescent="0.3">
      <c r="A35" s="266"/>
      <c r="B35" s="263" t="s">
        <v>500</v>
      </c>
      <c r="C35" s="264"/>
      <c r="D35" s="265"/>
    </row>
    <row r="36" spans="1:6" ht="15.75" customHeight="1" x14ac:dyDescent="0.3">
      <c r="A36" s="266"/>
      <c r="B36" s="263" t="s">
        <v>585</v>
      </c>
      <c r="C36" s="264"/>
      <c r="D36" s="265"/>
    </row>
    <row r="37" spans="1:6" ht="15.75" customHeight="1" thickBot="1" x14ac:dyDescent="0.35">
      <c r="A37" s="267"/>
      <c r="B37" s="268" t="s">
        <v>586</v>
      </c>
      <c r="C37" s="269"/>
      <c r="D37" s="270"/>
    </row>
    <row r="38" spans="1:6" ht="15.75" customHeight="1" thickBot="1" x14ac:dyDescent="0.35">
      <c r="A38" s="1839" t="s">
        <v>730</v>
      </c>
      <c r="B38" s="1840"/>
      <c r="C38" s="271"/>
      <c r="D38" s="654">
        <f>+D5+D6+D7+D8+D9+D14+D18+D22+D23+D24+D25+D26+D27+D28+D29+D30+D31+D32+D33+D34+D35+D36+D37</f>
        <v>638</v>
      </c>
      <c r="F38" s="272"/>
    </row>
    <row r="39" spans="1:6" x14ac:dyDescent="0.3">
      <c r="A39" s="655" t="s">
        <v>731</v>
      </c>
    </row>
    <row r="40" spans="1:6" x14ac:dyDescent="0.3">
      <c r="A40" s="237"/>
      <c r="B40" s="238"/>
      <c r="C40" s="1841"/>
      <c r="D40" s="1841"/>
    </row>
    <row r="41" spans="1:6" x14ac:dyDescent="0.3">
      <c r="A41" s="237"/>
      <c r="B41" s="238"/>
      <c r="C41" s="679"/>
      <c r="D41" s="679"/>
    </row>
    <row r="42" spans="1:6" x14ac:dyDescent="0.3">
      <c r="A42" s="238"/>
      <c r="B42" s="238"/>
      <c r="C42" s="1841"/>
      <c r="D42" s="1841"/>
    </row>
    <row r="43" spans="1:6" x14ac:dyDescent="0.3">
      <c r="A43" s="253"/>
      <c r="B43" s="253"/>
    </row>
    <row r="44" spans="1:6" x14ac:dyDescent="0.3">
      <c r="A44" s="253"/>
      <c r="B44" s="253"/>
      <c r="C44" s="253"/>
    </row>
  </sheetData>
  <sheetProtection sheet="1" objects="1" scenarios="1"/>
  <mergeCells count="4">
    <mergeCell ref="A1:D1"/>
    <mergeCell ref="A38:B38"/>
    <mergeCell ref="C40:D40"/>
    <mergeCell ref="C42:D42"/>
  </mergeCells>
  <printOptions horizontalCentered="1"/>
  <pageMargins left="0.78740157480314965" right="0.78740157480314965" top="1.1479166666666667" bottom="0.98425196850393704" header="0.78740157480314965" footer="0.78740157480314965"/>
  <pageSetup paperSize="9" scale="93" orientation="portrait" r:id="rId1"/>
  <headerFooter alignWithMargins="0">
    <oddHeader>&amp;L&amp;"Times New Roman,Félkövér dőlt"......................Önkormányzat&amp;R&amp;"Times New Roman,Félkövér dőlt"7.3. tájékoztató tábla a ……/2015. (……) önkormányzati rendelethez</oddHead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tabColor rgb="FF92D050"/>
  </sheetPr>
  <dimension ref="A1:F38"/>
  <sheetViews>
    <sheetView zoomScaleNormal="100" workbookViewId="0">
      <selection activeCell="A5" sqref="A5"/>
    </sheetView>
  </sheetViews>
  <sheetFormatPr defaultColWidth="12" defaultRowHeight="15.6" x14ac:dyDescent="0.3"/>
  <cols>
    <col min="1" max="1" width="56.109375" style="233" customWidth="1"/>
    <col min="2" max="2" width="6.77734375" style="233" customWidth="1"/>
    <col min="3" max="3" width="17.109375" style="233" customWidth="1"/>
    <col min="4" max="4" width="19.109375" style="233" customWidth="1"/>
    <col min="5" max="16384" width="12" style="233"/>
  </cols>
  <sheetData>
    <row r="1" spans="1:4" ht="48.75" customHeight="1" x14ac:dyDescent="0.3">
      <c r="A1" s="1842" t="str">
        <f>+CONCATENATE("VAGYONKIMUTATÁS",CHAR(10),"a függő követelésekről éa kötelezettségekről, a biztos (jövőbeni) követelésekről",CHAR(10),LEFT(ÖSSZEFÜGGÉSEK!A4,4),".")</f>
        <v>VAGYONKIMUTATÁS
a függő követelésekről éa kötelezettségekről, a biztos (jövőbeni) követelésekről
2016.</v>
      </c>
      <c r="B1" s="1843"/>
      <c r="C1" s="1843"/>
      <c r="D1" s="1843"/>
    </row>
    <row r="2" spans="1:4" ht="16.2" thickBot="1" x14ac:dyDescent="0.35"/>
    <row r="3" spans="1:4" ht="53.4" thickBot="1" x14ac:dyDescent="0.35">
      <c r="A3" s="656" t="s">
        <v>293</v>
      </c>
      <c r="B3" s="678" t="s">
        <v>588</v>
      </c>
      <c r="C3" s="657" t="s">
        <v>732</v>
      </c>
      <c r="D3" s="658" t="s">
        <v>711</v>
      </c>
    </row>
    <row r="4" spans="1:4" ht="16.2" thickBot="1" x14ac:dyDescent="0.35">
      <c r="A4" s="273" t="s">
        <v>46</v>
      </c>
      <c r="B4" s="274" t="s">
        <v>47</v>
      </c>
      <c r="C4" s="274" t="s">
        <v>48</v>
      </c>
      <c r="D4" s="275" t="s">
        <v>49</v>
      </c>
    </row>
    <row r="5" spans="1:4" ht="15.75" customHeight="1" x14ac:dyDescent="0.3">
      <c r="A5" s="262" t="s">
        <v>733</v>
      </c>
      <c r="B5" s="259" t="s">
        <v>51</v>
      </c>
      <c r="C5" s="260"/>
      <c r="D5" s="261"/>
    </row>
    <row r="6" spans="1:4" ht="15.75" customHeight="1" x14ac:dyDescent="0.3">
      <c r="A6" s="262" t="s">
        <v>734</v>
      </c>
      <c r="B6" s="263" t="s">
        <v>65</v>
      </c>
      <c r="C6" s="264"/>
      <c r="D6" s="265"/>
    </row>
    <row r="7" spans="1:4" ht="15.75" customHeight="1" thickBot="1" x14ac:dyDescent="0.35">
      <c r="A7" s="659" t="s">
        <v>735</v>
      </c>
      <c r="B7" s="268" t="s">
        <v>79</v>
      </c>
      <c r="C7" s="269"/>
      <c r="D7" s="270"/>
    </row>
    <row r="8" spans="1:4" ht="15.75" customHeight="1" thickBot="1" x14ac:dyDescent="0.35">
      <c r="A8" s="651" t="s">
        <v>736</v>
      </c>
      <c r="B8" s="652" t="s">
        <v>262</v>
      </c>
      <c r="C8" s="653"/>
      <c r="D8" s="654">
        <f>+D5+D6+D7</f>
        <v>0</v>
      </c>
    </row>
    <row r="9" spans="1:4" ht="15.75" customHeight="1" x14ac:dyDescent="0.3">
      <c r="A9" s="258" t="s">
        <v>737</v>
      </c>
      <c r="B9" s="259" t="s">
        <v>107</v>
      </c>
      <c r="C9" s="260"/>
      <c r="D9" s="261"/>
    </row>
    <row r="10" spans="1:4" ht="15.75" customHeight="1" x14ac:dyDescent="0.3">
      <c r="A10" s="262" t="s">
        <v>738</v>
      </c>
      <c r="B10" s="263" t="s">
        <v>129</v>
      </c>
      <c r="C10" s="264"/>
      <c r="D10" s="265"/>
    </row>
    <row r="11" spans="1:4" ht="15.75" customHeight="1" x14ac:dyDescent="0.3">
      <c r="A11" s="262" t="s">
        <v>739</v>
      </c>
      <c r="B11" s="263" t="s">
        <v>273</v>
      </c>
      <c r="C11" s="264"/>
      <c r="D11" s="265"/>
    </row>
    <row r="12" spans="1:4" ht="15.75" customHeight="1" x14ac:dyDescent="0.3">
      <c r="A12" s="262" t="s">
        <v>740</v>
      </c>
      <c r="B12" s="263" t="s">
        <v>151</v>
      </c>
      <c r="C12" s="264"/>
      <c r="D12" s="265"/>
    </row>
    <row r="13" spans="1:4" ht="15.75" customHeight="1" thickBot="1" x14ac:dyDescent="0.35">
      <c r="A13" s="659" t="s">
        <v>741</v>
      </c>
      <c r="B13" s="268" t="s">
        <v>161</v>
      </c>
      <c r="C13" s="269"/>
      <c r="D13" s="270"/>
    </row>
    <row r="14" spans="1:4" ht="15.75" customHeight="1" thickBot="1" x14ac:dyDescent="0.35">
      <c r="A14" s="651" t="s">
        <v>742</v>
      </c>
      <c r="B14" s="652" t="s">
        <v>285</v>
      </c>
      <c r="C14" s="660"/>
      <c r="D14" s="654">
        <f>+D9+D10+D11+D12+D13</f>
        <v>0</v>
      </c>
    </row>
    <row r="15" spans="1:4" ht="15.75" customHeight="1" x14ac:dyDescent="0.3">
      <c r="A15" s="258"/>
      <c r="B15" s="259" t="s">
        <v>307</v>
      </c>
      <c r="C15" s="260"/>
      <c r="D15" s="261"/>
    </row>
    <row r="16" spans="1:4" ht="15.75" customHeight="1" x14ac:dyDescent="0.3">
      <c r="A16" s="262"/>
      <c r="B16" s="263" t="s">
        <v>308</v>
      </c>
      <c r="C16" s="264"/>
      <c r="D16" s="265"/>
    </row>
    <row r="17" spans="1:4" ht="15.75" customHeight="1" x14ac:dyDescent="0.3">
      <c r="A17" s="262"/>
      <c r="B17" s="263" t="s">
        <v>309</v>
      </c>
      <c r="C17" s="264"/>
      <c r="D17" s="265"/>
    </row>
    <row r="18" spans="1:4" ht="15.75" customHeight="1" x14ac:dyDescent="0.3">
      <c r="A18" s="262"/>
      <c r="B18" s="263" t="s">
        <v>312</v>
      </c>
      <c r="C18" s="264"/>
      <c r="D18" s="265"/>
    </row>
    <row r="19" spans="1:4" ht="15.75" customHeight="1" x14ac:dyDescent="0.3">
      <c r="A19" s="262"/>
      <c r="B19" s="263" t="s">
        <v>315</v>
      </c>
      <c r="C19" s="264"/>
      <c r="D19" s="265"/>
    </row>
    <row r="20" spans="1:4" ht="15.75" customHeight="1" x14ac:dyDescent="0.3">
      <c r="A20" s="262"/>
      <c r="B20" s="263" t="s">
        <v>318</v>
      </c>
      <c r="C20" s="264"/>
      <c r="D20" s="265"/>
    </row>
    <row r="21" spans="1:4" ht="15.75" customHeight="1" x14ac:dyDescent="0.3">
      <c r="A21" s="262"/>
      <c r="B21" s="263" t="s">
        <v>321</v>
      </c>
      <c r="C21" s="264"/>
      <c r="D21" s="265"/>
    </row>
    <row r="22" spans="1:4" ht="15.75" customHeight="1" x14ac:dyDescent="0.3">
      <c r="A22" s="262"/>
      <c r="B22" s="263" t="s">
        <v>324</v>
      </c>
      <c r="C22" s="264"/>
      <c r="D22" s="265"/>
    </row>
    <row r="23" spans="1:4" ht="15.75" customHeight="1" x14ac:dyDescent="0.3">
      <c r="A23" s="262"/>
      <c r="B23" s="263" t="s">
        <v>327</v>
      </c>
      <c r="C23" s="264"/>
      <c r="D23" s="265"/>
    </row>
    <row r="24" spans="1:4" ht="15.75" customHeight="1" x14ac:dyDescent="0.3">
      <c r="A24" s="262"/>
      <c r="B24" s="263" t="s">
        <v>330</v>
      </c>
      <c r="C24" s="264"/>
      <c r="D24" s="265"/>
    </row>
    <row r="25" spans="1:4" ht="15.75" customHeight="1" x14ac:dyDescent="0.3">
      <c r="A25" s="262"/>
      <c r="B25" s="263" t="s">
        <v>333</v>
      </c>
      <c r="C25" s="264"/>
      <c r="D25" s="265"/>
    </row>
    <row r="26" spans="1:4" ht="15.75" customHeight="1" x14ac:dyDescent="0.3">
      <c r="A26" s="262"/>
      <c r="B26" s="263" t="s">
        <v>336</v>
      </c>
      <c r="C26" s="264"/>
      <c r="D26" s="265"/>
    </row>
    <row r="27" spans="1:4" ht="15.75" customHeight="1" x14ac:dyDescent="0.3">
      <c r="A27" s="262"/>
      <c r="B27" s="263" t="s">
        <v>339</v>
      </c>
      <c r="C27" s="264"/>
      <c r="D27" s="265"/>
    </row>
    <row r="28" spans="1:4" ht="15.75" customHeight="1" x14ac:dyDescent="0.3">
      <c r="A28" s="262"/>
      <c r="B28" s="263" t="s">
        <v>342</v>
      </c>
      <c r="C28" s="264"/>
      <c r="D28" s="265"/>
    </row>
    <row r="29" spans="1:4" ht="15.75" customHeight="1" x14ac:dyDescent="0.3">
      <c r="A29" s="262"/>
      <c r="B29" s="263" t="s">
        <v>345</v>
      </c>
      <c r="C29" s="264"/>
      <c r="D29" s="265"/>
    </row>
    <row r="30" spans="1:4" ht="15.75" customHeight="1" x14ac:dyDescent="0.3">
      <c r="A30" s="262"/>
      <c r="B30" s="263" t="s">
        <v>375</v>
      </c>
      <c r="C30" s="264"/>
      <c r="D30" s="265"/>
    </row>
    <row r="31" spans="1:4" ht="15.75" customHeight="1" x14ac:dyDescent="0.3">
      <c r="A31" s="262"/>
      <c r="B31" s="263" t="s">
        <v>378</v>
      </c>
      <c r="C31" s="264"/>
      <c r="D31" s="265"/>
    </row>
    <row r="32" spans="1:4" ht="15.75" customHeight="1" x14ac:dyDescent="0.3">
      <c r="A32" s="262"/>
      <c r="B32" s="263" t="s">
        <v>379</v>
      </c>
      <c r="C32" s="264"/>
      <c r="D32" s="265"/>
    </row>
    <row r="33" spans="1:6" ht="15.75" customHeight="1" x14ac:dyDescent="0.3">
      <c r="A33" s="262"/>
      <c r="B33" s="263" t="s">
        <v>498</v>
      </c>
      <c r="C33" s="264"/>
      <c r="D33" s="265"/>
    </row>
    <row r="34" spans="1:6" ht="15.75" customHeight="1" x14ac:dyDescent="0.3">
      <c r="A34" s="262"/>
      <c r="B34" s="263" t="s">
        <v>499</v>
      </c>
      <c r="C34" s="264"/>
      <c r="D34" s="265"/>
    </row>
    <row r="35" spans="1:6" ht="15.75" customHeight="1" x14ac:dyDescent="0.3">
      <c r="A35" s="262"/>
      <c r="B35" s="263" t="s">
        <v>500</v>
      </c>
      <c r="C35" s="264"/>
      <c r="D35" s="265"/>
    </row>
    <row r="36" spans="1:6" ht="15.75" customHeight="1" x14ac:dyDescent="0.3">
      <c r="A36" s="262"/>
      <c r="B36" s="263" t="s">
        <v>585</v>
      </c>
      <c r="C36" s="264"/>
      <c r="D36" s="265"/>
    </row>
    <row r="37" spans="1:6" ht="15.75" customHeight="1" thickBot="1" x14ac:dyDescent="0.35">
      <c r="A37" s="276"/>
      <c r="B37" s="277" t="s">
        <v>586</v>
      </c>
      <c r="C37" s="278"/>
      <c r="D37" s="279"/>
    </row>
    <row r="38" spans="1:6" ht="15.75" customHeight="1" thickBot="1" x14ac:dyDescent="0.35">
      <c r="A38" s="1844" t="s">
        <v>743</v>
      </c>
      <c r="B38" s="1845"/>
      <c r="C38" s="271"/>
      <c r="D38" s="654">
        <f>+D8+D14+SUM(D15:D37)</f>
        <v>0</v>
      </c>
      <c r="F38" s="280"/>
    </row>
  </sheetData>
  <sheetProtection sheet="1" objects="1" scenarios="1"/>
  <mergeCells count="2">
    <mergeCell ref="A1:D1"/>
    <mergeCell ref="A38:B38"/>
  </mergeCells>
  <printOptions horizontalCentered="1"/>
  <pageMargins left="0.78740157480314965" right="0.78740157480314965" top="1.128125" bottom="0.98425196850393704" header="0.78740157480314965" footer="0.78740157480314965"/>
  <pageSetup paperSize="9" scale="95" orientation="portrait" r:id="rId1"/>
  <headerFooter alignWithMargins="0">
    <oddHeader>&amp;L&amp;"Times New Roman,Félkövér dőlt"......................Önkormányzat&amp;R&amp;"Times New Roman,Félkövér dőlt"7.4. tájékoztató tábla a ……/2015. (……) önkormányzati rendelethez</oddHead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rgb="FF92D050"/>
  </sheetPr>
  <dimension ref="A1:F23"/>
  <sheetViews>
    <sheetView zoomScaleNormal="100" workbookViewId="0">
      <selection activeCell="I29" sqref="I29"/>
    </sheetView>
  </sheetViews>
  <sheetFormatPr defaultColWidth="9.33203125" defaultRowHeight="13.2" x14ac:dyDescent="0.25"/>
  <cols>
    <col min="1" max="1" width="9.33203125" style="305"/>
    <col min="2" max="2" width="58.33203125" style="305" customWidth="1"/>
    <col min="3" max="5" width="25" style="305" customWidth="1"/>
    <col min="6" max="6" width="5.44140625" style="305" customWidth="1"/>
    <col min="7" max="16384" width="9.33203125" style="305"/>
  </cols>
  <sheetData>
    <row r="1" spans="1:6" x14ac:dyDescent="0.25">
      <c r="A1" s="306"/>
      <c r="F1" s="1849" t="str">
        <f>+CONCATENATE("8. tájékoztató tábla a ......../",LEFT(ÖSSZEFÜGGÉSEK!A4,4)+1,". (........) önkormányzati rendelethez")</f>
        <v>8. tájékoztató tábla a ......../2017. (........) önkormányzati rendelethez</v>
      </c>
    </row>
    <row r="2" spans="1:6" ht="33" customHeight="1" x14ac:dyDescent="0.25">
      <c r="A2" s="1846" t="str">
        <f>+CONCATENATE("A ………Önkormányzat tulajdonában álló gazdálkodó szervezetek működéséből származó",CHAR(10),"kötelezettségek és részesedések alakulása a ",LEFT(ÖSSZEFÜGGÉSEK!A4,4),". évben")</f>
        <v>A ………Önkormányzat tulajdonában álló gazdálkodó szervezetek működéséből származó
kötelezettségek és részesedések alakulása a 2016. évben</v>
      </c>
      <c r="B2" s="1846"/>
      <c r="C2" s="1846"/>
      <c r="D2" s="1846"/>
      <c r="E2" s="1846"/>
      <c r="F2" s="1849"/>
    </row>
    <row r="3" spans="1:6" ht="16.2" thickBot="1" x14ac:dyDescent="0.35">
      <c r="A3" s="307"/>
      <c r="F3" s="1849"/>
    </row>
    <row r="4" spans="1:6" ht="63" thickBot="1" x14ac:dyDescent="0.3">
      <c r="A4" s="308" t="s">
        <v>588</v>
      </c>
      <c r="B4" s="309" t="s">
        <v>744</v>
      </c>
      <c r="C4" s="309" t="s">
        <v>745</v>
      </c>
      <c r="D4" s="309" t="s">
        <v>746</v>
      </c>
      <c r="E4" s="310" t="s">
        <v>747</v>
      </c>
      <c r="F4" s="1849"/>
    </row>
    <row r="5" spans="1:6" ht="15.6" x14ac:dyDescent="0.25">
      <c r="A5" s="311" t="s">
        <v>51</v>
      </c>
      <c r="B5" s="315"/>
      <c r="C5" s="318"/>
      <c r="D5" s="321"/>
      <c r="E5" s="325"/>
      <c r="F5" s="1849"/>
    </row>
    <row r="6" spans="1:6" ht="15.6" x14ac:dyDescent="0.25">
      <c r="A6" s="312" t="s">
        <v>65</v>
      </c>
      <c r="B6" s="316"/>
      <c r="C6" s="319"/>
      <c r="D6" s="322"/>
      <c r="E6" s="326"/>
      <c r="F6" s="1849"/>
    </row>
    <row r="7" spans="1:6" ht="15.6" x14ac:dyDescent="0.25">
      <c r="A7" s="312" t="s">
        <v>79</v>
      </c>
      <c r="B7" s="316"/>
      <c r="C7" s="319"/>
      <c r="D7" s="322"/>
      <c r="E7" s="326"/>
      <c r="F7" s="1849"/>
    </row>
    <row r="8" spans="1:6" ht="15.6" x14ac:dyDescent="0.25">
      <c r="A8" s="312" t="s">
        <v>262</v>
      </c>
      <c r="B8" s="316"/>
      <c r="C8" s="319"/>
      <c r="D8" s="322"/>
      <c r="E8" s="326"/>
      <c r="F8" s="1849"/>
    </row>
    <row r="9" spans="1:6" ht="15.6" x14ac:dyDescent="0.25">
      <c r="A9" s="312" t="s">
        <v>107</v>
      </c>
      <c r="B9" s="316"/>
      <c r="C9" s="319"/>
      <c r="D9" s="322"/>
      <c r="E9" s="326"/>
      <c r="F9" s="1849"/>
    </row>
    <row r="10" spans="1:6" ht="15.6" x14ac:dyDescent="0.25">
      <c r="A10" s="312" t="s">
        <v>129</v>
      </c>
      <c r="B10" s="316"/>
      <c r="C10" s="319"/>
      <c r="D10" s="322"/>
      <c r="E10" s="326"/>
      <c r="F10" s="1849"/>
    </row>
    <row r="11" spans="1:6" ht="15.6" x14ac:dyDescent="0.25">
      <c r="A11" s="312" t="s">
        <v>273</v>
      </c>
      <c r="B11" s="316"/>
      <c r="C11" s="319"/>
      <c r="D11" s="322"/>
      <c r="E11" s="326"/>
      <c r="F11" s="1849"/>
    </row>
    <row r="12" spans="1:6" ht="15.6" x14ac:dyDescent="0.25">
      <c r="A12" s="312" t="s">
        <v>151</v>
      </c>
      <c r="B12" s="316"/>
      <c r="C12" s="319"/>
      <c r="D12" s="322"/>
      <c r="E12" s="326"/>
      <c r="F12" s="1849"/>
    </row>
    <row r="13" spans="1:6" ht="15.6" x14ac:dyDescent="0.25">
      <c r="A13" s="312" t="s">
        <v>161</v>
      </c>
      <c r="B13" s="316"/>
      <c r="C13" s="319"/>
      <c r="D13" s="322"/>
      <c r="E13" s="326"/>
      <c r="F13" s="1849"/>
    </row>
    <row r="14" spans="1:6" ht="15.6" x14ac:dyDescent="0.25">
      <c r="A14" s="312" t="s">
        <v>285</v>
      </c>
      <c r="B14" s="316"/>
      <c r="C14" s="319"/>
      <c r="D14" s="322"/>
      <c r="E14" s="326"/>
      <c r="F14" s="1849"/>
    </row>
    <row r="15" spans="1:6" ht="15.6" x14ac:dyDescent="0.25">
      <c r="A15" s="312" t="s">
        <v>307</v>
      </c>
      <c r="B15" s="316"/>
      <c r="C15" s="319"/>
      <c r="D15" s="322"/>
      <c r="E15" s="326"/>
      <c r="F15" s="1849"/>
    </row>
    <row r="16" spans="1:6" ht="15.6" x14ac:dyDescent="0.25">
      <c r="A16" s="312" t="s">
        <v>308</v>
      </c>
      <c r="B16" s="316"/>
      <c r="C16" s="319"/>
      <c r="D16" s="322"/>
      <c r="E16" s="326"/>
      <c r="F16" s="1849"/>
    </row>
    <row r="17" spans="1:6" ht="15.6" x14ac:dyDescent="0.25">
      <c r="A17" s="312" t="s">
        <v>309</v>
      </c>
      <c r="B17" s="316"/>
      <c r="C17" s="319"/>
      <c r="D17" s="322"/>
      <c r="E17" s="326"/>
      <c r="F17" s="1849"/>
    </row>
    <row r="18" spans="1:6" ht="15.6" x14ac:dyDescent="0.25">
      <c r="A18" s="312" t="s">
        <v>312</v>
      </c>
      <c r="B18" s="316"/>
      <c r="C18" s="319"/>
      <c r="D18" s="322"/>
      <c r="E18" s="326"/>
      <c r="F18" s="1849"/>
    </row>
    <row r="19" spans="1:6" ht="15.6" x14ac:dyDescent="0.25">
      <c r="A19" s="312" t="s">
        <v>315</v>
      </c>
      <c r="B19" s="316"/>
      <c r="C19" s="319"/>
      <c r="D19" s="322"/>
      <c r="E19" s="326"/>
      <c r="F19" s="1849"/>
    </row>
    <row r="20" spans="1:6" ht="15.6" x14ac:dyDescent="0.25">
      <c r="A20" s="312" t="s">
        <v>318</v>
      </c>
      <c r="B20" s="316"/>
      <c r="C20" s="319"/>
      <c r="D20" s="322"/>
      <c r="E20" s="326"/>
      <c r="F20" s="1849"/>
    </row>
    <row r="21" spans="1:6" ht="16.2" thickBot="1" x14ac:dyDescent="0.3">
      <c r="A21" s="313" t="s">
        <v>321</v>
      </c>
      <c r="B21" s="317"/>
      <c r="C21" s="320"/>
      <c r="D21" s="323"/>
      <c r="E21" s="327"/>
      <c r="F21" s="1849"/>
    </row>
    <row r="22" spans="1:6" ht="16.2" thickBot="1" x14ac:dyDescent="0.35">
      <c r="A22" s="1847" t="s">
        <v>748</v>
      </c>
      <c r="B22" s="1848"/>
      <c r="C22" s="314"/>
      <c r="D22" s="324" t="str">
        <f>IF(SUM(D5:D21)=0,"",SUM(D5:D21))</f>
        <v/>
      </c>
      <c r="E22" s="328" t="str">
        <f>IF(SUM(E5:E21)=0,"",SUM(E5:E21))</f>
        <v/>
      </c>
      <c r="F22" s="1849"/>
    </row>
    <row r="23" spans="1:6" ht="15.6" x14ac:dyDescent="0.3">
      <c r="A23" s="307"/>
    </row>
  </sheetData>
  <sheetProtection sheet="1" objects="1" scenarios="1"/>
  <mergeCells count="3">
    <mergeCell ref="A2:E2"/>
    <mergeCell ref="A22:B22"/>
    <mergeCell ref="F1:F22"/>
  </mergeCells>
  <pageMargins left="0.7" right="0.7" top="0.75" bottom="0.75" header="0.3" footer="0.3"/>
  <pageSetup paperSize="9" orientation="landscape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tabColor rgb="FF92D050"/>
  </sheetPr>
  <dimension ref="A1:C12"/>
  <sheetViews>
    <sheetView showGridLines="0" zoomScaleNormal="100" workbookViewId="0">
      <selection activeCell="C10" sqref="C10"/>
    </sheetView>
  </sheetViews>
  <sheetFormatPr defaultColWidth="9.33203125" defaultRowHeight="13.2" x14ac:dyDescent="0.25"/>
  <cols>
    <col min="1" max="1" width="7.6640625" style="8" customWidth="1"/>
    <col min="2" max="2" width="60.77734375" style="8" customWidth="1"/>
    <col min="3" max="3" width="25.6640625" style="8" customWidth="1"/>
    <col min="4" max="16384" width="9.33203125" style="8"/>
  </cols>
  <sheetData>
    <row r="1" spans="1:3" ht="13.8" x14ac:dyDescent="0.25">
      <c r="A1" s="281" t="s">
        <v>1688</v>
      </c>
      <c r="B1" s="281"/>
      <c r="C1" s="281"/>
    </row>
    <row r="2" spans="1:3" ht="33.75" customHeight="1" x14ac:dyDescent="0.25">
      <c r="A2" s="1850" t="s">
        <v>749</v>
      </c>
      <c r="B2" s="1850"/>
      <c r="C2" s="1850"/>
    </row>
    <row r="3" spans="1:3" ht="13.8" thickBot="1" x14ac:dyDescent="0.3">
      <c r="C3" s="282"/>
    </row>
    <row r="4" spans="1:3" s="286" customFormat="1" ht="43.5" customHeight="1" thickBot="1" x14ac:dyDescent="0.3">
      <c r="A4" s="283" t="s">
        <v>487</v>
      </c>
      <c r="B4" s="284" t="s">
        <v>293</v>
      </c>
      <c r="C4" s="285" t="s">
        <v>1764</v>
      </c>
    </row>
    <row r="5" spans="1:3" ht="28.5" customHeight="1" x14ac:dyDescent="0.25">
      <c r="A5" s="287" t="s">
        <v>51</v>
      </c>
      <c r="B5" s="288" t="str">
        <f>+CONCATENATE("Pénzkészlet ",LEFT(ÖSSZEFÜGGÉSEK!A4,4),". január 1-jén",CHAR(10),"ebből:")</f>
        <v>Pénzkészlet 2016. január 1-jén
ebből:</v>
      </c>
      <c r="C5" s="289">
        <f>C6+C7</f>
        <v>131607899</v>
      </c>
    </row>
    <row r="6" spans="1:3" ht="18" customHeight="1" x14ac:dyDescent="0.25">
      <c r="A6" s="290" t="s">
        <v>65</v>
      </c>
      <c r="B6" s="291" t="s">
        <v>750</v>
      </c>
      <c r="C6" s="292">
        <f>1271344+425814+129705621</f>
        <v>131402779</v>
      </c>
    </row>
    <row r="7" spans="1:3" ht="18" customHeight="1" thickBot="1" x14ac:dyDescent="0.3">
      <c r="A7" s="290" t="s">
        <v>79</v>
      </c>
      <c r="B7" s="291" t="s">
        <v>751</v>
      </c>
      <c r="C7" s="300">
        <v>205120</v>
      </c>
    </row>
    <row r="8" spans="1:3" ht="18" customHeight="1" x14ac:dyDescent="0.25">
      <c r="A8" s="290" t="s">
        <v>262</v>
      </c>
      <c r="B8" s="670" t="s">
        <v>752</v>
      </c>
      <c r="C8" s="292">
        <v>579280895</v>
      </c>
    </row>
    <row r="9" spans="1:3" ht="18" customHeight="1" thickBot="1" x14ac:dyDescent="0.3">
      <c r="A9" s="293" t="s">
        <v>107</v>
      </c>
      <c r="B9" s="671" t="s">
        <v>753</v>
      </c>
      <c r="C9" s="294">
        <v>537962685</v>
      </c>
    </row>
    <row r="10" spans="1:3" ht="25.5" customHeight="1" x14ac:dyDescent="0.25">
      <c r="A10" s="295" t="s">
        <v>129</v>
      </c>
      <c r="B10" s="296" t="str">
        <f>+CONCATENATE("Záró pénzkészlet ",LEFT(ÖSSZEFÜGGÉSEK!A4,4),". december 31-én",CHAR(10),"ebből:")</f>
        <v>Záró pénzkészlet 2016. december 31-én
ebből:</v>
      </c>
      <c r="C10" s="297">
        <f>C5+C8-C9</f>
        <v>172926109</v>
      </c>
    </row>
    <row r="11" spans="1:3" ht="18" customHeight="1" x14ac:dyDescent="0.25">
      <c r="A11" s="290" t="s">
        <v>273</v>
      </c>
      <c r="B11" s="291" t="s">
        <v>750</v>
      </c>
      <c r="C11" s="292">
        <f>1964991+2279939+167964079</f>
        <v>172209009</v>
      </c>
    </row>
    <row r="12" spans="1:3" ht="18" customHeight="1" thickBot="1" x14ac:dyDescent="0.3">
      <c r="A12" s="298" t="s">
        <v>151</v>
      </c>
      <c r="B12" s="299" t="s">
        <v>751</v>
      </c>
      <c r="C12" s="300">
        <f>200+716900</f>
        <v>717100</v>
      </c>
    </row>
  </sheetData>
  <mergeCells count="1">
    <mergeCell ref="A2:C2"/>
  </mergeCells>
  <conditionalFormatting sqref="C10">
    <cfRule type="cellIs" dxfId="0" priority="1" stopIfTrue="1" operator="notEqual">
      <formula>SUM(C11:C12)</formula>
    </cfRule>
  </conditionalFormatting>
  <printOptions horizontalCentered="1"/>
  <pageMargins left="0.78740157480314965" right="0.78740157480314965" top="0.98425196850393704" bottom="0.98425196850393704" header="0.78740157480314965" footer="0.78740157480314965"/>
  <pageSetup paperSize="9" scale="95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BB318"/>
  <sheetViews>
    <sheetView workbookViewId="0">
      <selection activeCell="AK25" sqref="AK25:AP25"/>
    </sheetView>
  </sheetViews>
  <sheetFormatPr defaultRowHeight="13.2" x14ac:dyDescent="0.25"/>
  <cols>
    <col min="2" max="2" width="0.109375" customWidth="1"/>
    <col min="8" max="8" width="9.33203125" customWidth="1"/>
    <col min="9" max="10" width="0.33203125" customWidth="1"/>
    <col min="11" max="21" width="9.33203125" hidden="1" customWidth="1"/>
    <col min="23" max="23" width="1.6640625" customWidth="1"/>
    <col min="24" max="24" width="9.33203125" hidden="1" customWidth="1"/>
    <col min="26" max="26" width="5.6640625" customWidth="1"/>
    <col min="27" max="27" width="7.6640625" hidden="1" customWidth="1"/>
    <col min="28" max="30" width="9.33203125" hidden="1" customWidth="1"/>
    <col min="32" max="32" width="4" customWidth="1"/>
    <col min="33" max="33" width="6.77734375" hidden="1" customWidth="1"/>
    <col min="34" max="36" width="9.33203125" hidden="1" customWidth="1"/>
    <col min="38" max="38" width="4.33203125" customWidth="1"/>
    <col min="39" max="39" width="7.44140625" hidden="1" customWidth="1"/>
    <col min="40" max="42" width="9.33203125" hidden="1" customWidth="1"/>
    <col min="44" max="44" width="4.109375" customWidth="1"/>
    <col min="45" max="47" width="9.33203125" hidden="1" customWidth="1"/>
    <col min="48" max="48" width="5.6640625" hidden="1" customWidth="1"/>
    <col min="50" max="50" width="4.6640625" customWidth="1"/>
    <col min="51" max="51" width="9.33203125" hidden="1" customWidth="1"/>
    <col min="52" max="52" width="0.109375" hidden="1" customWidth="1"/>
    <col min="53" max="54" width="9.33203125" hidden="1" customWidth="1"/>
  </cols>
  <sheetData>
    <row r="1" spans="1:54" x14ac:dyDescent="0.25">
      <c r="A1" s="1875" t="s">
        <v>487</v>
      </c>
      <c r="B1" s="1875"/>
      <c r="C1" s="1876" t="s">
        <v>754</v>
      </c>
      <c r="D1" s="1876"/>
      <c r="E1" s="1876"/>
      <c r="F1" s="1876"/>
      <c r="G1" s="1876"/>
      <c r="H1" s="1876"/>
      <c r="I1" s="1876"/>
      <c r="J1" s="1876"/>
      <c r="K1" s="1876"/>
      <c r="L1" s="1876"/>
      <c r="M1" s="1876"/>
      <c r="N1" s="1876"/>
      <c r="O1" s="1876"/>
      <c r="P1" s="1876"/>
      <c r="Q1" s="1876"/>
      <c r="R1" s="1876"/>
      <c r="S1" s="1876"/>
      <c r="T1" s="1876"/>
      <c r="U1" s="1876"/>
      <c r="V1" s="1875" t="s">
        <v>755</v>
      </c>
      <c r="W1" s="1875"/>
      <c r="X1" s="1875"/>
      <c r="Y1" s="1876" t="s">
        <v>756</v>
      </c>
      <c r="Z1" s="1876"/>
      <c r="AA1" s="1876"/>
      <c r="AB1" s="1876"/>
      <c r="AC1" s="1876"/>
      <c r="AD1" s="1876"/>
      <c r="AE1" s="1876"/>
      <c r="AF1" s="1876"/>
      <c r="AG1" s="1876"/>
      <c r="AH1" s="1876"/>
      <c r="AI1" s="1876"/>
      <c r="AJ1" s="1876"/>
      <c r="AK1" s="1876"/>
      <c r="AL1" s="1876"/>
      <c r="AM1" s="1876"/>
      <c r="AN1" s="1876"/>
      <c r="AO1" s="1876"/>
      <c r="AP1" s="1876"/>
      <c r="AQ1" s="1876"/>
      <c r="AR1" s="1876"/>
      <c r="AS1" s="1876"/>
      <c r="AT1" s="1876"/>
      <c r="AU1" s="1876"/>
      <c r="AV1" s="1876"/>
      <c r="AW1" s="1876"/>
      <c r="AX1" s="1876"/>
      <c r="AY1" s="1876"/>
      <c r="AZ1" s="1876"/>
      <c r="BA1" s="1876"/>
      <c r="BB1" s="1876"/>
    </row>
    <row r="2" spans="1:54" x14ac:dyDescent="0.25">
      <c r="A2" s="1875"/>
      <c r="B2" s="1875"/>
      <c r="C2" s="1876"/>
      <c r="D2" s="1876"/>
      <c r="E2" s="1876"/>
      <c r="F2" s="1876"/>
      <c r="G2" s="1876"/>
      <c r="H2" s="1876"/>
      <c r="I2" s="1876"/>
      <c r="J2" s="1876"/>
      <c r="K2" s="1876"/>
      <c r="L2" s="1876"/>
      <c r="M2" s="1876"/>
      <c r="N2" s="1876"/>
      <c r="O2" s="1876"/>
      <c r="P2" s="1876"/>
      <c r="Q2" s="1876"/>
      <c r="R2" s="1876"/>
      <c r="S2" s="1876"/>
      <c r="T2" s="1876"/>
      <c r="U2" s="1876"/>
      <c r="V2" s="1875"/>
      <c r="W2" s="1875"/>
      <c r="X2" s="1875"/>
      <c r="Y2" s="1852"/>
      <c r="Z2" s="1853"/>
      <c r="AA2" s="680"/>
      <c r="AB2" s="680"/>
      <c r="AC2" s="680"/>
      <c r="AD2" s="680"/>
      <c r="AE2" s="1852"/>
      <c r="AF2" s="1853"/>
      <c r="AG2" s="680"/>
      <c r="AH2" s="680"/>
      <c r="AI2" s="680"/>
      <c r="AJ2" s="680"/>
      <c r="AK2" s="1852"/>
      <c r="AL2" s="1853"/>
      <c r="AM2" s="680"/>
      <c r="AN2" s="680"/>
      <c r="AO2" s="680"/>
      <c r="AP2" s="680"/>
      <c r="AQ2" s="1852"/>
      <c r="AR2" s="1853"/>
      <c r="AS2" s="680"/>
      <c r="AT2" s="680"/>
      <c r="AU2" s="680"/>
      <c r="AV2" s="680"/>
      <c r="AW2" s="1852"/>
      <c r="AX2" s="1853"/>
      <c r="AY2" s="680"/>
      <c r="AZ2" s="680"/>
      <c r="BA2" s="680"/>
      <c r="BB2" s="680"/>
    </row>
    <row r="3" spans="1:54" x14ac:dyDescent="0.25">
      <c r="A3" s="1875"/>
      <c r="B3" s="1875"/>
      <c r="C3" s="1876"/>
      <c r="D3" s="1876"/>
      <c r="E3" s="1876"/>
      <c r="F3" s="1876"/>
      <c r="G3" s="1876"/>
      <c r="H3" s="1876"/>
      <c r="I3" s="1876"/>
      <c r="J3" s="1876"/>
      <c r="K3" s="1876"/>
      <c r="L3" s="1876"/>
      <c r="M3" s="1876"/>
      <c r="N3" s="1876"/>
      <c r="O3" s="1876"/>
      <c r="P3" s="1876"/>
      <c r="Q3" s="1876"/>
      <c r="R3" s="1876"/>
      <c r="S3" s="1876"/>
      <c r="T3" s="1876"/>
      <c r="U3" s="1876"/>
      <c r="V3" s="1875"/>
      <c r="W3" s="1875"/>
      <c r="X3" s="1875"/>
      <c r="Y3" s="1876"/>
      <c r="Z3" s="1876"/>
      <c r="AA3" s="1876"/>
      <c r="AB3" s="1876"/>
      <c r="AC3" s="1876"/>
      <c r="AD3" s="1876"/>
      <c r="AE3" s="1876"/>
      <c r="AF3" s="1876"/>
      <c r="AG3" s="1876"/>
      <c r="AH3" s="1876"/>
      <c r="AI3" s="1876"/>
      <c r="AJ3" s="1876"/>
      <c r="AK3" s="1876"/>
      <c r="AL3" s="1876"/>
      <c r="AM3" s="1876"/>
      <c r="AN3" s="1876"/>
      <c r="AO3" s="1876"/>
      <c r="AP3" s="1876"/>
      <c r="AQ3" s="1876"/>
      <c r="AR3" s="1876"/>
      <c r="AS3" s="1876"/>
      <c r="AT3" s="1876"/>
      <c r="AU3" s="1876"/>
      <c r="AV3" s="1876"/>
      <c r="AW3" s="1876"/>
      <c r="AX3" s="1876"/>
      <c r="AY3" s="1876"/>
      <c r="AZ3" s="1876"/>
      <c r="BA3" s="1876"/>
      <c r="BB3" s="1876"/>
    </row>
    <row r="4" spans="1:54" x14ac:dyDescent="0.25">
      <c r="A4" s="1874" t="s">
        <v>51</v>
      </c>
      <c r="B4" s="1874"/>
      <c r="C4" s="1874" t="s">
        <v>65</v>
      </c>
      <c r="D4" s="1874"/>
      <c r="E4" s="1874"/>
      <c r="F4" s="1874"/>
      <c r="G4" s="1874"/>
      <c r="H4" s="1874"/>
      <c r="I4" s="1874"/>
      <c r="J4" s="1874"/>
      <c r="K4" s="1874"/>
      <c r="L4" s="1874"/>
      <c r="M4" s="1874"/>
      <c r="N4" s="1874"/>
      <c r="O4" s="1874"/>
      <c r="P4" s="1874"/>
      <c r="Q4" s="1874"/>
      <c r="R4" s="1874"/>
      <c r="S4" s="1874"/>
      <c r="T4" s="1874"/>
      <c r="U4" s="1874"/>
      <c r="V4" s="1874" t="s">
        <v>79</v>
      </c>
      <c r="W4" s="1874"/>
      <c r="X4" s="1874"/>
      <c r="Y4" s="1874" t="s">
        <v>262</v>
      </c>
      <c r="Z4" s="1874"/>
      <c r="AA4" s="1874"/>
      <c r="AB4" s="1874"/>
      <c r="AC4" s="1874"/>
      <c r="AD4" s="1874"/>
      <c r="AE4" s="1874" t="s">
        <v>107</v>
      </c>
      <c r="AF4" s="1874"/>
      <c r="AG4" s="1874"/>
      <c r="AH4" s="1874"/>
      <c r="AI4" s="1874"/>
      <c r="AJ4" s="1874"/>
      <c r="AK4" s="1874" t="s">
        <v>129</v>
      </c>
      <c r="AL4" s="1874"/>
      <c r="AM4" s="1874"/>
      <c r="AN4" s="1874"/>
      <c r="AO4" s="1874"/>
      <c r="AP4" s="1874"/>
      <c r="AQ4" s="1874" t="s">
        <v>273</v>
      </c>
      <c r="AR4" s="1874"/>
      <c r="AS4" s="1874"/>
      <c r="AT4" s="1874"/>
      <c r="AU4" s="1874"/>
      <c r="AV4" s="1874"/>
      <c r="AW4" s="1874" t="s">
        <v>151</v>
      </c>
      <c r="AX4" s="1874"/>
      <c r="AY4" s="1874"/>
      <c r="AZ4" s="1874"/>
      <c r="BA4" s="1874"/>
      <c r="BB4" s="1874"/>
    </row>
    <row r="5" spans="1:54" x14ac:dyDescent="0.25">
      <c r="A5" s="1851" t="s">
        <v>422</v>
      </c>
      <c r="B5" s="1851"/>
      <c r="C5" s="1856" t="s">
        <v>757</v>
      </c>
      <c r="D5" s="1856"/>
      <c r="E5" s="1856"/>
      <c r="F5" s="1856"/>
      <c r="G5" s="1856"/>
      <c r="H5" s="1856"/>
      <c r="I5" s="1856"/>
      <c r="J5" s="1856"/>
      <c r="K5" s="1856"/>
      <c r="L5" s="1856"/>
      <c r="M5" s="1856"/>
      <c r="N5" s="1856"/>
      <c r="O5" s="1856"/>
      <c r="P5" s="1856"/>
      <c r="Q5" s="1856"/>
      <c r="R5" s="1856"/>
      <c r="S5" s="1856"/>
      <c r="T5" s="1856"/>
      <c r="U5" s="1856"/>
      <c r="V5" s="1865" t="s">
        <v>758</v>
      </c>
      <c r="W5" s="1865"/>
      <c r="X5" s="1865"/>
      <c r="Y5" s="1851"/>
      <c r="Z5" s="1851"/>
      <c r="AA5" s="1851"/>
      <c r="AB5" s="1851"/>
      <c r="AC5" s="1851"/>
      <c r="AD5" s="1851"/>
      <c r="AE5" s="1851"/>
      <c r="AF5" s="1851"/>
      <c r="AG5" s="1851"/>
      <c r="AH5" s="1851"/>
      <c r="AI5" s="1851"/>
      <c r="AJ5" s="1851"/>
      <c r="AK5" s="1851"/>
      <c r="AL5" s="1851"/>
      <c r="AM5" s="1851"/>
      <c r="AN5" s="1851"/>
      <c r="AO5" s="1851"/>
      <c r="AP5" s="1851"/>
      <c r="AQ5" s="1851"/>
      <c r="AR5" s="1851"/>
      <c r="AS5" s="1851"/>
      <c r="AT5" s="1851"/>
      <c r="AU5" s="1851"/>
      <c r="AV5" s="1851"/>
      <c r="AW5" s="1851"/>
      <c r="AX5" s="1851"/>
      <c r="AY5" s="1851"/>
      <c r="AZ5" s="1851"/>
      <c r="BA5" s="1851"/>
      <c r="BB5" s="1851"/>
    </row>
    <row r="6" spans="1:54" x14ac:dyDescent="0.25">
      <c r="A6" s="1851" t="s">
        <v>440</v>
      </c>
      <c r="B6" s="1851"/>
      <c r="C6" s="1856" t="s">
        <v>759</v>
      </c>
      <c r="D6" s="1856"/>
      <c r="E6" s="1856"/>
      <c r="F6" s="1856"/>
      <c r="G6" s="1856"/>
      <c r="H6" s="1856"/>
      <c r="I6" s="1856"/>
      <c r="J6" s="1856"/>
      <c r="K6" s="1856"/>
      <c r="L6" s="1856"/>
      <c r="M6" s="1856"/>
      <c r="N6" s="1856"/>
      <c r="O6" s="1856"/>
      <c r="P6" s="1856"/>
      <c r="Q6" s="1856"/>
      <c r="R6" s="1856"/>
      <c r="S6" s="1856"/>
      <c r="T6" s="1856"/>
      <c r="U6" s="1856"/>
      <c r="V6" s="1865" t="s">
        <v>760</v>
      </c>
      <c r="W6" s="1865"/>
      <c r="X6" s="1865"/>
      <c r="Y6" s="1851"/>
      <c r="Z6" s="1851"/>
      <c r="AA6" s="1851"/>
      <c r="AB6" s="1851"/>
      <c r="AC6" s="1851"/>
      <c r="AD6" s="1851"/>
      <c r="AE6" s="1851"/>
      <c r="AF6" s="1851"/>
      <c r="AG6" s="1851"/>
      <c r="AH6" s="1851"/>
      <c r="AI6" s="1851"/>
      <c r="AJ6" s="1851"/>
      <c r="AK6" s="1851"/>
      <c r="AL6" s="1851"/>
      <c r="AM6" s="1851"/>
      <c r="AN6" s="1851"/>
      <c r="AO6" s="1851"/>
      <c r="AP6" s="1851"/>
      <c r="AQ6" s="1851"/>
      <c r="AR6" s="1851"/>
      <c r="AS6" s="1851"/>
      <c r="AT6" s="1851"/>
      <c r="AU6" s="1851"/>
      <c r="AV6" s="1851"/>
      <c r="AW6" s="1851"/>
      <c r="AX6" s="1851"/>
      <c r="AY6" s="1851"/>
      <c r="AZ6" s="1851"/>
      <c r="BA6" s="1851"/>
      <c r="BB6" s="1851"/>
    </row>
    <row r="7" spans="1:54" x14ac:dyDescent="0.25">
      <c r="A7" s="1851" t="s">
        <v>443</v>
      </c>
      <c r="B7" s="1851"/>
      <c r="C7" s="1856" t="s">
        <v>761</v>
      </c>
      <c r="D7" s="1856"/>
      <c r="E7" s="1856"/>
      <c r="F7" s="1856"/>
      <c r="G7" s="1856"/>
      <c r="H7" s="1856"/>
      <c r="I7" s="1856"/>
      <c r="J7" s="1856"/>
      <c r="K7" s="1856"/>
      <c r="L7" s="1856"/>
      <c r="M7" s="1856"/>
      <c r="N7" s="1856"/>
      <c r="O7" s="1856"/>
      <c r="P7" s="1856"/>
      <c r="Q7" s="1856"/>
      <c r="R7" s="1856"/>
      <c r="S7" s="1856"/>
      <c r="T7" s="1856"/>
      <c r="U7" s="1856"/>
      <c r="V7" s="1865" t="s">
        <v>762</v>
      </c>
      <c r="W7" s="1865"/>
      <c r="X7" s="1865"/>
      <c r="Y7" s="1851"/>
      <c r="Z7" s="1851"/>
      <c r="AA7" s="1851"/>
      <c r="AB7" s="1851"/>
      <c r="AC7" s="1851"/>
      <c r="AD7" s="1851"/>
      <c r="AE7" s="1851"/>
      <c r="AF7" s="1851"/>
      <c r="AG7" s="1851"/>
      <c r="AH7" s="1851"/>
      <c r="AI7" s="1851"/>
      <c r="AJ7" s="1851"/>
      <c r="AK7" s="1851"/>
      <c r="AL7" s="1851"/>
      <c r="AM7" s="1851"/>
      <c r="AN7" s="1851"/>
      <c r="AO7" s="1851"/>
      <c r="AP7" s="1851"/>
      <c r="AQ7" s="1851"/>
      <c r="AR7" s="1851"/>
      <c r="AS7" s="1851"/>
      <c r="AT7" s="1851"/>
      <c r="AU7" s="1851"/>
      <c r="AV7" s="1851"/>
      <c r="AW7" s="1851"/>
      <c r="AX7" s="1851"/>
      <c r="AY7" s="1851"/>
      <c r="AZ7" s="1851"/>
      <c r="BA7" s="1851"/>
      <c r="BB7" s="1851"/>
    </row>
    <row r="8" spans="1:54" x14ac:dyDescent="0.25">
      <c r="A8" s="1851" t="s">
        <v>445</v>
      </c>
      <c r="B8" s="1851"/>
      <c r="C8" s="1856" t="s">
        <v>763</v>
      </c>
      <c r="D8" s="1856"/>
      <c r="E8" s="1856"/>
      <c r="F8" s="1856"/>
      <c r="G8" s="1856"/>
      <c r="H8" s="1856"/>
      <c r="I8" s="1856"/>
      <c r="J8" s="1856"/>
      <c r="K8" s="1856"/>
      <c r="L8" s="1856"/>
      <c r="M8" s="1856"/>
      <c r="N8" s="1856"/>
      <c r="O8" s="1856"/>
      <c r="P8" s="1856"/>
      <c r="Q8" s="1856"/>
      <c r="R8" s="1856"/>
      <c r="S8" s="1856"/>
      <c r="T8" s="1856"/>
      <c r="U8" s="1856"/>
      <c r="V8" s="1865" t="s">
        <v>764</v>
      </c>
      <c r="W8" s="1865"/>
      <c r="X8" s="1865"/>
      <c r="Y8" s="1851"/>
      <c r="Z8" s="1851"/>
      <c r="AA8" s="1851"/>
      <c r="AB8" s="1851"/>
      <c r="AC8" s="1851"/>
      <c r="AD8" s="1851"/>
      <c r="AE8" s="1851"/>
      <c r="AF8" s="1851"/>
      <c r="AG8" s="1851"/>
      <c r="AH8" s="1851"/>
      <c r="AI8" s="1851"/>
      <c r="AJ8" s="1851"/>
      <c r="AK8" s="1851"/>
      <c r="AL8" s="1851"/>
      <c r="AM8" s="1851"/>
      <c r="AN8" s="1851"/>
      <c r="AO8" s="1851"/>
      <c r="AP8" s="1851"/>
      <c r="AQ8" s="1851"/>
      <c r="AR8" s="1851"/>
      <c r="AS8" s="1851"/>
      <c r="AT8" s="1851"/>
      <c r="AU8" s="1851"/>
      <c r="AV8" s="1851"/>
      <c r="AW8" s="1851"/>
      <c r="AX8" s="1851"/>
      <c r="AY8" s="1851"/>
      <c r="AZ8" s="1851"/>
      <c r="BA8" s="1851"/>
      <c r="BB8" s="1851"/>
    </row>
    <row r="9" spans="1:54" x14ac:dyDescent="0.25">
      <c r="A9" s="1851" t="s">
        <v>485</v>
      </c>
      <c r="B9" s="1851"/>
      <c r="C9" s="1856" t="s">
        <v>765</v>
      </c>
      <c r="D9" s="1856"/>
      <c r="E9" s="1856"/>
      <c r="F9" s="1856"/>
      <c r="G9" s="1856"/>
      <c r="H9" s="1856"/>
      <c r="I9" s="1856"/>
      <c r="J9" s="1856"/>
      <c r="K9" s="1856"/>
      <c r="L9" s="1856"/>
      <c r="M9" s="1856"/>
      <c r="N9" s="1856"/>
      <c r="O9" s="1856"/>
      <c r="P9" s="1856"/>
      <c r="Q9" s="1856"/>
      <c r="R9" s="1856"/>
      <c r="S9" s="1856"/>
      <c r="T9" s="1856"/>
      <c r="U9" s="1856"/>
      <c r="V9" s="1865" t="s">
        <v>766</v>
      </c>
      <c r="W9" s="1865"/>
      <c r="X9" s="1865"/>
      <c r="Y9" s="1851"/>
      <c r="Z9" s="1851"/>
      <c r="AA9" s="1851"/>
      <c r="AB9" s="1851"/>
      <c r="AC9" s="1851"/>
      <c r="AD9" s="1851"/>
      <c r="AE9" s="1851"/>
      <c r="AF9" s="1851"/>
      <c r="AG9" s="1851"/>
      <c r="AH9" s="1851"/>
      <c r="AI9" s="1851"/>
      <c r="AJ9" s="1851"/>
      <c r="AK9" s="1851"/>
      <c r="AL9" s="1851"/>
      <c r="AM9" s="1851"/>
      <c r="AN9" s="1851"/>
      <c r="AO9" s="1851"/>
      <c r="AP9" s="1851"/>
      <c r="AQ9" s="1851"/>
      <c r="AR9" s="1851"/>
      <c r="AS9" s="1851"/>
      <c r="AT9" s="1851"/>
      <c r="AU9" s="1851"/>
      <c r="AV9" s="1851"/>
      <c r="AW9" s="1851"/>
      <c r="AX9" s="1851"/>
      <c r="AY9" s="1851"/>
      <c r="AZ9" s="1851"/>
      <c r="BA9" s="1851"/>
      <c r="BB9" s="1851"/>
    </row>
    <row r="10" spans="1:54" x14ac:dyDescent="0.25">
      <c r="A10" s="1851" t="s">
        <v>767</v>
      </c>
      <c r="B10" s="1851"/>
      <c r="C10" s="1856" t="s">
        <v>768</v>
      </c>
      <c r="D10" s="1856"/>
      <c r="E10" s="1856"/>
      <c r="F10" s="1856"/>
      <c r="G10" s="1856"/>
      <c r="H10" s="1856"/>
      <c r="I10" s="1856"/>
      <c r="J10" s="1856"/>
      <c r="K10" s="1856"/>
      <c r="L10" s="1856"/>
      <c r="M10" s="1856"/>
      <c r="N10" s="1856"/>
      <c r="O10" s="1856"/>
      <c r="P10" s="1856"/>
      <c r="Q10" s="1856"/>
      <c r="R10" s="1856"/>
      <c r="S10" s="1856"/>
      <c r="T10" s="1856"/>
      <c r="U10" s="1856"/>
      <c r="V10" s="1865" t="s">
        <v>769</v>
      </c>
      <c r="W10" s="1865"/>
      <c r="X10" s="1865"/>
      <c r="Y10" s="1851"/>
      <c r="Z10" s="1851"/>
      <c r="AA10" s="1851"/>
      <c r="AB10" s="1851"/>
      <c r="AC10" s="1851"/>
      <c r="AD10" s="1851"/>
      <c r="AE10" s="1851"/>
      <c r="AF10" s="1851"/>
      <c r="AG10" s="1851"/>
      <c r="AH10" s="1851"/>
      <c r="AI10" s="1851"/>
      <c r="AJ10" s="1851"/>
      <c r="AK10" s="1851"/>
      <c r="AL10" s="1851"/>
      <c r="AM10" s="1851"/>
      <c r="AN10" s="1851"/>
      <c r="AO10" s="1851"/>
      <c r="AP10" s="1851"/>
      <c r="AQ10" s="1851"/>
      <c r="AR10" s="1851"/>
      <c r="AS10" s="1851"/>
      <c r="AT10" s="1851"/>
      <c r="AU10" s="1851"/>
      <c r="AV10" s="1851"/>
      <c r="AW10" s="1851"/>
      <c r="AX10" s="1851"/>
      <c r="AY10" s="1851"/>
      <c r="AZ10" s="1851"/>
      <c r="BA10" s="1851"/>
      <c r="BB10" s="1851"/>
    </row>
    <row r="11" spans="1:54" x14ac:dyDescent="0.25">
      <c r="A11" s="1851" t="s">
        <v>770</v>
      </c>
      <c r="B11" s="1851"/>
      <c r="C11" s="1856" t="s">
        <v>771</v>
      </c>
      <c r="D11" s="1856"/>
      <c r="E11" s="1856"/>
      <c r="F11" s="1856"/>
      <c r="G11" s="1856"/>
      <c r="H11" s="1856"/>
      <c r="I11" s="1856"/>
      <c r="J11" s="1856"/>
      <c r="K11" s="1856"/>
      <c r="L11" s="1856"/>
      <c r="M11" s="1856"/>
      <c r="N11" s="1856"/>
      <c r="O11" s="1856"/>
      <c r="P11" s="1856"/>
      <c r="Q11" s="1856"/>
      <c r="R11" s="1856"/>
      <c r="S11" s="1856"/>
      <c r="T11" s="1856"/>
      <c r="U11" s="1856"/>
      <c r="V11" s="1865" t="s">
        <v>772</v>
      </c>
      <c r="W11" s="1865"/>
      <c r="X11" s="1865"/>
      <c r="Y11" s="1851"/>
      <c r="Z11" s="1851"/>
      <c r="AA11" s="1851"/>
      <c r="AB11" s="1851"/>
      <c r="AC11" s="1851"/>
      <c r="AD11" s="1851"/>
      <c r="AE11" s="1851"/>
      <c r="AF11" s="1851"/>
      <c r="AG11" s="1851"/>
      <c r="AH11" s="1851"/>
      <c r="AI11" s="1851"/>
      <c r="AJ11" s="1851"/>
      <c r="AK11" s="1851"/>
      <c r="AL11" s="1851"/>
      <c r="AM11" s="1851"/>
      <c r="AN11" s="1851"/>
      <c r="AO11" s="1851"/>
      <c r="AP11" s="1851"/>
      <c r="AQ11" s="1851"/>
      <c r="AR11" s="1851"/>
      <c r="AS11" s="1851"/>
      <c r="AT11" s="1851"/>
      <c r="AU11" s="1851"/>
      <c r="AV11" s="1851"/>
      <c r="AW11" s="1851"/>
      <c r="AX11" s="1851"/>
      <c r="AY11" s="1851"/>
      <c r="AZ11" s="1851"/>
      <c r="BA11" s="1851"/>
      <c r="BB11" s="1851"/>
    </row>
    <row r="12" spans="1:54" x14ac:dyDescent="0.25">
      <c r="A12" s="1851" t="s">
        <v>773</v>
      </c>
      <c r="B12" s="1851"/>
      <c r="C12" s="1856" t="s">
        <v>774</v>
      </c>
      <c r="D12" s="1856"/>
      <c r="E12" s="1856"/>
      <c r="F12" s="1856"/>
      <c r="G12" s="1856"/>
      <c r="H12" s="1856"/>
      <c r="I12" s="1856"/>
      <c r="J12" s="1856"/>
      <c r="K12" s="1856"/>
      <c r="L12" s="1856"/>
      <c r="M12" s="1856"/>
      <c r="N12" s="1856"/>
      <c r="O12" s="1856"/>
      <c r="P12" s="1856"/>
      <c r="Q12" s="1856"/>
      <c r="R12" s="1856"/>
      <c r="S12" s="1856"/>
      <c r="T12" s="1856"/>
      <c r="U12" s="1856"/>
      <c r="V12" s="1865" t="s">
        <v>775</v>
      </c>
      <c r="W12" s="1865"/>
      <c r="X12" s="1865"/>
      <c r="Y12" s="1851"/>
      <c r="Z12" s="1851"/>
      <c r="AA12" s="1851"/>
      <c r="AB12" s="1851"/>
      <c r="AC12" s="1851"/>
      <c r="AD12" s="1851"/>
      <c r="AE12" s="1851"/>
      <c r="AF12" s="1851"/>
      <c r="AG12" s="1851"/>
      <c r="AH12" s="1851"/>
      <c r="AI12" s="1851"/>
      <c r="AJ12" s="1851"/>
      <c r="AK12" s="1851"/>
      <c r="AL12" s="1851"/>
      <c r="AM12" s="1851"/>
      <c r="AN12" s="1851"/>
      <c r="AO12" s="1851"/>
      <c r="AP12" s="1851"/>
      <c r="AQ12" s="1851"/>
      <c r="AR12" s="1851"/>
      <c r="AS12" s="1851"/>
      <c r="AT12" s="1851"/>
      <c r="AU12" s="1851"/>
      <c r="AV12" s="1851"/>
      <c r="AW12" s="1851"/>
      <c r="AX12" s="1851"/>
      <c r="AY12" s="1851"/>
      <c r="AZ12" s="1851"/>
      <c r="BA12" s="1851"/>
      <c r="BB12" s="1851"/>
    </row>
    <row r="13" spans="1:54" x14ac:dyDescent="0.25">
      <c r="A13" s="1851" t="s">
        <v>776</v>
      </c>
      <c r="B13" s="1851"/>
      <c r="C13" s="1856" t="s">
        <v>777</v>
      </c>
      <c r="D13" s="1856"/>
      <c r="E13" s="1856"/>
      <c r="F13" s="1856"/>
      <c r="G13" s="1856"/>
      <c r="H13" s="1856"/>
      <c r="I13" s="1856"/>
      <c r="J13" s="1856"/>
      <c r="K13" s="1856"/>
      <c r="L13" s="1856"/>
      <c r="M13" s="1856"/>
      <c r="N13" s="1856"/>
      <c r="O13" s="1856"/>
      <c r="P13" s="1856"/>
      <c r="Q13" s="1856"/>
      <c r="R13" s="1856"/>
      <c r="S13" s="1856"/>
      <c r="T13" s="1856"/>
      <c r="U13" s="1856"/>
      <c r="V13" s="1865" t="s">
        <v>778</v>
      </c>
      <c r="W13" s="1865"/>
      <c r="X13" s="1865"/>
      <c r="Y13" s="1851"/>
      <c r="Z13" s="1851"/>
      <c r="AA13" s="1851"/>
      <c r="AB13" s="1851"/>
      <c r="AC13" s="1851"/>
      <c r="AD13" s="1851"/>
      <c r="AE13" s="1851"/>
      <c r="AF13" s="1851"/>
      <c r="AG13" s="1851"/>
      <c r="AH13" s="1851"/>
      <c r="AI13" s="1851"/>
      <c r="AJ13" s="1851"/>
      <c r="AK13" s="1851"/>
      <c r="AL13" s="1851"/>
      <c r="AM13" s="1851"/>
      <c r="AN13" s="1851"/>
      <c r="AO13" s="1851"/>
      <c r="AP13" s="1851"/>
      <c r="AQ13" s="1851"/>
      <c r="AR13" s="1851"/>
      <c r="AS13" s="1851"/>
      <c r="AT13" s="1851"/>
      <c r="AU13" s="1851"/>
      <c r="AV13" s="1851"/>
      <c r="AW13" s="1851"/>
      <c r="AX13" s="1851"/>
      <c r="AY13" s="1851"/>
      <c r="AZ13" s="1851"/>
      <c r="BA13" s="1851"/>
      <c r="BB13" s="1851"/>
    </row>
    <row r="14" spans="1:54" x14ac:dyDescent="0.25">
      <c r="A14" s="1851" t="s">
        <v>779</v>
      </c>
      <c r="B14" s="1851"/>
      <c r="C14" s="1856" t="s">
        <v>780</v>
      </c>
      <c r="D14" s="1856"/>
      <c r="E14" s="1856"/>
      <c r="F14" s="1856"/>
      <c r="G14" s="1856"/>
      <c r="H14" s="1856"/>
      <c r="I14" s="1856"/>
      <c r="J14" s="1856"/>
      <c r="K14" s="1856"/>
      <c r="L14" s="1856"/>
      <c r="M14" s="1856"/>
      <c r="N14" s="1856"/>
      <c r="O14" s="1856"/>
      <c r="P14" s="1856"/>
      <c r="Q14" s="1856"/>
      <c r="R14" s="1856"/>
      <c r="S14" s="1856"/>
      <c r="T14" s="1856"/>
      <c r="U14" s="1856"/>
      <c r="V14" s="1865" t="s">
        <v>781</v>
      </c>
      <c r="W14" s="1865"/>
      <c r="X14" s="1865"/>
      <c r="Y14" s="1851"/>
      <c r="Z14" s="1851"/>
      <c r="AA14" s="1851"/>
      <c r="AB14" s="1851"/>
      <c r="AC14" s="1851"/>
      <c r="AD14" s="1851"/>
      <c r="AE14" s="1851"/>
      <c r="AF14" s="1851"/>
      <c r="AG14" s="1851"/>
      <c r="AH14" s="1851"/>
      <c r="AI14" s="1851"/>
      <c r="AJ14" s="1851"/>
      <c r="AK14" s="1851"/>
      <c r="AL14" s="1851"/>
      <c r="AM14" s="1851"/>
      <c r="AN14" s="1851"/>
      <c r="AO14" s="1851"/>
      <c r="AP14" s="1851"/>
      <c r="AQ14" s="1851"/>
      <c r="AR14" s="1851"/>
      <c r="AS14" s="1851"/>
      <c r="AT14" s="1851"/>
      <c r="AU14" s="1851"/>
      <c r="AV14" s="1851"/>
      <c r="AW14" s="1851"/>
      <c r="AX14" s="1851"/>
      <c r="AY14" s="1851"/>
      <c r="AZ14" s="1851"/>
      <c r="BA14" s="1851"/>
      <c r="BB14" s="1851"/>
    </row>
    <row r="15" spans="1:54" x14ac:dyDescent="0.25">
      <c r="A15" s="1851" t="s">
        <v>782</v>
      </c>
      <c r="B15" s="1851"/>
      <c r="C15" s="1856" t="s">
        <v>783</v>
      </c>
      <c r="D15" s="1856"/>
      <c r="E15" s="1856"/>
      <c r="F15" s="1856"/>
      <c r="G15" s="1856"/>
      <c r="H15" s="1856"/>
      <c r="I15" s="1856"/>
      <c r="J15" s="1856"/>
      <c r="K15" s="1856"/>
      <c r="L15" s="1856"/>
      <c r="M15" s="1856"/>
      <c r="N15" s="1856"/>
      <c r="O15" s="1856"/>
      <c r="P15" s="1856"/>
      <c r="Q15" s="1856"/>
      <c r="R15" s="1856"/>
      <c r="S15" s="1856"/>
      <c r="T15" s="1856"/>
      <c r="U15" s="1856"/>
      <c r="V15" s="1865" t="s">
        <v>784</v>
      </c>
      <c r="W15" s="1865"/>
      <c r="X15" s="1865"/>
      <c r="Y15" s="1851"/>
      <c r="Z15" s="1851"/>
      <c r="AA15" s="1851"/>
      <c r="AB15" s="1851"/>
      <c r="AC15" s="1851"/>
      <c r="AD15" s="1851"/>
      <c r="AE15" s="1851"/>
      <c r="AF15" s="1851"/>
      <c r="AG15" s="1851"/>
      <c r="AH15" s="1851"/>
      <c r="AI15" s="1851"/>
      <c r="AJ15" s="1851"/>
      <c r="AK15" s="1851"/>
      <c r="AL15" s="1851"/>
      <c r="AM15" s="1851"/>
      <c r="AN15" s="1851"/>
      <c r="AO15" s="1851"/>
      <c r="AP15" s="1851"/>
      <c r="AQ15" s="1851"/>
      <c r="AR15" s="1851"/>
      <c r="AS15" s="1851"/>
      <c r="AT15" s="1851"/>
      <c r="AU15" s="1851"/>
      <c r="AV15" s="1851"/>
      <c r="AW15" s="1851"/>
      <c r="AX15" s="1851"/>
      <c r="AY15" s="1851"/>
      <c r="AZ15" s="1851"/>
      <c r="BA15" s="1851"/>
      <c r="BB15" s="1851"/>
    </row>
    <row r="16" spans="1:54" x14ac:dyDescent="0.25">
      <c r="A16" s="1851" t="s">
        <v>785</v>
      </c>
      <c r="B16" s="1851"/>
      <c r="C16" s="1856" t="s">
        <v>786</v>
      </c>
      <c r="D16" s="1856"/>
      <c r="E16" s="1856"/>
      <c r="F16" s="1856"/>
      <c r="G16" s="1856"/>
      <c r="H16" s="1856"/>
      <c r="I16" s="1856"/>
      <c r="J16" s="1856"/>
      <c r="K16" s="1856"/>
      <c r="L16" s="1856"/>
      <c r="M16" s="1856"/>
      <c r="N16" s="1856"/>
      <c r="O16" s="1856"/>
      <c r="P16" s="1856"/>
      <c r="Q16" s="1856"/>
      <c r="R16" s="1856"/>
      <c r="S16" s="1856"/>
      <c r="T16" s="1856"/>
      <c r="U16" s="1856"/>
      <c r="V16" s="1865" t="s">
        <v>787</v>
      </c>
      <c r="W16" s="1865"/>
      <c r="X16" s="1865"/>
      <c r="Y16" s="1851"/>
      <c r="Z16" s="1851"/>
      <c r="AA16" s="1851"/>
      <c r="AB16" s="1851"/>
      <c r="AC16" s="1851"/>
      <c r="AD16" s="1851"/>
      <c r="AE16" s="1851"/>
      <c r="AF16" s="1851"/>
      <c r="AG16" s="1851"/>
      <c r="AH16" s="1851"/>
      <c r="AI16" s="1851"/>
      <c r="AJ16" s="1851"/>
      <c r="AK16" s="1851"/>
      <c r="AL16" s="1851"/>
      <c r="AM16" s="1851"/>
      <c r="AN16" s="1851"/>
      <c r="AO16" s="1851"/>
      <c r="AP16" s="1851"/>
      <c r="AQ16" s="1851"/>
      <c r="AR16" s="1851"/>
      <c r="AS16" s="1851"/>
      <c r="AT16" s="1851"/>
      <c r="AU16" s="1851"/>
      <c r="AV16" s="1851"/>
      <c r="AW16" s="1851"/>
      <c r="AX16" s="1851"/>
      <c r="AY16" s="1851"/>
      <c r="AZ16" s="1851"/>
      <c r="BA16" s="1851"/>
      <c r="BB16" s="1851"/>
    </row>
    <row r="17" spans="1:54" x14ac:dyDescent="0.25">
      <c r="A17" s="1851" t="s">
        <v>788</v>
      </c>
      <c r="B17" s="1851"/>
      <c r="C17" s="1856" t="s">
        <v>789</v>
      </c>
      <c r="D17" s="1856"/>
      <c r="E17" s="1856"/>
      <c r="F17" s="1856"/>
      <c r="G17" s="1856"/>
      <c r="H17" s="1856"/>
      <c r="I17" s="1856"/>
      <c r="J17" s="1856"/>
      <c r="K17" s="1856"/>
      <c r="L17" s="1856"/>
      <c r="M17" s="1856"/>
      <c r="N17" s="1856"/>
      <c r="O17" s="1856"/>
      <c r="P17" s="1856"/>
      <c r="Q17" s="1856"/>
      <c r="R17" s="1856"/>
      <c r="S17" s="1856"/>
      <c r="T17" s="1856"/>
      <c r="U17" s="1856"/>
      <c r="V17" s="1865" t="s">
        <v>790</v>
      </c>
      <c r="W17" s="1865"/>
      <c r="X17" s="1865"/>
      <c r="Y17" s="1851"/>
      <c r="Z17" s="1851"/>
      <c r="AA17" s="1851"/>
      <c r="AB17" s="1851"/>
      <c r="AC17" s="1851"/>
      <c r="AD17" s="1851"/>
      <c r="AE17" s="1851"/>
      <c r="AF17" s="1851"/>
      <c r="AG17" s="1851"/>
      <c r="AH17" s="1851"/>
      <c r="AI17" s="1851"/>
      <c r="AJ17" s="1851"/>
      <c r="AK17" s="1851"/>
      <c r="AL17" s="1851"/>
      <c r="AM17" s="1851"/>
      <c r="AN17" s="1851"/>
      <c r="AO17" s="1851"/>
      <c r="AP17" s="1851"/>
      <c r="AQ17" s="1851"/>
      <c r="AR17" s="1851"/>
      <c r="AS17" s="1851"/>
      <c r="AT17" s="1851"/>
      <c r="AU17" s="1851"/>
      <c r="AV17" s="1851"/>
      <c r="AW17" s="1851"/>
      <c r="AX17" s="1851"/>
      <c r="AY17" s="1851"/>
      <c r="AZ17" s="1851"/>
      <c r="BA17" s="1851"/>
      <c r="BB17" s="1851"/>
    </row>
    <row r="18" spans="1:54" x14ac:dyDescent="0.25">
      <c r="A18" s="1851" t="s">
        <v>791</v>
      </c>
      <c r="B18" s="1851"/>
      <c r="C18" s="1872" t="s">
        <v>792</v>
      </c>
      <c r="D18" s="1872"/>
      <c r="E18" s="1872"/>
      <c r="F18" s="1872"/>
      <c r="G18" s="1872"/>
      <c r="H18" s="1872"/>
      <c r="I18" s="1872"/>
      <c r="J18" s="1872"/>
      <c r="K18" s="1872"/>
      <c r="L18" s="1872"/>
      <c r="M18" s="1872"/>
      <c r="N18" s="1872"/>
      <c r="O18" s="1872"/>
      <c r="P18" s="1872"/>
      <c r="Q18" s="1872"/>
      <c r="R18" s="1872"/>
      <c r="S18" s="1872"/>
      <c r="T18" s="1872"/>
      <c r="U18" s="1872"/>
      <c r="V18" s="1865" t="s">
        <v>790</v>
      </c>
      <c r="W18" s="1865"/>
      <c r="X18" s="1865"/>
      <c r="Y18" s="1851"/>
      <c r="Z18" s="1851"/>
      <c r="AA18" s="1851"/>
      <c r="AB18" s="1851"/>
      <c r="AC18" s="1851"/>
      <c r="AD18" s="1851"/>
      <c r="AE18" s="1851"/>
      <c r="AF18" s="1851"/>
      <c r="AG18" s="1851"/>
      <c r="AH18" s="1851"/>
      <c r="AI18" s="1851"/>
      <c r="AJ18" s="1851"/>
      <c r="AK18" s="1851"/>
      <c r="AL18" s="1851"/>
      <c r="AM18" s="1851"/>
      <c r="AN18" s="1851"/>
      <c r="AO18" s="1851"/>
      <c r="AP18" s="1851"/>
      <c r="AQ18" s="1851"/>
      <c r="AR18" s="1851"/>
      <c r="AS18" s="1851"/>
      <c r="AT18" s="1851"/>
      <c r="AU18" s="1851"/>
      <c r="AV18" s="1851"/>
      <c r="AW18" s="1851"/>
      <c r="AX18" s="1851"/>
      <c r="AY18" s="1851"/>
      <c r="AZ18" s="1851"/>
      <c r="BA18" s="1851"/>
      <c r="BB18" s="1851"/>
    </row>
    <row r="19" spans="1:54" x14ac:dyDescent="0.25">
      <c r="A19" s="1854" t="s">
        <v>793</v>
      </c>
      <c r="B19" s="1854"/>
      <c r="C19" s="1855" t="s">
        <v>794</v>
      </c>
      <c r="D19" s="1855"/>
      <c r="E19" s="1855"/>
      <c r="F19" s="1855"/>
      <c r="G19" s="1855"/>
      <c r="H19" s="1855"/>
      <c r="I19" s="1855"/>
      <c r="J19" s="1855"/>
      <c r="K19" s="1855"/>
      <c r="L19" s="1855"/>
      <c r="M19" s="1855"/>
      <c r="N19" s="1855"/>
      <c r="O19" s="1855"/>
      <c r="P19" s="1855"/>
      <c r="Q19" s="1855"/>
      <c r="R19" s="1855"/>
      <c r="S19" s="1855"/>
      <c r="T19" s="1855"/>
      <c r="U19" s="1855"/>
      <c r="V19" s="1864" t="s">
        <v>795</v>
      </c>
      <c r="W19" s="1864"/>
      <c r="X19" s="1864"/>
      <c r="Y19" s="1857"/>
      <c r="Z19" s="1858"/>
      <c r="AA19" s="1858"/>
      <c r="AB19" s="1858"/>
      <c r="AC19" s="1859"/>
      <c r="AD19" s="1859"/>
      <c r="AE19" s="1857"/>
      <c r="AF19" s="1858"/>
      <c r="AG19" s="1858"/>
      <c r="AH19" s="1858"/>
      <c r="AI19" s="1859"/>
      <c r="AJ19" s="1859"/>
      <c r="AK19" s="1857"/>
      <c r="AL19" s="1858"/>
      <c r="AM19" s="1858"/>
      <c r="AN19" s="1858"/>
      <c r="AO19" s="1859"/>
      <c r="AP19" s="1859"/>
      <c r="AQ19" s="1857"/>
      <c r="AR19" s="1858"/>
      <c r="AS19" s="1858"/>
      <c r="AT19" s="1858"/>
      <c r="AU19" s="1859"/>
      <c r="AV19" s="1859"/>
      <c r="AW19" s="1857"/>
      <c r="AX19" s="1858"/>
      <c r="AY19" s="1858"/>
      <c r="AZ19" s="1858"/>
      <c r="BA19" s="1859"/>
      <c r="BB19" s="1859"/>
    </row>
    <row r="20" spans="1:54" x14ac:dyDescent="0.25">
      <c r="A20" s="1851" t="s">
        <v>796</v>
      </c>
      <c r="B20" s="1851"/>
      <c r="C20" s="1856" t="s">
        <v>797</v>
      </c>
      <c r="D20" s="1856"/>
      <c r="E20" s="1856"/>
      <c r="F20" s="1856"/>
      <c r="G20" s="1856"/>
      <c r="H20" s="1856"/>
      <c r="I20" s="1856"/>
      <c r="J20" s="1856"/>
      <c r="K20" s="1856"/>
      <c r="L20" s="1856"/>
      <c r="M20" s="1856"/>
      <c r="N20" s="1856"/>
      <c r="O20" s="1856"/>
      <c r="P20" s="1856"/>
      <c r="Q20" s="1856"/>
      <c r="R20" s="1856"/>
      <c r="S20" s="1856"/>
      <c r="T20" s="1856"/>
      <c r="U20" s="1856"/>
      <c r="V20" s="1865" t="s">
        <v>798</v>
      </c>
      <c r="W20" s="1865"/>
      <c r="X20" s="1865"/>
      <c r="Y20" s="1851"/>
      <c r="Z20" s="1851"/>
      <c r="AA20" s="1851"/>
      <c r="AB20" s="1851"/>
      <c r="AC20" s="1851"/>
      <c r="AD20" s="1851"/>
      <c r="AE20" s="1851"/>
      <c r="AF20" s="1851"/>
      <c r="AG20" s="1851"/>
      <c r="AH20" s="1851"/>
      <c r="AI20" s="1851"/>
      <c r="AJ20" s="1851"/>
      <c r="AK20" s="1851"/>
      <c r="AL20" s="1851"/>
      <c r="AM20" s="1851"/>
      <c r="AN20" s="1851"/>
      <c r="AO20" s="1851"/>
      <c r="AP20" s="1851"/>
      <c r="AQ20" s="1851"/>
      <c r="AR20" s="1851"/>
      <c r="AS20" s="1851"/>
      <c r="AT20" s="1851"/>
      <c r="AU20" s="1851"/>
      <c r="AV20" s="1851"/>
      <c r="AW20" s="1851"/>
      <c r="AX20" s="1851"/>
      <c r="AY20" s="1851"/>
      <c r="AZ20" s="1851"/>
      <c r="BA20" s="1851"/>
      <c r="BB20" s="1851"/>
    </row>
    <row r="21" spans="1:54" x14ac:dyDescent="0.25">
      <c r="A21" s="1851" t="s">
        <v>799</v>
      </c>
      <c r="B21" s="1851"/>
      <c r="C21" s="1856" t="s">
        <v>800</v>
      </c>
      <c r="D21" s="1856"/>
      <c r="E21" s="1856"/>
      <c r="F21" s="1856"/>
      <c r="G21" s="1856"/>
      <c r="H21" s="1856"/>
      <c r="I21" s="1856"/>
      <c r="J21" s="1856"/>
      <c r="K21" s="1856"/>
      <c r="L21" s="1856"/>
      <c r="M21" s="1856"/>
      <c r="N21" s="1856"/>
      <c r="O21" s="1856"/>
      <c r="P21" s="1856"/>
      <c r="Q21" s="1856"/>
      <c r="R21" s="1856"/>
      <c r="S21" s="1856"/>
      <c r="T21" s="1856"/>
      <c r="U21" s="1856"/>
      <c r="V21" s="1865" t="s">
        <v>801</v>
      </c>
      <c r="W21" s="1865"/>
      <c r="X21" s="1865"/>
      <c r="Y21" s="1851"/>
      <c r="Z21" s="1851"/>
      <c r="AA21" s="1851"/>
      <c r="AB21" s="1851"/>
      <c r="AC21" s="1851"/>
      <c r="AD21" s="1851"/>
      <c r="AE21" s="1851"/>
      <c r="AF21" s="1851"/>
      <c r="AG21" s="1851"/>
      <c r="AH21" s="1851"/>
      <c r="AI21" s="1851"/>
      <c r="AJ21" s="1851"/>
      <c r="AK21" s="1851"/>
      <c r="AL21" s="1851"/>
      <c r="AM21" s="1851"/>
      <c r="AN21" s="1851"/>
      <c r="AO21" s="1851"/>
      <c r="AP21" s="1851"/>
      <c r="AQ21" s="1851"/>
      <c r="AR21" s="1851"/>
      <c r="AS21" s="1851"/>
      <c r="AT21" s="1851"/>
      <c r="AU21" s="1851"/>
      <c r="AV21" s="1851"/>
      <c r="AW21" s="1851"/>
      <c r="AX21" s="1851"/>
      <c r="AY21" s="1851"/>
      <c r="AZ21" s="1851"/>
      <c r="BA21" s="1851"/>
      <c r="BB21" s="1851"/>
    </row>
    <row r="22" spans="1:54" x14ac:dyDescent="0.25">
      <c r="A22" s="1851" t="s">
        <v>802</v>
      </c>
      <c r="B22" s="1851"/>
      <c r="C22" s="1856" t="s">
        <v>803</v>
      </c>
      <c r="D22" s="1856"/>
      <c r="E22" s="1856"/>
      <c r="F22" s="1856"/>
      <c r="G22" s="1856"/>
      <c r="H22" s="1856"/>
      <c r="I22" s="1856"/>
      <c r="J22" s="1856"/>
      <c r="K22" s="1856"/>
      <c r="L22" s="1856"/>
      <c r="M22" s="1856"/>
      <c r="N22" s="1856"/>
      <c r="O22" s="1856"/>
      <c r="P22" s="1856"/>
      <c r="Q22" s="1856"/>
      <c r="R22" s="1856"/>
      <c r="S22" s="1856"/>
      <c r="T22" s="1856"/>
      <c r="U22" s="1856"/>
      <c r="V22" s="1865" t="s">
        <v>804</v>
      </c>
      <c r="W22" s="1865"/>
      <c r="X22" s="1865"/>
      <c r="Y22" s="1851"/>
      <c r="Z22" s="1851"/>
      <c r="AA22" s="1851"/>
      <c r="AB22" s="1851"/>
      <c r="AC22" s="1851"/>
      <c r="AD22" s="1851"/>
      <c r="AE22" s="1851"/>
      <c r="AF22" s="1851"/>
      <c r="AG22" s="1851"/>
      <c r="AH22" s="1851"/>
      <c r="AI22" s="1851"/>
      <c r="AJ22" s="1851"/>
      <c r="AK22" s="1851"/>
      <c r="AL22" s="1851"/>
      <c r="AM22" s="1851"/>
      <c r="AN22" s="1851"/>
      <c r="AO22" s="1851"/>
      <c r="AP22" s="1851"/>
      <c r="AQ22" s="1851"/>
      <c r="AR22" s="1851"/>
      <c r="AS22" s="1851"/>
      <c r="AT22" s="1851"/>
      <c r="AU22" s="1851"/>
      <c r="AV22" s="1851"/>
      <c r="AW22" s="1851"/>
      <c r="AX22" s="1851"/>
      <c r="AY22" s="1851"/>
      <c r="AZ22" s="1851"/>
      <c r="BA22" s="1851"/>
      <c r="BB22" s="1851"/>
    </row>
    <row r="23" spans="1:54" x14ac:dyDescent="0.25">
      <c r="A23" s="1854" t="s">
        <v>805</v>
      </c>
      <c r="B23" s="1854"/>
      <c r="C23" s="1855" t="s">
        <v>806</v>
      </c>
      <c r="D23" s="1855"/>
      <c r="E23" s="1855"/>
      <c r="F23" s="1855"/>
      <c r="G23" s="1855"/>
      <c r="H23" s="1855"/>
      <c r="I23" s="1855"/>
      <c r="J23" s="1855"/>
      <c r="K23" s="1855"/>
      <c r="L23" s="1855"/>
      <c r="M23" s="1855"/>
      <c r="N23" s="1855"/>
      <c r="O23" s="1855"/>
      <c r="P23" s="1855"/>
      <c r="Q23" s="1855"/>
      <c r="R23" s="1855"/>
      <c r="S23" s="1855"/>
      <c r="T23" s="1855"/>
      <c r="U23" s="1855"/>
      <c r="V23" s="1864" t="s">
        <v>807</v>
      </c>
      <c r="W23" s="1864"/>
      <c r="X23" s="1864"/>
      <c r="Y23" s="1857"/>
      <c r="Z23" s="1858"/>
      <c r="AA23" s="1858"/>
      <c r="AB23" s="1858"/>
      <c r="AC23" s="1859"/>
      <c r="AD23" s="1859"/>
      <c r="AE23" s="1857"/>
      <c r="AF23" s="1858"/>
      <c r="AG23" s="1858"/>
      <c r="AH23" s="1858"/>
      <c r="AI23" s="1859"/>
      <c r="AJ23" s="1859"/>
      <c r="AK23" s="1857"/>
      <c r="AL23" s="1858"/>
      <c r="AM23" s="1858"/>
      <c r="AN23" s="1858"/>
      <c r="AO23" s="1859"/>
      <c r="AP23" s="1859"/>
      <c r="AQ23" s="1857"/>
      <c r="AR23" s="1858"/>
      <c r="AS23" s="1858"/>
      <c r="AT23" s="1858"/>
      <c r="AU23" s="1859"/>
      <c r="AV23" s="1859"/>
      <c r="AW23" s="1857"/>
      <c r="AX23" s="1858"/>
      <c r="AY23" s="1858"/>
      <c r="AZ23" s="1858"/>
      <c r="BA23" s="1859"/>
      <c r="BB23" s="1859"/>
    </row>
    <row r="24" spans="1:54" x14ac:dyDescent="0.25">
      <c r="A24" s="1854" t="s">
        <v>808</v>
      </c>
      <c r="B24" s="1854"/>
      <c r="C24" s="1855" t="s">
        <v>809</v>
      </c>
      <c r="D24" s="1855"/>
      <c r="E24" s="1855"/>
      <c r="F24" s="1855"/>
      <c r="G24" s="1855"/>
      <c r="H24" s="1855"/>
      <c r="I24" s="1855"/>
      <c r="J24" s="1855"/>
      <c r="K24" s="1855"/>
      <c r="L24" s="1855"/>
      <c r="M24" s="1855"/>
      <c r="N24" s="1855"/>
      <c r="O24" s="1855"/>
      <c r="P24" s="1855"/>
      <c r="Q24" s="1855"/>
      <c r="R24" s="1855"/>
      <c r="S24" s="1855"/>
      <c r="T24" s="1855"/>
      <c r="U24" s="1855"/>
      <c r="V24" s="1864" t="s">
        <v>810</v>
      </c>
      <c r="W24" s="1864"/>
      <c r="X24" s="1864"/>
      <c r="Y24" s="1857"/>
      <c r="Z24" s="1858"/>
      <c r="AA24" s="1858"/>
      <c r="AB24" s="1858"/>
      <c r="AC24" s="1859"/>
      <c r="AD24" s="1859"/>
      <c r="AE24" s="1857"/>
      <c r="AF24" s="1858"/>
      <c r="AG24" s="1858"/>
      <c r="AH24" s="1858"/>
      <c r="AI24" s="1859"/>
      <c r="AJ24" s="1859"/>
      <c r="AK24" s="1857"/>
      <c r="AL24" s="1858"/>
      <c r="AM24" s="1858"/>
      <c r="AN24" s="1858"/>
      <c r="AO24" s="1859"/>
      <c r="AP24" s="1859"/>
      <c r="AQ24" s="1857"/>
      <c r="AR24" s="1858"/>
      <c r="AS24" s="1858"/>
      <c r="AT24" s="1858"/>
      <c r="AU24" s="1859"/>
      <c r="AV24" s="1859"/>
      <c r="AW24" s="1857"/>
      <c r="AX24" s="1858"/>
      <c r="AY24" s="1858"/>
      <c r="AZ24" s="1858"/>
      <c r="BA24" s="1859"/>
      <c r="BB24" s="1859"/>
    </row>
    <row r="25" spans="1:54" x14ac:dyDescent="0.25">
      <c r="A25" s="1854">
        <v>21</v>
      </c>
      <c r="B25" s="1854"/>
      <c r="C25" s="1855" t="s">
        <v>811</v>
      </c>
      <c r="D25" s="1855"/>
      <c r="E25" s="1855"/>
      <c r="F25" s="1855"/>
      <c r="G25" s="1855"/>
      <c r="H25" s="1855"/>
      <c r="I25" s="1855"/>
      <c r="J25" s="1855"/>
      <c r="K25" s="1855"/>
      <c r="L25" s="1855"/>
      <c r="M25" s="1855"/>
      <c r="N25" s="1855"/>
      <c r="O25" s="1855"/>
      <c r="P25" s="1855"/>
      <c r="Q25" s="1855"/>
      <c r="R25" s="1855"/>
      <c r="S25" s="1855"/>
      <c r="T25" s="1855"/>
      <c r="U25" s="1855"/>
      <c r="V25" s="1864" t="s">
        <v>812</v>
      </c>
      <c r="W25" s="1864"/>
      <c r="X25" s="1864"/>
      <c r="Y25" s="1857"/>
      <c r="Z25" s="1858"/>
      <c r="AA25" s="1858"/>
      <c r="AB25" s="1858"/>
      <c r="AC25" s="1859"/>
      <c r="AD25" s="1859"/>
      <c r="AE25" s="1857"/>
      <c r="AF25" s="1858"/>
      <c r="AG25" s="1858"/>
      <c r="AH25" s="1858"/>
      <c r="AI25" s="1859"/>
      <c r="AJ25" s="1859"/>
      <c r="AK25" s="1857"/>
      <c r="AL25" s="1858"/>
      <c r="AM25" s="1858"/>
      <c r="AN25" s="1858"/>
      <c r="AO25" s="1859"/>
      <c r="AP25" s="1859"/>
      <c r="AQ25" s="1857"/>
      <c r="AR25" s="1858"/>
      <c r="AS25" s="1858"/>
      <c r="AT25" s="1858"/>
      <c r="AU25" s="1859"/>
      <c r="AV25" s="1859"/>
      <c r="AW25" s="1857"/>
      <c r="AX25" s="1858"/>
      <c r="AY25" s="1858"/>
      <c r="AZ25" s="1858"/>
      <c r="BA25" s="1859"/>
      <c r="BB25" s="1859"/>
    </row>
    <row r="26" spans="1:54" x14ac:dyDescent="0.25">
      <c r="A26" s="1851">
        <v>22</v>
      </c>
      <c r="B26" s="1851"/>
      <c r="C26" s="1872" t="s">
        <v>813</v>
      </c>
      <c r="D26" s="1872"/>
      <c r="E26" s="1872"/>
      <c r="F26" s="1872"/>
      <c r="G26" s="1872"/>
      <c r="H26" s="1872"/>
      <c r="I26" s="1872"/>
      <c r="J26" s="1872"/>
      <c r="K26" s="1872"/>
      <c r="L26" s="1872"/>
      <c r="M26" s="1872"/>
      <c r="N26" s="1872"/>
      <c r="O26" s="1872"/>
      <c r="P26" s="1872"/>
      <c r="Q26" s="1872"/>
      <c r="R26" s="1872"/>
      <c r="S26" s="1872"/>
      <c r="T26" s="1872"/>
      <c r="U26" s="1872"/>
      <c r="V26" s="1865" t="s">
        <v>812</v>
      </c>
      <c r="W26" s="1865"/>
      <c r="X26" s="1865"/>
      <c r="Y26" s="1851"/>
      <c r="Z26" s="1851"/>
      <c r="AA26" s="1851"/>
      <c r="AB26" s="1851"/>
      <c r="AC26" s="1851"/>
      <c r="AD26" s="1851"/>
      <c r="AE26" s="1851"/>
      <c r="AF26" s="1851"/>
      <c r="AG26" s="1851"/>
      <c r="AH26" s="1851"/>
      <c r="AI26" s="1851"/>
      <c r="AJ26" s="1851"/>
      <c r="AK26" s="1851"/>
      <c r="AL26" s="1851"/>
      <c r="AM26" s="1851"/>
      <c r="AN26" s="1851"/>
      <c r="AO26" s="1851"/>
      <c r="AP26" s="1851"/>
      <c r="AQ26" s="1851"/>
      <c r="AR26" s="1851"/>
      <c r="AS26" s="1851"/>
      <c r="AT26" s="1851"/>
      <c r="AU26" s="1851"/>
      <c r="AV26" s="1851"/>
      <c r="AW26" s="1851"/>
      <c r="AX26" s="1851"/>
      <c r="AY26" s="1851"/>
      <c r="AZ26" s="1851"/>
      <c r="BA26" s="1851"/>
      <c r="BB26" s="1851"/>
    </row>
    <row r="27" spans="1:54" x14ac:dyDescent="0.25">
      <c r="A27" s="1851">
        <v>23</v>
      </c>
      <c r="B27" s="1851"/>
      <c r="C27" s="1872" t="s">
        <v>814</v>
      </c>
      <c r="D27" s="1872"/>
      <c r="E27" s="1872"/>
      <c r="F27" s="1872"/>
      <c r="G27" s="1872"/>
      <c r="H27" s="1872"/>
      <c r="I27" s="1872"/>
      <c r="J27" s="1872"/>
      <c r="K27" s="1872"/>
      <c r="L27" s="1872"/>
      <c r="M27" s="1872"/>
      <c r="N27" s="1872"/>
      <c r="O27" s="1872"/>
      <c r="P27" s="1872"/>
      <c r="Q27" s="1872"/>
      <c r="R27" s="1872"/>
      <c r="S27" s="1872"/>
      <c r="T27" s="1872"/>
      <c r="U27" s="1872"/>
      <c r="V27" s="1865" t="s">
        <v>812</v>
      </c>
      <c r="W27" s="1865"/>
      <c r="X27" s="1865"/>
      <c r="Y27" s="1851"/>
      <c r="Z27" s="1851"/>
      <c r="AA27" s="1851"/>
      <c r="AB27" s="1851"/>
      <c r="AC27" s="1851"/>
      <c r="AD27" s="1851"/>
      <c r="AE27" s="1851"/>
      <c r="AF27" s="1851"/>
      <c r="AG27" s="1851"/>
      <c r="AH27" s="1851"/>
      <c r="AI27" s="1851"/>
      <c r="AJ27" s="1851"/>
      <c r="AK27" s="1851"/>
      <c r="AL27" s="1851"/>
      <c r="AM27" s="1851"/>
      <c r="AN27" s="1851"/>
      <c r="AO27" s="1851"/>
      <c r="AP27" s="1851"/>
      <c r="AQ27" s="1851"/>
      <c r="AR27" s="1851"/>
      <c r="AS27" s="1851"/>
      <c r="AT27" s="1851"/>
      <c r="AU27" s="1851"/>
      <c r="AV27" s="1851"/>
      <c r="AW27" s="1851"/>
      <c r="AX27" s="1851"/>
      <c r="AY27" s="1851"/>
      <c r="AZ27" s="1851"/>
      <c r="BA27" s="1851"/>
      <c r="BB27" s="1851"/>
    </row>
    <row r="28" spans="1:54" x14ac:dyDescent="0.25">
      <c r="A28" s="1851">
        <v>24</v>
      </c>
      <c r="B28" s="1851"/>
      <c r="C28" s="1872" t="s">
        <v>815</v>
      </c>
      <c r="D28" s="1872"/>
      <c r="E28" s="1872"/>
      <c r="F28" s="1872"/>
      <c r="G28" s="1872"/>
      <c r="H28" s="1872"/>
      <c r="I28" s="1872"/>
      <c r="J28" s="1872"/>
      <c r="K28" s="1872"/>
      <c r="L28" s="1872"/>
      <c r="M28" s="1872"/>
      <c r="N28" s="1872"/>
      <c r="O28" s="1872"/>
      <c r="P28" s="1872"/>
      <c r="Q28" s="1872"/>
      <c r="R28" s="1872"/>
      <c r="S28" s="1872"/>
      <c r="T28" s="1872"/>
      <c r="U28" s="1872"/>
      <c r="V28" s="1865" t="s">
        <v>812</v>
      </c>
      <c r="W28" s="1865"/>
      <c r="X28" s="1865"/>
      <c r="Y28" s="1851"/>
      <c r="Z28" s="1851"/>
      <c r="AA28" s="1851"/>
      <c r="AB28" s="1851"/>
      <c r="AC28" s="1851"/>
      <c r="AD28" s="1851"/>
      <c r="AE28" s="1851"/>
      <c r="AF28" s="1851"/>
      <c r="AG28" s="1851"/>
      <c r="AH28" s="1851"/>
      <c r="AI28" s="1851"/>
      <c r="AJ28" s="1851"/>
      <c r="AK28" s="1851"/>
      <c r="AL28" s="1851"/>
      <c r="AM28" s="1851"/>
      <c r="AN28" s="1851"/>
      <c r="AO28" s="1851"/>
      <c r="AP28" s="1851"/>
      <c r="AQ28" s="1851"/>
      <c r="AR28" s="1851"/>
      <c r="AS28" s="1851"/>
      <c r="AT28" s="1851"/>
      <c r="AU28" s="1851"/>
      <c r="AV28" s="1851"/>
      <c r="AW28" s="1851"/>
      <c r="AX28" s="1851"/>
      <c r="AY28" s="1851"/>
      <c r="AZ28" s="1851"/>
      <c r="BA28" s="1851"/>
      <c r="BB28" s="1851"/>
    </row>
    <row r="29" spans="1:54" x14ac:dyDescent="0.25">
      <c r="A29" s="1851">
        <v>25</v>
      </c>
      <c r="B29" s="1851"/>
      <c r="C29" s="1872" t="s">
        <v>816</v>
      </c>
      <c r="D29" s="1872"/>
      <c r="E29" s="1872"/>
      <c r="F29" s="1872"/>
      <c r="G29" s="1872"/>
      <c r="H29" s="1872"/>
      <c r="I29" s="1872"/>
      <c r="J29" s="1872"/>
      <c r="K29" s="1872"/>
      <c r="L29" s="1872"/>
      <c r="M29" s="1872"/>
      <c r="N29" s="1872"/>
      <c r="O29" s="1872"/>
      <c r="P29" s="1872"/>
      <c r="Q29" s="1872"/>
      <c r="R29" s="1872"/>
      <c r="S29" s="1872"/>
      <c r="T29" s="1872"/>
      <c r="U29" s="1872"/>
      <c r="V29" s="1865" t="s">
        <v>812</v>
      </c>
      <c r="W29" s="1865"/>
      <c r="X29" s="1865"/>
      <c r="Y29" s="1851"/>
      <c r="Z29" s="1851"/>
      <c r="AA29" s="1851"/>
      <c r="AB29" s="1851"/>
      <c r="AC29" s="1851"/>
      <c r="AD29" s="1851"/>
      <c r="AE29" s="1851"/>
      <c r="AF29" s="1851"/>
      <c r="AG29" s="1851"/>
      <c r="AH29" s="1851"/>
      <c r="AI29" s="1851"/>
      <c r="AJ29" s="1851"/>
      <c r="AK29" s="1851"/>
      <c r="AL29" s="1851"/>
      <c r="AM29" s="1851"/>
      <c r="AN29" s="1851"/>
      <c r="AO29" s="1851"/>
      <c r="AP29" s="1851"/>
      <c r="AQ29" s="1851"/>
      <c r="AR29" s="1851"/>
      <c r="AS29" s="1851"/>
      <c r="AT29" s="1851"/>
      <c r="AU29" s="1851"/>
      <c r="AV29" s="1851"/>
      <c r="AW29" s="1851"/>
      <c r="AX29" s="1851"/>
      <c r="AY29" s="1851"/>
      <c r="AZ29" s="1851"/>
      <c r="BA29" s="1851"/>
      <c r="BB29" s="1851"/>
    </row>
    <row r="30" spans="1:54" x14ac:dyDescent="0.25">
      <c r="A30" s="1851">
        <v>26</v>
      </c>
      <c r="B30" s="1851"/>
      <c r="C30" s="1872" t="s">
        <v>817</v>
      </c>
      <c r="D30" s="1872"/>
      <c r="E30" s="1872"/>
      <c r="F30" s="1872"/>
      <c r="G30" s="1872"/>
      <c r="H30" s="1872"/>
      <c r="I30" s="1872"/>
      <c r="J30" s="1872"/>
      <c r="K30" s="1872"/>
      <c r="L30" s="1872"/>
      <c r="M30" s="1872"/>
      <c r="N30" s="1872"/>
      <c r="O30" s="1872"/>
      <c r="P30" s="1872"/>
      <c r="Q30" s="1872"/>
      <c r="R30" s="1872"/>
      <c r="S30" s="1872"/>
      <c r="T30" s="1872"/>
      <c r="U30" s="1872"/>
      <c r="V30" s="1865" t="s">
        <v>812</v>
      </c>
      <c r="W30" s="1865"/>
      <c r="X30" s="1865"/>
      <c r="Y30" s="1851"/>
      <c r="Z30" s="1851"/>
      <c r="AA30" s="1851"/>
      <c r="AB30" s="1851"/>
      <c r="AC30" s="1851"/>
      <c r="AD30" s="1851"/>
      <c r="AE30" s="1851"/>
      <c r="AF30" s="1851"/>
      <c r="AG30" s="1851"/>
      <c r="AH30" s="1851"/>
      <c r="AI30" s="1851"/>
      <c r="AJ30" s="1851"/>
      <c r="AK30" s="1851"/>
      <c r="AL30" s="1851"/>
      <c r="AM30" s="1851"/>
      <c r="AN30" s="1851"/>
      <c r="AO30" s="1851"/>
      <c r="AP30" s="1851"/>
      <c r="AQ30" s="1851"/>
      <c r="AR30" s="1851"/>
      <c r="AS30" s="1851"/>
      <c r="AT30" s="1851"/>
      <c r="AU30" s="1851"/>
      <c r="AV30" s="1851"/>
      <c r="AW30" s="1851"/>
      <c r="AX30" s="1851"/>
      <c r="AY30" s="1851"/>
      <c r="AZ30" s="1851"/>
      <c r="BA30" s="1851"/>
      <c r="BB30" s="1851"/>
    </row>
    <row r="31" spans="1:54" x14ac:dyDescent="0.25">
      <c r="A31" s="1851">
        <v>27</v>
      </c>
      <c r="B31" s="1851"/>
      <c r="C31" s="1872" t="s">
        <v>818</v>
      </c>
      <c r="D31" s="1872"/>
      <c r="E31" s="1872"/>
      <c r="F31" s="1872"/>
      <c r="G31" s="1872"/>
      <c r="H31" s="1872"/>
      <c r="I31" s="1872"/>
      <c r="J31" s="1872"/>
      <c r="K31" s="1872"/>
      <c r="L31" s="1872"/>
      <c r="M31" s="1872"/>
      <c r="N31" s="1872"/>
      <c r="O31" s="1872"/>
      <c r="P31" s="1872"/>
      <c r="Q31" s="1872"/>
      <c r="R31" s="1872"/>
      <c r="S31" s="1872"/>
      <c r="T31" s="1872"/>
      <c r="U31" s="1872"/>
      <c r="V31" s="1865" t="s">
        <v>812</v>
      </c>
      <c r="W31" s="1865"/>
      <c r="X31" s="1865"/>
      <c r="Y31" s="1851"/>
      <c r="Z31" s="1851"/>
      <c r="AA31" s="1851"/>
      <c r="AB31" s="1851"/>
      <c r="AC31" s="1851"/>
      <c r="AD31" s="1851"/>
      <c r="AE31" s="1851"/>
      <c r="AF31" s="1851"/>
      <c r="AG31" s="1851"/>
      <c r="AH31" s="1851"/>
      <c r="AI31" s="1851"/>
      <c r="AJ31" s="1851"/>
      <c r="AK31" s="1851"/>
      <c r="AL31" s="1851"/>
      <c r="AM31" s="1851"/>
      <c r="AN31" s="1851"/>
      <c r="AO31" s="1851"/>
      <c r="AP31" s="1851"/>
      <c r="AQ31" s="1851"/>
      <c r="AR31" s="1851"/>
      <c r="AS31" s="1851"/>
      <c r="AT31" s="1851"/>
      <c r="AU31" s="1851"/>
      <c r="AV31" s="1851"/>
      <c r="AW31" s="1851"/>
      <c r="AX31" s="1851"/>
      <c r="AY31" s="1851"/>
      <c r="AZ31" s="1851"/>
      <c r="BA31" s="1851"/>
      <c r="BB31" s="1851"/>
    </row>
    <row r="32" spans="1:54" x14ac:dyDescent="0.25">
      <c r="A32" s="1851">
        <v>28</v>
      </c>
      <c r="B32" s="1851"/>
      <c r="C32" s="1872" t="s">
        <v>819</v>
      </c>
      <c r="D32" s="1872"/>
      <c r="E32" s="1872"/>
      <c r="F32" s="1872"/>
      <c r="G32" s="1872"/>
      <c r="H32" s="1872"/>
      <c r="I32" s="1872"/>
      <c r="J32" s="1872"/>
      <c r="K32" s="1872"/>
      <c r="L32" s="1872"/>
      <c r="M32" s="1872"/>
      <c r="N32" s="1872"/>
      <c r="O32" s="1872"/>
      <c r="P32" s="1872"/>
      <c r="Q32" s="1872"/>
      <c r="R32" s="1872"/>
      <c r="S32" s="1872"/>
      <c r="T32" s="1872"/>
      <c r="U32" s="1872"/>
      <c r="V32" s="1865" t="s">
        <v>812</v>
      </c>
      <c r="W32" s="1865"/>
      <c r="X32" s="1865"/>
      <c r="Y32" s="1851"/>
      <c r="Z32" s="1851"/>
      <c r="AA32" s="1851"/>
      <c r="AB32" s="1851"/>
      <c r="AC32" s="1851"/>
      <c r="AD32" s="1851"/>
      <c r="AE32" s="1851"/>
      <c r="AF32" s="1851"/>
      <c r="AG32" s="1851"/>
      <c r="AH32" s="1851"/>
      <c r="AI32" s="1851"/>
      <c r="AJ32" s="1851"/>
      <c r="AK32" s="1851"/>
      <c r="AL32" s="1851"/>
      <c r="AM32" s="1851"/>
      <c r="AN32" s="1851"/>
      <c r="AO32" s="1851"/>
      <c r="AP32" s="1851"/>
      <c r="AQ32" s="1851"/>
      <c r="AR32" s="1851"/>
      <c r="AS32" s="1851"/>
      <c r="AT32" s="1851"/>
      <c r="AU32" s="1851"/>
      <c r="AV32" s="1851"/>
      <c r="AW32" s="1851"/>
      <c r="AX32" s="1851"/>
      <c r="AY32" s="1851"/>
      <c r="AZ32" s="1851"/>
      <c r="BA32" s="1851"/>
      <c r="BB32" s="1851"/>
    </row>
    <row r="33" spans="1:54" x14ac:dyDescent="0.25">
      <c r="A33" s="1851" t="s">
        <v>820</v>
      </c>
      <c r="B33" s="1851"/>
      <c r="C33" s="1856" t="s">
        <v>821</v>
      </c>
      <c r="D33" s="1856"/>
      <c r="E33" s="1856"/>
      <c r="F33" s="1856"/>
      <c r="G33" s="1856"/>
      <c r="H33" s="1856"/>
      <c r="I33" s="1856"/>
      <c r="J33" s="1856"/>
      <c r="K33" s="1856"/>
      <c r="L33" s="1856"/>
      <c r="M33" s="1856"/>
      <c r="N33" s="1856"/>
      <c r="O33" s="1856"/>
      <c r="P33" s="1856"/>
      <c r="Q33" s="1856"/>
      <c r="R33" s="1856"/>
      <c r="S33" s="1856"/>
      <c r="T33" s="1856"/>
      <c r="U33" s="1856"/>
      <c r="V33" s="1865" t="s">
        <v>822</v>
      </c>
      <c r="W33" s="1865"/>
      <c r="X33" s="1865"/>
      <c r="Y33" s="1851"/>
      <c r="Z33" s="1851"/>
      <c r="AA33" s="1851"/>
      <c r="AB33" s="1851"/>
      <c r="AC33" s="1851"/>
      <c r="AD33" s="1851"/>
      <c r="AE33" s="1851"/>
      <c r="AF33" s="1851"/>
      <c r="AG33" s="1851"/>
      <c r="AH33" s="1851"/>
      <c r="AI33" s="1851"/>
      <c r="AJ33" s="1851"/>
      <c r="AK33" s="1851"/>
      <c r="AL33" s="1851"/>
      <c r="AM33" s="1851"/>
      <c r="AN33" s="1851"/>
      <c r="AO33" s="1851"/>
      <c r="AP33" s="1851"/>
      <c r="AQ33" s="1851"/>
      <c r="AR33" s="1851"/>
      <c r="AS33" s="1851"/>
      <c r="AT33" s="1851"/>
      <c r="AU33" s="1851"/>
      <c r="AV33" s="1851"/>
      <c r="AW33" s="1851"/>
      <c r="AX33" s="1851"/>
      <c r="AY33" s="1851"/>
      <c r="AZ33" s="1851"/>
      <c r="BA33" s="1851"/>
      <c r="BB33" s="1851"/>
    </row>
    <row r="34" spans="1:54" x14ac:dyDescent="0.25">
      <c r="A34" s="1851" t="s">
        <v>823</v>
      </c>
      <c r="B34" s="1851"/>
      <c r="C34" s="1856" t="s">
        <v>824</v>
      </c>
      <c r="D34" s="1856"/>
      <c r="E34" s="1856"/>
      <c r="F34" s="1856"/>
      <c r="G34" s="1856"/>
      <c r="H34" s="1856"/>
      <c r="I34" s="1856"/>
      <c r="J34" s="1856"/>
      <c r="K34" s="1856"/>
      <c r="L34" s="1856"/>
      <c r="M34" s="1856"/>
      <c r="N34" s="1856"/>
      <c r="O34" s="1856"/>
      <c r="P34" s="1856"/>
      <c r="Q34" s="1856"/>
      <c r="R34" s="1856"/>
      <c r="S34" s="1856"/>
      <c r="T34" s="1856"/>
      <c r="U34" s="1856"/>
      <c r="V34" s="1865" t="s">
        <v>825</v>
      </c>
      <c r="W34" s="1865"/>
      <c r="X34" s="1865"/>
      <c r="Y34" s="1851"/>
      <c r="Z34" s="1851"/>
      <c r="AA34" s="1851"/>
      <c r="AB34" s="1851"/>
      <c r="AC34" s="1851"/>
      <c r="AD34" s="1851"/>
      <c r="AE34" s="1851"/>
      <c r="AF34" s="1851"/>
      <c r="AG34" s="1851"/>
      <c r="AH34" s="1851"/>
      <c r="AI34" s="1851"/>
      <c r="AJ34" s="1851"/>
      <c r="AK34" s="1851"/>
      <c r="AL34" s="1851"/>
      <c r="AM34" s="1851"/>
      <c r="AN34" s="1851"/>
      <c r="AO34" s="1851"/>
      <c r="AP34" s="1851"/>
      <c r="AQ34" s="1851"/>
      <c r="AR34" s="1851"/>
      <c r="AS34" s="1851"/>
      <c r="AT34" s="1851"/>
      <c r="AU34" s="1851"/>
      <c r="AV34" s="1851"/>
      <c r="AW34" s="1851"/>
      <c r="AX34" s="1851"/>
      <c r="AY34" s="1851"/>
      <c r="AZ34" s="1851"/>
      <c r="BA34" s="1851"/>
      <c r="BB34" s="1851"/>
    </row>
    <row r="35" spans="1:54" x14ac:dyDescent="0.25">
      <c r="A35" s="1851" t="s">
        <v>826</v>
      </c>
      <c r="B35" s="1851"/>
      <c r="C35" s="1856" t="s">
        <v>827</v>
      </c>
      <c r="D35" s="1856"/>
      <c r="E35" s="1856"/>
      <c r="F35" s="1856"/>
      <c r="G35" s="1856"/>
      <c r="H35" s="1856"/>
      <c r="I35" s="1856"/>
      <c r="J35" s="1856"/>
      <c r="K35" s="1856"/>
      <c r="L35" s="1856"/>
      <c r="M35" s="1856"/>
      <c r="N35" s="1856"/>
      <c r="O35" s="1856"/>
      <c r="P35" s="1856"/>
      <c r="Q35" s="1856"/>
      <c r="R35" s="1856"/>
      <c r="S35" s="1856"/>
      <c r="T35" s="1856"/>
      <c r="U35" s="1856"/>
      <c r="V35" s="1865" t="s">
        <v>828</v>
      </c>
      <c r="W35" s="1865"/>
      <c r="X35" s="1865"/>
      <c r="Y35" s="1851"/>
      <c r="Z35" s="1851"/>
      <c r="AA35" s="1851"/>
      <c r="AB35" s="1851"/>
      <c r="AC35" s="1851"/>
      <c r="AD35" s="1851"/>
      <c r="AE35" s="1851"/>
      <c r="AF35" s="1851"/>
      <c r="AG35" s="1851"/>
      <c r="AH35" s="1851"/>
      <c r="AI35" s="1851"/>
      <c r="AJ35" s="1851"/>
      <c r="AK35" s="1851"/>
      <c r="AL35" s="1851"/>
      <c r="AM35" s="1851"/>
      <c r="AN35" s="1851"/>
      <c r="AO35" s="1851"/>
      <c r="AP35" s="1851"/>
      <c r="AQ35" s="1851"/>
      <c r="AR35" s="1851"/>
      <c r="AS35" s="1851"/>
      <c r="AT35" s="1851"/>
      <c r="AU35" s="1851"/>
      <c r="AV35" s="1851"/>
      <c r="AW35" s="1851"/>
      <c r="AX35" s="1851"/>
      <c r="AY35" s="1851"/>
      <c r="AZ35" s="1851"/>
      <c r="BA35" s="1851"/>
      <c r="BB35" s="1851"/>
    </row>
    <row r="36" spans="1:54" x14ac:dyDescent="0.25">
      <c r="A36" s="1854" t="s">
        <v>829</v>
      </c>
      <c r="B36" s="1854"/>
      <c r="C36" s="1855" t="s">
        <v>830</v>
      </c>
      <c r="D36" s="1855"/>
      <c r="E36" s="1855"/>
      <c r="F36" s="1855"/>
      <c r="G36" s="1855"/>
      <c r="H36" s="1855"/>
      <c r="I36" s="1855"/>
      <c r="J36" s="1855"/>
      <c r="K36" s="1855"/>
      <c r="L36" s="1855"/>
      <c r="M36" s="1855"/>
      <c r="N36" s="1855"/>
      <c r="O36" s="1855"/>
      <c r="P36" s="1855"/>
      <c r="Q36" s="1855"/>
      <c r="R36" s="1855"/>
      <c r="S36" s="1855"/>
      <c r="T36" s="1855"/>
      <c r="U36" s="1855"/>
      <c r="V36" s="1864" t="s">
        <v>831</v>
      </c>
      <c r="W36" s="1864"/>
      <c r="X36" s="1864"/>
      <c r="Y36" s="1857"/>
      <c r="Z36" s="1858"/>
      <c r="AA36" s="1858"/>
      <c r="AB36" s="1858"/>
      <c r="AC36" s="1859"/>
      <c r="AD36" s="1859"/>
      <c r="AE36" s="1857"/>
      <c r="AF36" s="1858"/>
      <c r="AG36" s="1858"/>
      <c r="AH36" s="1858"/>
      <c r="AI36" s="1859"/>
      <c r="AJ36" s="1859"/>
      <c r="AK36" s="1857"/>
      <c r="AL36" s="1858"/>
      <c r="AM36" s="1858"/>
      <c r="AN36" s="1858"/>
      <c r="AO36" s="1859"/>
      <c r="AP36" s="1859"/>
      <c r="AQ36" s="1857"/>
      <c r="AR36" s="1858"/>
      <c r="AS36" s="1858"/>
      <c r="AT36" s="1858"/>
      <c r="AU36" s="1859"/>
      <c r="AV36" s="1859"/>
      <c r="AW36" s="1857"/>
      <c r="AX36" s="1858"/>
      <c r="AY36" s="1858"/>
      <c r="AZ36" s="1858"/>
      <c r="BA36" s="1859"/>
      <c r="BB36" s="1859"/>
    </row>
    <row r="37" spans="1:54" x14ac:dyDescent="0.25">
      <c r="A37" s="1851" t="s">
        <v>832</v>
      </c>
      <c r="B37" s="1851"/>
      <c r="C37" s="1856" t="s">
        <v>833</v>
      </c>
      <c r="D37" s="1856"/>
      <c r="E37" s="1856"/>
      <c r="F37" s="1856"/>
      <c r="G37" s="1856"/>
      <c r="H37" s="1856"/>
      <c r="I37" s="1856"/>
      <c r="J37" s="1856"/>
      <c r="K37" s="1856"/>
      <c r="L37" s="1856"/>
      <c r="M37" s="1856"/>
      <c r="N37" s="1856"/>
      <c r="O37" s="1856"/>
      <c r="P37" s="1856"/>
      <c r="Q37" s="1856"/>
      <c r="R37" s="1856"/>
      <c r="S37" s="1856"/>
      <c r="T37" s="1856"/>
      <c r="U37" s="1856"/>
      <c r="V37" s="1865" t="s">
        <v>834</v>
      </c>
      <c r="W37" s="1865"/>
      <c r="X37" s="1865"/>
      <c r="Y37" s="1851"/>
      <c r="Z37" s="1851"/>
      <c r="AA37" s="1851"/>
      <c r="AB37" s="1851"/>
      <c r="AC37" s="1851"/>
      <c r="AD37" s="1851"/>
      <c r="AE37" s="1851"/>
      <c r="AF37" s="1851"/>
      <c r="AG37" s="1851"/>
      <c r="AH37" s="1851"/>
      <c r="AI37" s="1851"/>
      <c r="AJ37" s="1851"/>
      <c r="AK37" s="1851"/>
      <c r="AL37" s="1851"/>
      <c r="AM37" s="1851"/>
      <c r="AN37" s="1851"/>
      <c r="AO37" s="1851"/>
      <c r="AP37" s="1851"/>
      <c r="AQ37" s="1851"/>
      <c r="AR37" s="1851"/>
      <c r="AS37" s="1851"/>
      <c r="AT37" s="1851"/>
      <c r="AU37" s="1851"/>
      <c r="AV37" s="1851"/>
      <c r="AW37" s="1851"/>
      <c r="AX37" s="1851"/>
      <c r="AY37" s="1851"/>
      <c r="AZ37" s="1851"/>
      <c r="BA37" s="1851"/>
      <c r="BB37" s="1851"/>
    </row>
    <row r="38" spans="1:54" x14ac:dyDescent="0.25">
      <c r="A38" s="1851" t="s">
        <v>835</v>
      </c>
      <c r="B38" s="1851"/>
      <c r="C38" s="1856" t="s">
        <v>836</v>
      </c>
      <c r="D38" s="1856"/>
      <c r="E38" s="1856"/>
      <c r="F38" s="1856"/>
      <c r="G38" s="1856"/>
      <c r="H38" s="1856"/>
      <c r="I38" s="1856"/>
      <c r="J38" s="1856"/>
      <c r="K38" s="1856"/>
      <c r="L38" s="1856"/>
      <c r="M38" s="1856"/>
      <c r="N38" s="1856"/>
      <c r="O38" s="1856"/>
      <c r="P38" s="1856"/>
      <c r="Q38" s="1856"/>
      <c r="R38" s="1856"/>
      <c r="S38" s="1856"/>
      <c r="T38" s="1856"/>
      <c r="U38" s="1856"/>
      <c r="V38" s="1865" t="s">
        <v>837</v>
      </c>
      <c r="W38" s="1865"/>
      <c r="X38" s="1865"/>
      <c r="Y38" s="1851"/>
      <c r="Z38" s="1851"/>
      <c r="AA38" s="1851"/>
      <c r="AB38" s="1851"/>
      <c r="AC38" s="1851"/>
      <c r="AD38" s="1851"/>
      <c r="AE38" s="1851"/>
      <c r="AF38" s="1851"/>
      <c r="AG38" s="1851"/>
      <c r="AH38" s="1851"/>
      <c r="AI38" s="1851"/>
      <c r="AJ38" s="1851"/>
      <c r="AK38" s="1851"/>
      <c r="AL38" s="1851"/>
      <c r="AM38" s="1851"/>
      <c r="AN38" s="1851"/>
      <c r="AO38" s="1851"/>
      <c r="AP38" s="1851"/>
      <c r="AQ38" s="1851"/>
      <c r="AR38" s="1851"/>
      <c r="AS38" s="1851"/>
      <c r="AT38" s="1851"/>
      <c r="AU38" s="1851"/>
      <c r="AV38" s="1851"/>
      <c r="AW38" s="1851"/>
      <c r="AX38" s="1851"/>
      <c r="AY38" s="1851"/>
      <c r="AZ38" s="1851"/>
      <c r="BA38" s="1851"/>
      <c r="BB38" s="1851"/>
    </row>
    <row r="39" spans="1:54" x14ac:dyDescent="0.25">
      <c r="A39" s="1854" t="s">
        <v>838</v>
      </c>
      <c r="B39" s="1854"/>
      <c r="C39" s="1855" t="s">
        <v>839</v>
      </c>
      <c r="D39" s="1855"/>
      <c r="E39" s="1855"/>
      <c r="F39" s="1855"/>
      <c r="G39" s="1855"/>
      <c r="H39" s="1855"/>
      <c r="I39" s="1855"/>
      <c r="J39" s="1855"/>
      <c r="K39" s="1855"/>
      <c r="L39" s="1855"/>
      <c r="M39" s="1855"/>
      <c r="N39" s="1855"/>
      <c r="O39" s="1855"/>
      <c r="P39" s="1855"/>
      <c r="Q39" s="1855"/>
      <c r="R39" s="1855"/>
      <c r="S39" s="1855"/>
      <c r="T39" s="1855"/>
      <c r="U39" s="1855"/>
      <c r="V39" s="1864" t="s">
        <v>840</v>
      </c>
      <c r="W39" s="1864"/>
      <c r="X39" s="1864"/>
      <c r="Y39" s="1857"/>
      <c r="Z39" s="1858"/>
      <c r="AA39" s="1858"/>
      <c r="AB39" s="1858"/>
      <c r="AC39" s="1859"/>
      <c r="AD39" s="1859"/>
      <c r="AE39" s="1857"/>
      <c r="AF39" s="1858"/>
      <c r="AG39" s="1858"/>
      <c r="AH39" s="1858"/>
      <c r="AI39" s="1859"/>
      <c r="AJ39" s="1859"/>
      <c r="AK39" s="1857"/>
      <c r="AL39" s="1858"/>
      <c r="AM39" s="1858"/>
      <c r="AN39" s="1858"/>
      <c r="AO39" s="1859"/>
      <c r="AP39" s="1859"/>
      <c r="AQ39" s="1857"/>
      <c r="AR39" s="1858"/>
      <c r="AS39" s="1858"/>
      <c r="AT39" s="1858"/>
      <c r="AU39" s="1859"/>
      <c r="AV39" s="1859"/>
      <c r="AW39" s="1857"/>
      <c r="AX39" s="1858"/>
      <c r="AY39" s="1858"/>
      <c r="AZ39" s="1858"/>
      <c r="BA39" s="1859"/>
      <c r="BB39" s="1859"/>
    </row>
    <row r="40" spans="1:54" x14ac:dyDescent="0.25">
      <c r="A40" s="1851" t="s">
        <v>841</v>
      </c>
      <c r="B40" s="1851"/>
      <c r="C40" s="1856" t="s">
        <v>842</v>
      </c>
      <c r="D40" s="1856"/>
      <c r="E40" s="1856"/>
      <c r="F40" s="1856"/>
      <c r="G40" s="1856"/>
      <c r="H40" s="1856"/>
      <c r="I40" s="1856"/>
      <c r="J40" s="1856"/>
      <c r="K40" s="1856"/>
      <c r="L40" s="1856"/>
      <c r="M40" s="1856"/>
      <c r="N40" s="1856"/>
      <c r="O40" s="1856"/>
      <c r="P40" s="1856"/>
      <c r="Q40" s="1856"/>
      <c r="R40" s="1856"/>
      <c r="S40" s="1856"/>
      <c r="T40" s="1856"/>
      <c r="U40" s="1856"/>
      <c r="V40" s="1865" t="s">
        <v>843</v>
      </c>
      <c r="W40" s="1865"/>
      <c r="X40" s="1865"/>
      <c r="Y40" s="1851"/>
      <c r="Z40" s="1851"/>
      <c r="AA40" s="1851"/>
      <c r="AB40" s="1851"/>
      <c r="AC40" s="1851"/>
      <c r="AD40" s="1851"/>
      <c r="AE40" s="1851"/>
      <c r="AF40" s="1851"/>
      <c r="AG40" s="1851"/>
      <c r="AH40" s="1851"/>
      <c r="AI40" s="1851"/>
      <c r="AJ40" s="1851"/>
      <c r="AK40" s="1851"/>
      <c r="AL40" s="1851"/>
      <c r="AM40" s="1851"/>
      <c r="AN40" s="1851"/>
      <c r="AO40" s="1851"/>
      <c r="AP40" s="1851"/>
      <c r="AQ40" s="1851"/>
      <c r="AR40" s="1851"/>
      <c r="AS40" s="1851"/>
      <c r="AT40" s="1851"/>
      <c r="AU40" s="1851"/>
      <c r="AV40" s="1851"/>
      <c r="AW40" s="1851"/>
      <c r="AX40" s="1851"/>
      <c r="AY40" s="1851"/>
      <c r="AZ40" s="1851"/>
      <c r="BA40" s="1851"/>
      <c r="BB40" s="1851"/>
    </row>
    <row r="41" spans="1:54" x14ac:dyDescent="0.25">
      <c r="A41" s="1851" t="s">
        <v>844</v>
      </c>
      <c r="B41" s="1851"/>
      <c r="C41" s="1856" t="s">
        <v>845</v>
      </c>
      <c r="D41" s="1856"/>
      <c r="E41" s="1856"/>
      <c r="F41" s="1856"/>
      <c r="G41" s="1856"/>
      <c r="H41" s="1856"/>
      <c r="I41" s="1856"/>
      <c r="J41" s="1856"/>
      <c r="K41" s="1856"/>
      <c r="L41" s="1856"/>
      <c r="M41" s="1856"/>
      <c r="N41" s="1856"/>
      <c r="O41" s="1856"/>
      <c r="P41" s="1856"/>
      <c r="Q41" s="1856"/>
      <c r="R41" s="1856"/>
      <c r="S41" s="1856"/>
      <c r="T41" s="1856"/>
      <c r="U41" s="1856"/>
      <c r="V41" s="1865" t="s">
        <v>846</v>
      </c>
      <c r="W41" s="1865"/>
      <c r="X41" s="1865"/>
      <c r="Y41" s="1851"/>
      <c r="Z41" s="1851"/>
      <c r="AA41" s="1851"/>
      <c r="AB41" s="1851"/>
      <c r="AC41" s="1851"/>
      <c r="AD41" s="1851"/>
      <c r="AE41" s="1851"/>
      <c r="AF41" s="1851"/>
      <c r="AG41" s="1851"/>
      <c r="AH41" s="1851"/>
      <c r="AI41" s="1851"/>
      <c r="AJ41" s="1851"/>
      <c r="AK41" s="1851"/>
      <c r="AL41" s="1851"/>
      <c r="AM41" s="1851"/>
      <c r="AN41" s="1851"/>
      <c r="AO41" s="1851"/>
      <c r="AP41" s="1851"/>
      <c r="AQ41" s="1851"/>
      <c r="AR41" s="1851"/>
      <c r="AS41" s="1851"/>
      <c r="AT41" s="1851"/>
      <c r="AU41" s="1851"/>
      <c r="AV41" s="1851"/>
      <c r="AW41" s="1851"/>
      <c r="AX41" s="1851"/>
      <c r="AY41" s="1851"/>
      <c r="AZ41" s="1851"/>
      <c r="BA41" s="1851"/>
      <c r="BB41" s="1851"/>
    </row>
    <row r="42" spans="1:54" x14ac:dyDescent="0.25">
      <c r="A42" s="1851" t="s">
        <v>847</v>
      </c>
      <c r="B42" s="1851"/>
      <c r="C42" s="1856" t="s">
        <v>848</v>
      </c>
      <c r="D42" s="1856"/>
      <c r="E42" s="1856"/>
      <c r="F42" s="1856"/>
      <c r="G42" s="1856"/>
      <c r="H42" s="1856"/>
      <c r="I42" s="1856"/>
      <c r="J42" s="1856"/>
      <c r="K42" s="1856"/>
      <c r="L42" s="1856"/>
      <c r="M42" s="1856"/>
      <c r="N42" s="1856"/>
      <c r="O42" s="1856"/>
      <c r="P42" s="1856"/>
      <c r="Q42" s="1856"/>
      <c r="R42" s="1856"/>
      <c r="S42" s="1856"/>
      <c r="T42" s="1856"/>
      <c r="U42" s="1856"/>
      <c r="V42" s="1865" t="s">
        <v>849</v>
      </c>
      <c r="W42" s="1865"/>
      <c r="X42" s="1865"/>
      <c r="Y42" s="1851"/>
      <c r="Z42" s="1851"/>
      <c r="AA42" s="1851"/>
      <c r="AB42" s="1851"/>
      <c r="AC42" s="1851"/>
      <c r="AD42" s="1851"/>
      <c r="AE42" s="1851"/>
      <c r="AF42" s="1851"/>
      <c r="AG42" s="1851"/>
      <c r="AH42" s="1851"/>
      <c r="AI42" s="1851"/>
      <c r="AJ42" s="1851"/>
      <c r="AK42" s="1851"/>
      <c r="AL42" s="1851"/>
      <c r="AM42" s="1851"/>
      <c r="AN42" s="1851"/>
      <c r="AO42" s="1851"/>
      <c r="AP42" s="1851"/>
      <c r="AQ42" s="1851"/>
      <c r="AR42" s="1851"/>
      <c r="AS42" s="1851"/>
      <c r="AT42" s="1851"/>
      <c r="AU42" s="1851"/>
      <c r="AV42" s="1851"/>
      <c r="AW42" s="1851"/>
      <c r="AX42" s="1851"/>
      <c r="AY42" s="1851"/>
      <c r="AZ42" s="1851"/>
      <c r="BA42" s="1851"/>
      <c r="BB42" s="1851"/>
    </row>
    <row r="43" spans="1:54" x14ac:dyDescent="0.25">
      <c r="A43" s="1851" t="s">
        <v>850</v>
      </c>
      <c r="B43" s="1851"/>
      <c r="C43" s="1872" t="s">
        <v>851</v>
      </c>
      <c r="D43" s="1872"/>
      <c r="E43" s="1872"/>
      <c r="F43" s="1872"/>
      <c r="G43" s="1872"/>
      <c r="H43" s="1872"/>
      <c r="I43" s="1872"/>
      <c r="J43" s="1872"/>
      <c r="K43" s="1872"/>
      <c r="L43" s="1872"/>
      <c r="M43" s="1872"/>
      <c r="N43" s="1872"/>
      <c r="O43" s="1872"/>
      <c r="P43" s="1872"/>
      <c r="Q43" s="1872"/>
      <c r="R43" s="1872"/>
      <c r="S43" s="1872"/>
      <c r="T43" s="1872"/>
      <c r="U43" s="1872"/>
      <c r="V43" s="1865" t="s">
        <v>849</v>
      </c>
      <c r="W43" s="1865"/>
      <c r="X43" s="1865"/>
      <c r="Y43" s="1851"/>
      <c r="Z43" s="1851"/>
      <c r="AA43" s="1851"/>
      <c r="AB43" s="1851"/>
      <c r="AC43" s="1851"/>
      <c r="AD43" s="1851"/>
      <c r="AE43" s="1851"/>
      <c r="AF43" s="1851"/>
      <c r="AG43" s="1851"/>
      <c r="AH43" s="1851"/>
      <c r="AI43" s="1851"/>
      <c r="AJ43" s="1851"/>
      <c r="AK43" s="1851"/>
      <c r="AL43" s="1851"/>
      <c r="AM43" s="1851"/>
      <c r="AN43" s="1851"/>
      <c r="AO43" s="1851"/>
      <c r="AP43" s="1851"/>
      <c r="AQ43" s="1851"/>
      <c r="AR43" s="1851"/>
      <c r="AS43" s="1851"/>
      <c r="AT43" s="1851"/>
      <c r="AU43" s="1851"/>
      <c r="AV43" s="1851"/>
      <c r="AW43" s="1851"/>
      <c r="AX43" s="1851"/>
      <c r="AY43" s="1851"/>
      <c r="AZ43" s="1851"/>
      <c r="BA43" s="1851"/>
      <c r="BB43" s="1851"/>
    </row>
    <row r="44" spans="1:54" x14ac:dyDescent="0.25">
      <c r="A44" s="1851" t="s">
        <v>852</v>
      </c>
      <c r="B44" s="1851"/>
      <c r="C44" s="1856" t="s">
        <v>853</v>
      </c>
      <c r="D44" s="1856"/>
      <c r="E44" s="1856"/>
      <c r="F44" s="1856"/>
      <c r="G44" s="1856"/>
      <c r="H44" s="1856"/>
      <c r="I44" s="1856"/>
      <c r="J44" s="1856"/>
      <c r="K44" s="1856"/>
      <c r="L44" s="1856"/>
      <c r="M44" s="1856"/>
      <c r="N44" s="1856"/>
      <c r="O44" s="1856"/>
      <c r="P44" s="1856"/>
      <c r="Q44" s="1856"/>
      <c r="R44" s="1856"/>
      <c r="S44" s="1856"/>
      <c r="T44" s="1856"/>
      <c r="U44" s="1856"/>
      <c r="V44" s="1865" t="s">
        <v>854</v>
      </c>
      <c r="W44" s="1865"/>
      <c r="X44" s="1865"/>
      <c r="Y44" s="1851"/>
      <c r="Z44" s="1851"/>
      <c r="AA44" s="1851"/>
      <c r="AB44" s="1851"/>
      <c r="AC44" s="1851"/>
      <c r="AD44" s="1851"/>
      <c r="AE44" s="1851"/>
      <c r="AF44" s="1851"/>
      <c r="AG44" s="1851"/>
      <c r="AH44" s="1851"/>
      <c r="AI44" s="1851"/>
      <c r="AJ44" s="1851"/>
      <c r="AK44" s="1851"/>
      <c r="AL44" s="1851"/>
      <c r="AM44" s="1851"/>
      <c r="AN44" s="1851"/>
      <c r="AO44" s="1851"/>
      <c r="AP44" s="1851"/>
      <c r="AQ44" s="1851"/>
      <c r="AR44" s="1851"/>
      <c r="AS44" s="1851"/>
      <c r="AT44" s="1851"/>
      <c r="AU44" s="1851"/>
      <c r="AV44" s="1851"/>
      <c r="AW44" s="1851"/>
      <c r="AX44" s="1851"/>
      <c r="AY44" s="1851"/>
      <c r="AZ44" s="1851"/>
      <c r="BA44" s="1851"/>
      <c r="BB44" s="1851"/>
    </row>
    <row r="45" spans="1:54" x14ac:dyDescent="0.25">
      <c r="A45" s="1851" t="s">
        <v>855</v>
      </c>
      <c r="B45" s="1851"/>
      <c r="C45" s="1873" t="s">
        <v>856</v>
      </c>
      <c r="D45" s="1873"/>
      <c r="E45" s="1873"/>
      <c r="F45" s="1873"/>
      <c r="G45" s="1873"/>
      <c r="H45" s="1873"/>
      <c r="I45" s="1873"/>
      <c r="J45" s="1873"/>
      <c r="K45" s="1873"/>
      <c r="L45" s="1873"/>
      <c r="M45" s="1873"/>
      <c r="N45" s="1873"/>
      <c r="O45" s="1873"/>
      <c r="P45" s="1873"/>
      <c r="Q45" s="1873"/>
      <c r="R45" s="1873"/>
      <c r="S45" s="1873"/>
      <c r="T45" s="1873"/>
      <c r="U45" s="1873"/>
      <c r="V45" s="1865" t="s">
        <v>857</v>
      </c>
      <c r="W45" s="1865"/>
      <c r="X45" s="1865"/>
      <c r="Y45" s="1851"/>
      <c r="Z45" s="1851"/>
      <c r="AA45" s="1851"/>
      <c r="AB45" s="1851"/>
      <c r="AC45" s="1851"/>
      <c r="AD45" s="1851"/>
      <c r="AE45" s="1851"/>
      <c r="AF45" s="1851"/>
      <c r="AG45" s="1851"/>
      <c r="AH45" s="1851"/>
      <c r="AI45" s="1851"/>
      <c r="AJ45" s="1851"/>
      <c r="AK45" s="1851"/>
      <c r="AL45" s="1851"/>
      <c r="AM45" s="1851"/>
      <c r="AN45" s="1851"/>
      <c r="AO45" s="1851"/>
      <c r="AP45" s="1851"/>
      <c r="AQ45" s="1851"/>
      <c r="AR45" s="1851"/>
      <c r="AS45" s="1851"/>
      <c r="AT45" s="1851"/>
      <c r="AU45" s="1851"/>
      <c r="AV45" s="1851"/>
      <c r="AW45" s="1851"/>
      <c r="AX45" s="1851"/>
      <c r="AY45" s="1851"/>
      <c r="AZ45" s="1851"/>
      <c r="BA45" s="1851"/>
      <c r="BB45" s="1851"/>
    </row>
    <row r="46" spans="1:54" x14ac:dyDescent="0.25">
      <c r="A46" s="1851" t="s">
        <v>858</v>
      </c>
      <c r="B46" s="1851"/>
      <c r="C46" s="1872" t="s">
        <v>859</v>
      </c>
      <c r="D46" s="1872"/>
      <c r="E46" s="1872"/>
      <c r="F46" s="1872"/>
      <c r="G46" s="1872"/>
      <c r="H46" s="1872"/>
      <c r="I46" s="1872"/>
      <c r="J46" s="1872"/>
      <c r="K46" s="1872"/>
      <c r="L46" s="1872"/>
      <c r="M46" s="1872"/>
      <c r="N46" s="1872"/>
      <c r="O46" s="1872"/>
      <c r="P46" s="1872"/>
      <c r="Q46" s="1872"/>
      <c r="R46" s="1872"/>
      <c r="S46" s="1872"/>
      <c r="T46" s="1872"/>
      <c r="U46" s="1872"/>
      <c r="V46" s="1865" t="s">
        <v>857</v>
      </c>
      <c r="W46" s="1865"/>
      <c r="X46" s="1865"/>
      <c r="Y46" s="1851"/>
      <c r="Z46" s="1851"/>
      <c r="AA46" s="1851"/>
      <c r="AB46" s="1851"/>
      <c r="AC46" s="1851"/>
      <c r="AD46" s="1851"/>
      <c r="AE46" s="1851"/>
      <c r="AF46" s="1851"/>
      <c r="AG46" s="1851"/>
      <c r="AH46" s="1851"/>
      <c r="AI46" s="1851"/>
      <c r="AJ46" s="1851"/>
      <c r="AK46" s="1851"/>
      <c r="AL46" s="1851"/>
      <c r="AM46" s="1851"/>
      <c r="AN46" s="1851"/>
      <c r="AO46" s="1851"/>
      <c r="AP46" s="1851"/>
      <c r="AQ46" s="1851"/>
      <c r="AR46" s="1851"/>
      <c r="AS46" s="1851"/>
      <c r="AT46" s="1851"/>
      <c r="AU46" s="1851"/>
      <c r="AV46" s="1851"/>
      <c r="AW46" s="1851"/>
      <c r="AX46" s="1851"/>
      <c r="AY46" s="1851"/>
      <c r="AZ46" s="1851"/>
      <c r="BA46" s="1851"/>
      <c r="BB46" s="1851"/>
    </row>
    <row r="47" spans="1:54" x14ac:dyDescent="0.25">
      <c r="A47" s="1851" t="s">
        <v>860</v>
      </c>
      <c r="B47" s="1851"/>
      <c r="C47" s="1856" t="s">
        <v>861</v>
      </c>
      <c r="D47" s="1856"/>
      <c r="E47" s="1856"/>
      <c r="F47" s="1856"/>
      <c r="G47" s="1856"/>
      <c r="H47" s="1856"/>
      <c r="I47" s="1856"/>
      <c r="J47" s="1856"/>
      <c r="K47" s="1856"/>
      <c r="L47" s="1856"/>
      <c r="M47" s="1856"/>
      <c r="N47" s="1856"/>
      <c r="O47" s="1856"/>
      <c r="P47" s="1856"/>
      <c r="Q47" s="1856"/>
      <c r="R47" s="1856"/>
      <c r="S47" s="1856"/>
      <c r="T47" s="1856"/>
      <c r="U47" s="1856"/>
      <c r="V47" s="1865" t="s">
        <v>862</v>
      </c>
      <c r="W47" s="1865"/>
      <c r="X47" s="1865"/>
      <c r="Y47" s="1851"/>
      <c r="Z47" s="1851"/>
      <c r="AA47" s="1851"/>
      <c r="AB47" s="1851"/>
      <c r="AC47" s="1851"/>
      <c r="AD47" s="1851"/>
      <c r="AE47" s="1851"/>
      <c r="AF47" s="1851"/>
      <c r="AG47" s="1851"/>
      <c r="AH47" s="1851"/>
      <c r="AI47" s="1851"/>
      <c r="AJ47" s="1851"/>
      <c r="AK47" s="1851"/>
      <c r="AL47" s="1851"/>
      <c r="AM47" s="1851"/>
      <c r="AN47" s="1851"/>
      <c r="AO47" s="1851"/>
      <c r="AP47" s="1851"/>
      <c r="AQ47" s="1851"/>
      <c r="AR47" s="1851"/>
      <c r="AS47" s="1851"/>
      <c r="AT47" s="1851"/>
      <c r="AU47" s="1851"/>
      <c r="AV47" s="1851"/>
      <c r="AW47" s="1851"/>
      <c r="AX47" s="1851"/>
      <c r="AY47" s="1851"/>
      <c r="AZ47" s="1851"/>
      <c r="BA47" s="1851"/>
      <c r="BB47" s="1851"/>
    </row>
    <row r="48" spans="1:54" x14ac:dyDescent="0.25">
      <c r="A48" s="1851" t="s">
        <v>863</v>
      </c>
      <c r="B48" s="1851"/>
      <c r="C48" s="1856" t="s">
        <v>864</v>
      </c>
      <c r="D48" s="1856"/>
      <c r="E48" s="1856"/>
      <c r="F48" s="1856"/>
      <c r="G48" s="1856"/>
      <c r="H48" s="1856"/>
      <c r="I48" s="1856"/>
      <c r="J48" s="1856"/>
      <c r="K48" s="1856"/>
      <c r="L48" s="1856"/>
      <c r="M48" s="1856"/>
      <c r="N48" s="1856"/>
      <c r="O48" s="1856"/>
      <c r="P48" s="1856"/>
      <c r="Q48" s="1856"/>
      <c r="R48" s="1856"/>
      <c r="S48" s="1856"/>
      <c r="T48" s="1856"/>
      <c r="U48" s="1856"/>
      <c r="V48" s="1865" t="s">
        <v>865</v>
      </c>
      <c r="W48" s="1865"/>
      <c r="X48" s="1865"/>
      <c r="Y48" s="1851"/>
      <c r="Z48" s="1851"/>
      <c r="AA48" s="1851"/>
      <c r="AB48" s="1851"/>
      <c r="AC48" s="1851"/>
      <c r="AD48" s="1851"/>
      <c r="AE48" s="1851"/>
      <c r="AF48" s="1851"/>
      <c r="AG48" s="1851"/>
      <c r="AH48" s="1851"/>
      <c r="AI48" s="1851"/>
      <c r="AJ48" s="1851"/>
      <c r="AK48" s="1851"/>
      <c r="AL48" s="1851"/>
      <c r="AM48" s="1851"/>
      <c r="AN48" s="1851"/>
      <c r="AO48" s="1851"/>
      <c r="AP48" s="1851"/>
      <c r="AQ48" s="1851"/>
      <c r="AR48" s="1851"/>
      <c r="AS48" s="1851"/>
      <c r="AT48" s="1851"/>
      <c r="AU48" s="1851"/>
      <c r="AV48" s="1851"/>
      <c r="AW48" s="1851"/>
      <c r="AX48" s="1851"/>
      <c r="AY48" s="1851"/>
      <c r="AZ48" s="1851"/>
      <c r="BA48" s="1851"/>
      <c r="BB48" s="1851"/>
    </row>
    <row r="49" spans="1:54" x14ac:dyDescent="0.25">
      <c r="A49" s="1854">
        <v>45</v>
      </c>
      <c r="B49" s="1854"/>
      <c r="C49" s="1855" t="s">
        <v>866</v>
      </c>
      <c r="D49" s="1855"/>
      <c r="E49" s="1855"/>
      <c r="F49" s="1855"/>
      <c r="G49" s="1855"/>
      <c r="H49" s="1855"/>
      <c r="I49" s="1855"/>
      <c r="J49" s="1855"/>
      <c r="K49" s="1855"/>
      <c r="L49" s="1855"/>
      <c r="M49" s="1855"/>
      <c r="N49" s="1855"/>
      <c r="O49" s="1855"/>
      <c r="P49" s="1855"/>
      <c r="Q49" s="1855"/>
      <c r="R49" s="1855"/>
      <c r="S49" s="1855"/>
      <c r="T49" s="1855"/>
      <c r="U49" s="1855"/>
      <c r="V49" s="1864" t="s">
        <v>867</v>
      </c>
      <c r="W49" s="1864"/>
      <c r="X49" s="1864"/>
      <c r="Y49" s="1857"/>
      <c r="Z49" s="1858"/>
      <c r="AA49" s="1858"/>
      <c r="AB49" s="1858"/>
      <c r="AC49" s="1859"/>
      <c r="AD49" s="1859"/>
      <c r="AE49" s="1857"/>
      <c r="AF49" s="1858"/>
      <c r="AG49" s="1858"/>
      <c r="AH49" s="1858"/>
      <c r="AI49" s="1859"/>
      <c r="AJ49" s="1859"/>
      <c r="AK49" s="1857"/>
      <c r="AL49" s="1858"/>
      <c r="AM49" s="1858"/>
      <c r="AN49" s="1858"/>
      <c r="AO49" s="1859"/>
      <c r="AP49" s="1859"/>
      <c r="AQ49" s="1857"/>
      <c r="AR49" s="1858"/>
      <c r="AS49" s="1858"/>
      <c r="AT49" s="1858"/>
      <c r="AU49" s="1859"/>
      <c r="AV49" s="1859"/>
      <c r="AW49" s="1857"/>
      <c r="AX49" s="1858"/>
      <c r="AY49" s="1858"/>
      <c r="AZ49" s="1858"/>
      <c r="BA49" s="1859"/>
      <c r="BB49" s="1859"/>
    </row>
    <row r="50" spans="1:54" x14ac:dyDescent="0.25">
      <c r="A50" s="1851">
        <v>46</v>
      </c>
      <c r="B50" s="1851"/>
      <c r="C50" s="1856" t="s">
        <v>868</v>
      </c>
      <c r="D50" s="1856"/>
      <c r="E50" s="1856"/>
      <c r="F50" s="1856"/>
      <c r="G50" s="1856"/>
      <c r="H50" s="1856"/>
      <c r="I50" s="1856"/>
      <c r="J50" s="1856"/>
      <c r="K50" s="1856"/>
      <c r="L50" s="1856"/>
      <c r="M50" s="1856"/>
      <c r="N50" s="1856"/>
      <c r="O50" s="1856"/>
      <c r="P50" s="1856"/>
      <c r="Q50" s="1856"/>
      <c r="R50" s="1856"/>
      <c r="S50" s="1856"/>
      <c r="T50" s="1856"/>
      <c r="U50" s="1856"/>
      <c r="V50" s="1865" t="s">
        <v>869</v>
      </c>
      <c r="W50" s="1865"/>
      <c r="X50" s="1865"/>
      <c r="Y50" s="1851"/>
      <c r="Z50" s="1851"/>
      <c r="AA50" s="1851"/>
      <c r="AB50" s="1851"/>
      <c r="AC50" s="1851"/>
      <c r="AD50" s="1851"/>
      <c r="AE50" s="1851"/>
      <c r="AF50" s="1851"/>
      <c r="AG50" s="1851"/>
      <c r="AH50" s="1851"/>
      <c r="AI50" s="1851"/>
      <c r="AJ50" s="1851"/>
      <c r="AK50" s="1851"/>
      <c r="AL50" s="1851"/>
      <c r="AM50" s="1851"/>
      <c r="AN50" s="1851"/>
      <c r="AO50" s="1851"/>
      <c r="AP50" s="1851"/>
      <c r="AQ50" s="1851"/>
      <c r="AR50" s="1851"/>
      <c r="AS50" s="1851"/>
      <c r="AT50" s="1851"/>
      <c r="AU50" s="1851"/>
      <c r="AV50" s="1851"/>
      <c r="AW50" s="1851"/>
      <c r="AX50" s="1851"/>
      <c r="AY50" s="1851"/>
      <c r="AZ50" s="1851"/>
      <c r="BA50" s="1851"/>
      <c r="BB50" s="1851"/>
    </row>
    <row r="51" spans="1:54" x14ac:dyDescent="0.25">
      <c r="A51" s="1851">
        <v>47</v>
      </c>
      <c r="B51" s="1851"/>
      <c r="C51" s="1856" t="s">
        <v>870</v>
      </c>
      <c r="D51" s="1856"/>
      <c r="E51" s="1856"/>
      <c r="F51" s="1856"/>
      <c r="G51" s="1856"/>
      <c r="H51" s="1856"/>
      <c r="I51" s="1856"/>
      <c r="J51" s="1856"/>
      <c r="K51" s="1856"/>
      <c r="L51" s="1856"/>
      <c r="M51" s="1856"/>
      <c r="N51" s="1856"/>
      <c r="O51" s="1856"/>
      <c r="P51" s="1856"/>
      <c r="Q51" s="1856"/>
      <c r="R51" s="1856"/>
      <c r="S51" s="1856"/>
      <c r="T51" s="1856"/>
      <c r="U51" s="1856"/>
      <c r="V51" s="1865" t="s">
        <v>871</v>
      </c>
      <c r="W51" s="1865"/>
      <c r="X51" s="1865"/>
      <c r="Y51" s="1851"/>
      <c r="Z51" s="1851"/>
      <c r="AA51" s="1851"/>
      <c r="AB51" s="1851"/>
      <c r="AC51" s="1851"/>
      <c r="AD51" s="1851"/>
      <c r="AE51" s="1851"/>
      <c r="AF51" s="1851"/>
      <c r="AG51" s="1851"/>
      <c r="AH51" s="1851"/>
      <c r="AI51" s="1851"/>
      <c r="AJ51" s="1851"/>
      <c r="AK51" s="1851"/>
      <c r="AL51" s="1851"/>
      <c r="AM51" s="1851"/>
      <c r="AN51" s="1851"/>
      <c r="AO51" s="1851"/>
      <c r="AP51" s="1851"/>
      <c r="AQ51" s="1851"/>
      <c r="AR51" s="1851"/>
      <c r="AS51" s="1851"/>
      <c r="AT51" s="1851"/>
      <c r="AU51" s="1851"/>
      <c r="AV51" s="1851"/>
      <c r="AW51" s="1851"/>
      <c r="AX51" s="1851"/>
      <c r="AY51" s="1851"/>
      <c r="AZ51" s="1851"/>
      <c r="BA51" s="1851"/>
      <c r="BB51" s="1851"/>
    </row>
    <row r="52" spans="1:54" x14ac:dyDescent="0.25">
      <c r="A52" s="1854">
        <v>48</v>
      </c>
      <c r="B52" s="1854"/>
      <c r="C52" s="1855" t="s">
        <v>872</v>
      </c>
      <c r="D52" s="1855"/>
      <c r="E52" s="1855"/>
      <c r="F52" s="1855"/>
      <c r="G52" s="1855"/>
      <c r="H52" s="1855"/>
      <c r="I52" s="1855"/>
      <c r="J52" s="1855"/>
      <c r="K52" s="1855"/>
      <c r="L52" s="1855"/>
      <c r="M52" s="1855"/>
      <c r="N52" s="1855"/>
      <c r="O52" s="1855"/>
      <c r="P52" s="1855"/>
      <c r="Q52" s="1855"/>
      <c r="R52" s="1855"/>
      <c r="S52" s="1855"/>
      <c r="T52" s="1855"/>
      <c r="U52" s="1855"/>
      <c r="V52" s="1864" t="s">
        <v>873</v>
      </c>
      <c r="W52" s="1864"/>
      <c r="X52" s="1864"/>
      <c r="Y52" s="1857"/>
      <c r="Z52" s="1858"/>
      <c r="AA52" s="1858"/>
      <c r="AB52" s="1858"/>
      <c r="AC52" s="1859"/>
      <c r="AD52" s="1859"/>
      <c r="AE52" s="1857"/>
      <c r="AF52" s="1858"/>
      <c r="AG52" s="1858"/>
      <c r="AH52" s="1858"/>
      <c r="AI52" s="1859"/>
      <c r="AJ52" s="1859"/>
      <c r="AK52" s="1857"/>
      <c r="AL52" s="1858"/>
      <c r="AM52" s="1858"/>
      <c r="AN52" s="1858"/>
      <c r="AO52" s="1859"/>
      <c r="AP52" s="1859"/>
      <c r="AQ52" s="1857"/>
      <c r="AR52" s="1858"/>
      <c r="AS52" s="1858"/>
      <c r="AT52" s="1858"/>
      <c r="AU52" s="1859"/>
      <c r="AV52" s="1859"/>
      <c r="AW52" s="1857"/>
      <c r="AX52" s="1858"/>
      <c r="AY52" s="1858"/>
      <c r="AZ52" s="1858"/>
      <c r="BA52" s="1859"/>
      <c r="BB52" s="1859"/>
    </row>
    <row r="53" spans="1:54" x14ac:dyDescent="0.25">
      <c r="A53" s="1851">
        <v>49</v>
      </c>
      <c r="B53" s="1851"/>
      <c r="C53" s="1856" t="s">
        <v>874</v>
      </c>
      <c r="D53" s="1856"/>
      <c r="E53" s="1856"/>
      <c r="F53" s="1856"/>
      <c r="G53" s="1856"/>
      <c r="H53" s="1856"/>
      <c r="I53" s="1856"/>
      <c r="J53" s="1856"/>
      <c r="K53" s="1856"/>
      <c r="L53" s="1856"/>
      <c r="M53" s="1856"/>
      <c r="N53" s="1856"/>
      <c r="O53" s="1856"/>
      <c r="P53" s="1856"/>
      <c r="Q53" s="1856"/>
      <c r="R53" s="1856"/>
      <c r="S53" s="1856"/>
      <c r="T53" s="1856"/>
      <c r="U53" s="1856"/>
      <c r="V53" s="1865" t="s">
        <v>875</v>
      </c>
      <c r="W53" s="1865"/>
      <c r="X53" s="1865"/>
      <c r="Y53" s="1851"/>
      <c r="Z53" s="1851"/>
      <c r="AA53" s="1851"/>
      <c r="AB53" s="1851"/>
      <c r="AC53" s="1851"/>
      <c r="AD53" s="1851"/>
      <c r="AE53" s="1851"/>
      <c r="AF53" s="1851"/>
      <c r="AG53" s="1851"/>
      <c r="AH53" s="1851"/>
      <c r="AI53" s="1851"/>
      <c r="AJ53" s="1851"/>
      <c r="AK53" s="1851"/>
      <c r="AL53" s="1851"/>
      <c r="AM53" s="1851"/>
      <c r="AN53" s="1851"/>
      <c r="AO53" s="1851"/>
      <c r="AP53" s="1851"/>
      <c r="AQ53" s="1851"/>
      <c r="AR53" s="1851"/>
      <c r="AS53" s="1851"/>
      <c r="AT53" s="1851"/>
      <c r="AU53" s="1851"/>
      <c r="AV53" s="1851"/>
      <c r="AW53" s="1851"/>
      <c r="AX53" s="1851"/>
      <c r="AY53" s="1851"/>
      <c r="AZ53" s="1851"/>
      <c r="BA53" s="1851"/>
      <c r="BB53" s="1851"/>
    </row>
    <row r="54" spans="1:54" x14ac:dyDescent="0.25">
      <c r="A54" s="1851">
        <v>50</v>
      </c>
      <c r="B54" s="1851"/>
      <c r="C54" s="1856" t="s">
        <v>876</v>
      </c>
      <c r="D54" s="1856"/>
      <c r="E54" s="1856"/>
      <c r="F54" s="1856"/>
      <c r="G54" s="1856"/>
      <c r="H54" s="1856"/>
      <c r="I54" s="1856"/>
      <c r="J54" s="1856"/>
      <c r="K54" s="1856"/>
      <c r="L54" s="1856"/>
      <c r="M54" s="1856"/>
      <c r="N54" s="1856"/>
      <c r="O54" s="1856"/>
      <c r="P54" s="1856"/>
      <c r="Q54" s="1856"/>
      <c r="R54" s="1856"/>
      <c r="S54" s="1856"/>
      <c r="T54" s="1856"/>
      <c r="U54" s="1856"/>
      <c r="V54" s="1865" t="s">
        <v>877</v>
      </c>
      <c r="W54" s="1865"/>
      <c r="X54" s="1865"/>
      <c r="Y54" s="1851"/>
      <c r="Z54" s="1851"/>
      <c r="AA54" s="1851"/>
      <c r="AB54" s="1851"/>
      <c r="AC54" s="1851"/>
      <c r="AD54" s="1851"/>
      <c r="AE54" s="1851"/>
      <c r="AF54" s="1851"/>
      <c r="AG54" s="1851"/>
      <c r="AH54" s="1851"/>
      <c r="AI54" s="1851"/>
      <c r="AJ54" s="1851"/>
      <c r="AK54" s="1851"/>
      <c r="AL54" s="1851"/>
      <c r="AM54" s="1851"/>
      <c r="AN54" s="1851"/>
      <c r="AO54" s="1851"/>
      <c r="AP54" s="1851"/>
      <c r="AQ54" s="1851"/>
      <c r="AR54" s="1851"/>
      <c r="AS54" s="1851"/>
      <c r="AT54" s="1851"/>
      <c r="AU54" s="1851"/>
      <c r="AV54" s="1851"/>
      <c r="AW54" s="1851"/>
      <c r="AX54" s="1851"/>
      <c r="AY54" s="1851"/>
      <c r="AZ54" s="1851"/>
      <c r="BA54" s="1851"/>
      <c r="BB54" s="1851"/>
    </row>
    <row r="55" spans="1:54" x14ac:dyDescent="0.25">
      <c r="A55" s="1851">
        <v>51</v>
      </c>
      <c r="B55" s="1851"/>
      <c r="C55" s="1856" t="s">
        <v>878</v>
      </c>
      <c r="D55" s="1856"/>
      <c r="E55" s="1856"/>
      <c r="F55" s="1856"/>
      <c r="G55" s="1856"/>
      <c r="H55" s="1856"/>
      <c r="I55" s="1856"/>
      <c r="J55" s="1856"/>
      <c r="K55" s="1856"/>
      <c r="L55" s="1856"/>
      <c r="M55" s="1856"/>
      <c r="N55" s="1856"/>
      <c r="O55" s="1856"/>
      <c r="P55" s="1856"/>
      <c r="Q55" s="1856"/>
      <c r="R55" s="1856"/>
      <c r="S55" s="1856"/>
      <c r="T55" s="1856"/>
      <c r="U55" s="1856"/>
      <c r="V55" s="1865" t="s">
        <v>879</v>
      </c>
      <c r="W55" s="1865"/>
      <c r="X55" s="1865"/>
      <c r="Y55" s="1851"/>
      <c r="Z55" s="1851"/>
      <c r="AA55" s="1851"/>
      <c r="AB55" s="1851"/>
      <c r="AC55" s="1851"/>
      <c r="AD55" s="1851"/>
      <c r="AE55" s="1851"/>
      <c r="AF55" s="1851"/>
      <c r="AG55" s="1851"/>
      <c r="AH55" s="1851"/>
      <c r="AI55" s="1851"/>
      <c r="AJ55" s="1851"/>
      <c r="AK55" s="1851"/>
      <c r="AL55" s="1851"/>
      <c r="AM55" s="1851"/>
      <c r="AN55" s="1851"/>
      <c r="AO55" s="1851"/>
      <c r="AP55" s="1851"/>
      <c r="AQ55" s="1851"/>
      <c r="AR55" s="1851"/>
      <c r="AS55" s="1851"/>
      <c r="AT55" s="1851"/>
      <c r="AU55" s="1851"/>
      <c r="AV55" s="1851"/>
      <c r="AW55" s="1851"/>
      <c r="AX55" s="1851"/>
      <c r="AY55" s="1851"/>
      <c r="AZ55" s="1851"/>
      <c r="BA55" s="1851"/>
      <c r="BB55" s="1851"/>
    </row>
    <row r="56" spans="1:54" x14ac:dyDescent="0.25">
      <c r="A56" s="1851">
        <v>52</v>
      </c>
      <c r="B56" s="1851"/>
      <c r="C56" s="1872" t="s">
        <v>859</v>
      </c>
      <c r="D56" s="1872"/>
      <c r="E56" s="1872"/>
      <c r="F56" s="1872"/>
      <c r="G56" s="1872"/>
      <c r="H56" s="1872"/>
      <c r="I56" s="1872"/>
      <c r="J56" s="1872"/>
      <c r="K56" s="1872"/>
      <c r="L56" s="1872"/>
      <c r="M56" s="1872"/>
      <c r="N56" s="1872"/>
      <c r="O56" s="1872"/>
      <c r="P56" s="1872"/>
      <c r="Q56" s="1872"/>
      <c r="R56" s="1872"/>
      <c r="S56" s="1872"/>
      <c r="T56" s="1872"/>
      <c r="U56" s="1872"/>
      <c r="V56" s="1865" t="s">
        <v>879</v>
      </c>
      <c r="W56" s="1865"/>
      <c r="X56" s="1865"/>
      <c r="Y56" s="1851"/>
      <c r="Z56" s="1851"/>
      <c r="AA56" s="1851"/>
      <c r="AB56" s="1851"/>
      <c r="AC56" s="1851"/>
      <c r="AD56" s="1851"/>
      <c r="AE56" s="1851"/>
      <c r="AF56" s="1851"/>
      <c r="AG56" s="1851"/>
      <c r="AH56" s="1851"/>
      <c r="AI56" s="1851"/>
      <c r="AJ56" s="1851"/>
      <c r="AK56" s="1851"/>
      <c r="AL56" s="1851"/>
      <c r="AM56" s="1851"/>
      <c r="AN56" s="1851"/>
      <c r="AO56" s="1851"/>
      <c r="AP56" s="1851"/>
      <c r="AQ56" s="1851"/>
      <c r="AR56" s="1851"/>
      <c r="AS56" s="1851"/>
      <c r="AT56" s="1851"/>
      <c r="AU56" s="1851"/>
      <c r="AV56" s="1851"/>
      <c r="AW56" s="1851"/>
      <c r="AX56" s="1851"/>
      <c r="AY56" s="1851"/>
      <c r="AZ56" s="1851"/>
      <c r="BA56" s="1851"/>
      <c r="BB56" s="1851"/>
    </row>
    <row r="57" spans="1:54" x14ac:dyDescent="0.25">
      <c r="A57" s="1851">
        <v>53</v>
      </c>
      <c r="B57" s="1851"/>
      <c r="C57" s="1872" t="s">
        <v>880</v>
      </c>
      <c r="D57" s="1872"/>
      <c r="E57" s="1872"/>
      <c r="F57" s="1872"/>
      <c r="G57" s="1872"/>
      <c r="H57" s="1872"/>
      <c r="I57" s="1872"/>
      <c r="J57" s="1872"/>
      <c r="K57" s="1872"/>
      <c r="L57" s="1872"/>
      <c r="M57" s="1872"/>
      <c r="N57" s="1872"/>
      <c r="O57" s="1872"/>
      <c r="P57" s="1872"/>
      <c r="Q57" s="1872"/>
      <c r="R57" s="1872"/>
      <c r="S57" s="1872"/>
      <c r="T57" s="1872"/>
      <c r="U57" s="1872"/>
      <c r="V57" s="1865" t="s">
        <v>879</v>
      </c>
      <c r="W57" s="1865"/>
      <c r="X57" s="1865"/>
      <c r="Y57" s="1851"/>
      <c r="Z57" s="1851"/>
      <c r="AA57" s="1851"/>
      <c r="AB57" s="1851"/>
      <c r="AC57" s="1851"/>
      <c r="AD57" s="1851"/>
      <c r="AE57" s="1851"/>
      <c r="AF57" s="1851"/>
      <c r="AG57" s="1851"/>
      <c r="AH57" s="1851"/>
      <c r="AI57" s="1851"/>
      <c r="AJ57" s="1851"/>
      <c r="AK57" s="1851"/>
      <c r="AL57" s="1851"/>
      <c r="AM57" s="1851"/>
      <c r="AN57" s="1851"/>
      <c r="AO57" s="1851"/>
      <c r="AP57" s="1851"/>
      <c r="AQ57" s="1851"/>
      <c r="AR57" s="1851"/>
      <c r="AS57" s="1851"/>
      <c r="AT57" s="1851"/>
      <c r="AU57" s="1851"/>
      <c r="AV57" s="1851"/>
      <c r="AW57" s="1851"/>
      <c r="AX57" s="1851"/>
      <c r="AY57" s="1851"/>
      <c r="AZ57" s="1851"/>
      <c r="BA57" s="1851"/>
      <c r="BB57" s="1851"/>
    </row>
    <row r="58" spans="1:54" x14ac:dyDescent="0.25">
      <c r="A58" s="1851">
        <v>54</v>
      </c>
      <c r="B58" s="1851"/>
      <c r="C58" s="1856" t="s">
        <v>881</v>
      </c>
      <c r="D58" s="1856"/>
      <c r="E58" s="1856"/>
      <c r="F58" s="1856"/>
      <c r="G58" s="1856"/>
      <c r="H58" s="1856"/>
      <c r="I58" s="1856"/>
      <c r="J58" s="1856"/>
      <c r="K58" s="1856"/>
      <c r="L58" s="1856"/>
      <c r="M58" s="1856"/>
      <c r="N58" s="1856"/>
      <c r="O58" s="1856"/>
      <c r="P58" s="1856"/>
      <c r="Q58" s="1856"/>
      <c r="R58" s="1856"/>
      <c r="S58" s="1856"/>
      <c r="T58" s="1856"/>
      <c r="U58" s="1856"/>
      <c r="V58" s="1865" t="s">
        <v>882</v>
      </c>
      <c r="W58" s="1865"/>
      <c r="X58" s="1865"/>
      <c r="Y58" s="1851"/>
      <c r="Z58" s="1851"/>
      <c r="AA58" s="1851"/>
      <c r="AB58" s="1851"/>
      <c r="AC58" s="1851"/>
      <c r="AD58" s="1851"/>
      <c r="AE58" s="1851"/>
      <c r="AF58" s="1851"/>
      <c r="AG58" s="1851"/>
      <c r="AH58" s="1851"/>
      <c r="AI58" s="1851"/>
      <c r="AJ58" s="1851"/>
      <c r="AK58" s="1851"/>
      <c r="AL58" s="1851"/>
      <c r="AM58" s="1851"/>
      <c r="AN58" s="1851"/>
      <c r="AO58" s="1851"/>
      <c r="AP58" s="1851"/>
      <c r="AQ58" s="1851"/>
      <c r="AR58" s="1851"/>
      <c r="AS58" s="1851"/>
      <c r="AT58" s="1851"/>
      <c r="AU58" s="1851"/>
      <c r="AV58" s="1851"/>
      <c r="AW58" s="1851"/>
      <c r="AX58" s="1851"/>
      <c r="AY58" s="1851"/>
      <c r="AZ58" s="1851"/>
      <c r="BA58" s="1851"/>
      <c r="BB58" s="1851"/>
    </row>
    <row r="59" spans="1:54" x14ac:dyDescent="0.25">
      <c r="A59" s="1851">
        <v>55</v>
      </c>
      <c r="B59" s="1851"/>
      <c r="C59" s="1872" t="s">
        <v>883</v>
      </c>
      <c r="D59" s="1872"/>
      <c r="E59" s="1872"/>
      <c r="F59" s="1872"/>
      <c r="G59" s="1872"/>
      <c r="H59" s="1872"/>
      <c r="I59" s="1872"/>
      <c r="J59" s="1872"/>
      <c r="K59" s="1872"/>
      <c r="L59" s="1872"/>
      <c r="M59" s="1872"/>
      <c r="N59" s="1872"/>
      <c r="O59" s="1872"/>
      <c r="P59" s="1872"/>
      <c r="Q59" s="1872"/>
      <c r="R59" s="1872"/>
      <c r="S59" s="1872"/>
      <c r="T59" s="1872"/>
      <c r="U59" s="1872"/>
      <c r="V59" s="1865" t="s">
        <v>882</v>
      </c>
      <c r="W59" s="1865"/>
      <c r="X59" s="1865"/>
      <c r="Y59" s="1851"/>
      <c r="Z59" s="1851"/>
      <c r="AA59" s="1851"/>
      <c r="AB59" s="1851"/>
      <c r="AC59" s="1851"/>
      <c r="AD59" s="1851"/>
      <c r="AE59" s="1851"/>
      <c r="AF59" s="1851"/>
      <c r="AG59" s="1851"/>
      <c r="AH59" s="1851"/>
      <c r="AI59" s="1851"/>
      <c r="AJ59" s="1851"/>
      <c r="AK59" s="1851"/>
      <c r="AL59" s="1851"/>
      <c r="AM59" s="1851"/>
      <c r="AN59" s="1851"/>
      <c r="AO59" s="1851"/>
      <c r="AP59" s="1851"/>
      <c r="AQ59" s="1851"/>
      <c r="AR59" s="1851"/>
      <c r="AS59" s="1851"/>
      <c r="AT59" s="1851"/>
      <c r="AU59" s="1851"/>
      <c r="AV59" s="1851"/>
      <c r="AW59" s="1851"/>
      <c r="AX59" s="1851"/>
      <c r="AY59" s="1851"/>
      <c r="AZ59" s="1851"/>
      <c r="BA59" s="1851"/>
      <c r="BB59" s="1851"/>
    </row>
    <row r="60" spans="1:54" x14ac:dyDescent="0.25">
      <c r="A60" s="1851">
        <v>56</v>
      </c>
      <c r="B60" s="1851"/>
      <c r="C60" s="1872" t="s">
        <v>884</v>
      </c>
      <c r="D60" s="1872"/>
      <c r="E60" s="1872"/>
      <c r="F60" s="1872"/>
      <c r="G60" s="1872"/>
      <c r="H60" s="1872"/>
      <c r="I60" s="1872"/>
      <c r="J60" s="1872"/>
      <c r="K60" s="1872"/>
      <c r="L60" s="1872"/>
      <c r="M60" s="1872"/>
      <c r="N60" s="1872"/>
      <c r="O60" s="1872"/>
      <c r="P60" s="1872"/>
      <c r="Q60" s="1872"/>
      <c r="R60" s="1872"/>
      <c r="S60" s="1872"/>
      <c r="T60" s="1872"/>
      <c r="U60" s="1872"/>
      <c r="V60" s="1865" t="s">
        <v>882</v>
      </c>
      <c r="W60" s="1865"/>
      <c r="X60" s="1865"/>
      <c r="Y60" s="1851"/>
      <c r="Z60" s="1851"/>
      <c r="AA60" s="1851"/>
      <c r="AB60" s="1851"/>
      <c r="AC60" s="1851"/>
      <c r="AD60" s="1851"/>
      <c r="AE60" s="1851"/>
      <c r="AF60" s="1851"/>
      <c r="AG60" s="1851"/>
      <c r="AH60" s="1851"/>
      <c r="AI60" s="1851"/>
      <c r="AJ60" s="1851"/>
      <c r="AK60" s="1851"/>
      <c r="AL60" s="1851"/>
      <c r="AM60" s="1851"/>
      <c r="AN60" s="1851"/>
      <c r="AO60" s="1851"/>
      <c r="AP60" s="1851"/>
      <c r="AQ60" s="1851"/>
      <c r="AR60" s="1851"/>
      <c r="AS60" s="1851"/>
      <c r="AT60" s="1851"/>
      <c r="AU60" s="1851"/>
      <c r="AV60" s="1851"/>
      <c r="AW60" s="1851"/>
      <c r="AX60" s="1851"/>
      <c r="AY60" s="1851"/>
      <c r="AZ60" s="1851"/>
      <c r="BA60" s="1851"/>
      <c r="BB60" s="1851"/>
    </row>
    <row r="61" spans="1:54" x14ac:dyDescent="0.25">
      <c r="A61" s="1851">
        <v>57</v>
      </c>
      <c r="B61" s="1851"/>
      <c r="C61" s="1872" t="s">
        <v>885</v>
      </c>
      <c r="D61" s="1872"/>
      <c r="E61" s="1872"/>
      <c r="F61" s="1872"/>
      <c r="G61" s="1872"/>
      <c r="H61" s="1872"/>
      <c r="I61" s="1872"/>
      <c r="J61" s="1872"/>
      <c r="K61" s="1872"/>
      <c r="L61" s="1872"/>
      <c r="M61" s="1872"/>
      <c r="N61" s="1872"/>
      <c r="O61" s="1872"/>
      <c r="P61" s="1872"/>
      <c r="Q61" s="1872"/>
      <c r="R61" s="1872"/>
      <c r="S61" s="1872"/>
      <c r="T61" s="1872"/>
      <c r="U61" s="1872"/>
      <c r="V61" s="1865" t="s">
        <v>882</v>
      </c>
      <c r="W61" s="1865"/>
      <c r="X61" s="1865"/>
      <c r="Y61" s="1851"/>
      <c r="Z61" s="1851"/>
      <c r="AA61" s="1851"/>
      <c r="AB61" s="1851"/>
      <c r="AC61" s="1851"/>
      <c r="AD61" s="1851"/>
      <c r="AE61" s="1851"/>
      <c r="AF61" s="1851"/>
      <c r="AG61" s="1851"/>
      <c r="AH61" s="1851"/>
      <c r="AI61" s="1851"/>
      <c r="AJ61" s="1851"/>
      <c r="AK61" s="1851"/>
      <c r="AL61" s="1851"/>
      <c r="AM61" s="1851"/>
      <c r="AN61" s="1851"/>
      <c r="AO61" s="1851"/>
      <c r="AP61" s="1851"/>
      <c r="AQ61" s="1851"/>
      <c r="AR61" s="1851"/>
      <c r="AS61" s="1851"/>
      <c r="AT61" s="1851"/>
      <c r="AU61" s="1851"/>
      <c r="AV61" s="1851"/>
      <c r="AW61" s="1851"/>
      <c r="AX61" s="1851"/>
      <c r="AY61" s="1851"/>
      <c r="AZ61" s="1851"/>
      <c r="BA61" s="1851"/>
      <c r="BB61" s="1851"/>
    </row>
    <row r="62" spans="1:54" x14ac:dyDescent="0.25">
      <c r="A62" s="1851">
        <v>58</v>
      </c>
      <c r="B62" s="1851"/>
      <c r="C62" s="1856" t="s">
        <v>886</v>
      </c>
      <c r="D62" s="1856"/>
      <c r="E62" s="1856"/>
      <c r="F62" s="1856"/>
      <c r="G62" s="1856"/>
      <c r="H62" s="1856"/>
      <c r="I62" s="1856"/>
      <c r="J62" s="1856"/>
      <c r="K62" s="1856"/>
      <c r="L62" s="1856"/>
      <c r="M62" s="1856"/>
      <c r="N62" s="1856"/>
      <c r="O62" s="1856"/>
      <c r="P62" s="1856"/>
      <c r="Q62" s="1856"/>
      <c r="R62" s="1856"/>
      <c r="S62" s="1856"/>
      <c r="T62" s="1856"/>
      <c r="U62" s="1856"/>
      <c r="V62" s="1865" t="s">
        <v>887</v>
      </c>
      <c r="W62" s="1865"/>
      <c r="X62" s="1865"/>
      <c r="Y62" s="1851"/>
      <c r="Z62" s="1851"/>
      <c r="AA62" s="1851"/>
      <c r="AB62" s="1851"/>
      <c r="AC62" s="1851"/>
      <c r="AD62" s="1851"/>
      <c r="AE62" s="1851"/>
      <c r="AF62" s="1851"/>
      <c r="AG62" s="1851"/>
      <c r="AH62" s="1851"/>
      <c r="AI62" s="1851"/>
      <c r="AJ62" s="1851"/>
      <c r="AK62" s="1851"/>
      <c r="AL62" s="1851"/>
      <c r="AM62" s="1851"/>
      <c r="AN62" s="1851"/>
      <c r="AO62" s="1851"/>
      <c r="AP62" s="1851"/>
      <c r="AQ62" s="1851"/>
      <c r="AR62" s="1851"/>
      <c r="AS62" s="1851"/>
      <c r="AT62" s="1851"/>
      <c r="AU62" s="1851"/>
      <c r="AV62" s="1851"/>
      <c r="AW62" s="1851"/>
      <c r="AX62" s="1851"/>
      <c r="AY62" s="1851"/>
      <c r="AZ62" s="1851"/>
      <c r="BA62" s="1851"/>
      <c r="BB62" s="1851"/>
    </row>
    <row r="63" spans="1:54" x14ac:dyDescent="0.25">
      <c r="A63" s="1854">
        <v>59</v>
      </c>
      <c r="B63" s="1854"/>
      <c r="C63" s="1855" t="s">
        <v>888</v>
      </c>
      <c r="D63" s="1855"/>
      <c r="E63" s="1855"/>
      <c r="F63" s="1855"/>
      <c r="G63" s="1855"/>
      <c r="H63" s="1855"/>
      <c r="I63" s="1855"/>
      <c r="J63" s="1855"/>
      <c r="K63" s="1855"/>
      <c r="L63" s="1855"/>
      <c r="M63" s="1855"/>
      <c r="N63" s="1855"/>
      <c r="O63" s="1855"/>
      <c r="P63" s="1855"/>
      <c r="Q63" s="1855"/>
      <c r="R63" s="1855"/>
      <c r="S63" s="1855"/>
      <c r="T63" s="1855"/>
      <c r="U63" s="1855"/>
      <c r="V63" s="1864" t="s">
        <v>889</v>
      </c>
      <c r="W63" s="1864"/>
      <c r="X63" s="1864"/>
      <c r="Y63" s="1857"/>
      <c r="Z63" s="1858"/>
      <c r="AA63" s="1858"/>
      <c r="AB63" s="1858"/>
      <c r="AC63" s="1859"/>
      <c r="AD63" s="1859"/>
      <c r="AE63" s="1857"/>
      <c r="AF63" s="1858"/>
      <c r="AG63" s="1858"/>
      <c r="AH63" s="1858"/>
      <c r="AI63" s="1859"/>
      <c r="AJ63" s="1859"/>
      <c r="AK63" s="1857"/>
      <c r="AL63" s="1858"/>
      <c r="AM63" s="1858"/>
      <c r="AN63" s="1858"/>
      <c r="AO63" s="1859"/>
      <c r="AP63" s="1859"/>
      <c r="AQ63" s="1857"/>
      <c r="AR63" s="1858"/>
      <c r="AS63" s="1858"/>
      <c r="AT63" s="1858"/>
      <c r="AU63" s="1859"/>
      <c r="AV63" s="1859"/>
      <c r="AW63" s="1857"/>
      <c r="AX63" s="1858"/>
      <c r="AY63" s="1858"/>
      <c r="AZ63" s="1858"/>
      <c r="BA63" s="1859"/>
      <c r="BB63" s="1859"/>
    </row>
    <row r="64" spans="1:54" x14ac:dyDescent="0.25">
      <c r="A64" s="1854">
        <v>60</v>
      </c>
      <c r="B64" s="1854"/>
      <c r="C64" s="1855" t="s">
        <v>890</v>
      </c>
      <c r="D64" s="1855"/>
      <c r="E64" s="1855"/>
      <c r="F64" s="1855"/>
      <c r="G64" s="1855"/>
      <c r="H64" s="1855"/>
      <c r="I64" s="1855"/>
      <c r="J64" s="1855"/>
      <c r="K64" s="1855"/>
      <c r="L64" s="1855"/>
      <c r="M64" s="1855"/>
      <c r="N64" s="1855"/>
      <c r="O64" s="1855"/>
      <c r="P64" s="1855"/>
      <c r="Q64" s="1855"/>
      <c r="R64" s="1855"/>
      <c r="S64" s="1855"/>
      <c r="T64" s="1855"/>
      <c r="U64" s="1855"/>
      <c r="V64" s="1864" t="s">
        <v>891</v>
      </c>
      <c r="W64" s="1864"/>
      <c r="X64" s="1864"/>
      <c r="Y64" s="1857"/>
      <c r="Z64" s="1858"/>
      <c r="AA64" s="1858"/>
      <c r="AB64" s="1858"/>
      <c r="AC64" s="1859"/>
      <c r="AD64" s="1859"/>
      <c r="AE64" s="1857"/>
      <c r="AF64" s="1858"/>
      <c r="AG64" s="1858"/>
      <c r="AH64" s="1858"/>
      <c r="AI64" s="1859"/>
      <c r="AJ64" s="1859"/>
      <c r="AK64" s="1857"/>
      <c r="AL64" s="1858"/>
      <c r="AM64" s="1858"/>
      <c r="AN64" s="1858"/>
      <c r="AO64" s="1859"/>
      <c r="AP64" s="1859"/>
      <c r="AQ64" s="1857"/>
      <c r="AR64" s="1858"/>
      <c r="AS64" s="1858"/>
      <c r="AT64" s="1858"/>
      <c r="AU64" s="1859"/>
      <c r="AV64" s="1859"/>
      <c r="AW64" s="1857"/>
      <c r="AX64" s="1858"/>
      <c r="AY64" s="1858"/>
      <c r="AZ64" s="1858"/>
      <c r="BA64" s="1859"/>
      <c r="BB64" s="1859"/>
    </row>
    <row r="65" spans="1:54" x14ac:dyDescent="0.25">
      <c r="A65" s="1851">
        <v>61</v>
      </c>
      <c r="B65" s="1851"/>
      <c r="C65" s="1867" t="s">
        <v>892</v>
      </c>
      <c r="D65" s="1867"/>
      <c r="E65" s="1867"/>
      <c r="F65" s="1867"/>
      <c r="G65" s="1867"/>
      <c r="H65" s="1867"/>
      <c r="I65" s="1867"/>
      <c r="J65" s="1867"/>
      <c r="K65" s="1867"/>
      <c r="L65" s="1867"/>
      <c r="M65" s="1867"/>
      <c r="N65" s="1867"/>
      <c r="O65" s="1867"/>
      <c r="P65" s="1867"/>
      <c r="Q65" s="1867"/>
      <c r="R65" s="1867"/>
      <c r="S65" s="1867"/>
      <c r="T65" s="1867"/>
      <c r="U65" s="1867"/>
      <c r="V65" s="1865" t="s">
        <v>893</v>
      </c>
      <c r="W65" s="1865"/>
      <c r="X65" s="1865"/>
      <c r="Y65" s="1851"/>
      <c r="Z65" s="1851"/>
      <c r="AA65" s="1851"/>
      <c r="AB65" s="1851"/>
      <c r="AC65" s="1851"/>
      <c r="AD65" s="1851"/>
      <c r="AE65" s="1851"/>
      <c r="AF65" s="1851"/>
      <c r="AG65" s="1851"/>
      <c r="AH65" s="1851"/>
      <c r="AI65" s="1851"/>
      <c r="AJ65" s="1851"/>
      <c r="AK65" s="1851"/>
      <c r="AL65" s="1851"/>
      <c r="AM65" s="1851"/>
      <c r="AN65" s="1851"/>
      <c r="AO65" s="1851"/>
      <c r="AP65" s="1851"/>
      <c r="AQ65" s="1851"/>
      <c r="AR65" s="1851"/>
      <c r="AS65" s="1851"/>
      <c r="AT65" s="1851"/>
      <c r="AU65" s="1851"/>
      <c r="AV65" s="1851"/>
      <c r="AW65" s="1851"/>
      <c r="AX65" s="1851"/>
      <c r="AY65" s="1851"/>
      <c r="AZ65" s="1851"/>
      <c r="BA65" s="1851"/>
      <c r="BB65" s="1851"/>
    </row>
    <row r="66" spans="1:54" x14ac:dyDescent="0.25">
      <c r="A66" s="1851">
        <v>62</v>
      </c>
      <c r="B66" s="1851"/>
      <c r="C66" s="1867" t="s">
        <v>894</v>
      </c>
      <c r="D66" s="1867"/>
      <c r="E66" s="1867"/>
      <c r="F66" s="1867"/>
      <c r="G66" s="1867"/>
      <c r="H66" s="1867"/>
      <c r="I66" s="1867"/>
      <c r="J66" s="1867"/>
      <c r="K66" s="1867"/>
      <c r="L66" s="1867"/>
      <c r="M66" s="1867"/>
      <c r="N66" s="1867"/>
      <c r="O66" s="1867"/>
      <c r="P66" s="1867"/>
      <c r="Q66" s="1867"/>
      <c r="R66" s="1867"/>
      <c r="S66" s="1867"/>
      <c r="T66" s="1867"/>
      <c r="U66" s="1867"/>
      <c r="V66" s="1870" t="s">
        <v>895</v>
      </c>
      <c r="W66" s="1870"/>
      <c r="X66" s="1870"/>
      <c r="Y66" s="1857"/>
      <c r="Z66" s="1858"/>
      <c r="AA66" s="1858"/>
      <c r="AB66" s="1858"/>
      <c r="AC66" s="1859"/>
      <c r="AD66" s="1859"/>
      <c r="AE66" s="1857"/>
      <c r="AF66" s="1858"/>
      <c r="AG66" s="1858"/>
      <c r="AH66" s="1858"/>
      <c r="AI66" s="1859"/>
      <c r="AJ66" s="1859"/>
      <c r="AK66" s="1857"/>
      <c r="AL66" s="1858"/>
      <c r="AM66" s="1858"/>
      <c r="AN66" s="1858"/>
      <c r="AO66" s="1859"/>
      <c r="AP66" s="1859"/>
      <c r="AQ66" s="1857"/>
      <c r="AR66" s="1858"/>
      <c r="AS66" s="1858"/>
      <c r="AT66" s="1858"/>
      <c r="AU66" s="1859"/>
      <c r="AV66" s="1859"/>
      <c r="AW66" s="1857"/>
      <c r="AX66" s="1858"/>
      <c r="AY66" s="1858"/>
      <c r="AZ66" s="1858"/>
      <c r="BA66" s="1859"/>
      <c r="BB66" s="1859"/>
    </row>
    <row r="67" spans="1:54" x14ac:dyDescent="0.25">
      <c r="A67" s="1851">
        <v>63</v>
      </c>
      <c r="B67" s="1851"/>
      <c r="C67" s="1867" t="s">
        <v>896</v>
      </c>
      <c r="D67" s="1867"/>
      <c r="E67" s="1867"/>
      <c r="F67" s="1867"/>
      <c r="G67" s="1867"/>
      <c r="H67" s="1867"/>
      <c r="I67" s="1867"/>
      <c r="J67" s="1867"/>
      <c r="K67" s="1867"/>
      <c r="L67" s="1867"/>
      <c r="M67" s="1867"/>
      <c r="N67" s="1867"/>
      <c r="O67" s="1867"/>
      <c r="P67" s="1867"/>
      <c r="Q67" s="1867"/>
      <c r="R67" s="1867"/>
      <c r="S67" s="1867"/>
      <c r="T67" s="1867"/>
      <c r="U67" s="1867"/>
      <c r="V67" s="1865" t="s">
        <v>895</v>
      </c>
      <c r="W67" s="1865"/>
      <c r="X67" s="1865"/>
      <c r="Y67" s="1851"/>
      <c r="Z67" s="1851"/>
      <c r="AA67" s="1851"/>
      <c r="AB67" s="1851"/>
      <c r="AC67" s="1851"/>
      <c r="AD67" s="1851"/>
      <c r="AE67" s="1851"/>
      <c r="AF67" s="1851"/>
      <c r="AG67" s="1851"/>
      <c r="AH67" s="1851"/>
      <c r="AI67" s="1851"/>
      <c r="AJ67" s="1851"/>
      <c r="AK67" s="1851"/>
      <c r="AL67" s="1851"/>
      <c r="AM67" s="1851"/>
      <c r="AN67" s="1851"/>
      <c r="AO67" s="1851"/>
      <c r="AP67" s="1851"/>
      <c r="AQ67" s="1851"/>
      <c r="AR67" s="1851"/>
      <c r="AS67" s="1851"/>
      <c r="AT67" s="1851"/>
      <c r="AU67" s="1851"/>
      <c r="AV67" s="1851"/>
      <c r="AW67" s="1851"/>
      <c r="AX67" s="1851"/>
      <c r="AY67" s="1851"/>
      <c r="AZ67" s="1851"/>
      <c r="BA67" s="1851"/>
      <c r="BB67" s="1851"/>
    </row>
    <row r="68" spans="1:54" x14ac:dyDescent="0.25">
      <c r="A68" s="1851">
        <v>64</v>
      </c>
      <c r="B68" s="1851"/>
      <c r="C68" s="1867" t="s">
        <v>897</v>
      </c>
      <c r="D68" s="1867"/>
      <c r="E68" s="1867"/>
      <c r="F68" s="1867"/>
      <c r="G68" s="1867"/>
      <c r="H68" s="1867"/>
      <c r="I68" s="1867"/>
      <c r="J68" s="1867"/>
      <c r="K68" s="1867"/>
      <c r="L68" s="1867"/>
      <c r="M68" s="1867"/>
      <c r="N68" s="1867"/>
      <c r="O68" s="1867"/>
      <c r="P68" s="1867"/>
      <c r="Q68" s="1867"/>
      <c r="R68" s="1867"/>
      <c r="S68" s="1867"/>
      <c r="T68" s="1867"/>
      <c r="U68" s="1867"/>
      <c r="V68" s="1865" t="s">
        <v>895</v>
      </c>
      <c r="W68" s="1865"/>
      <c r="X68" s="1865"/>
      <c r="Y68" s="1851"/>
      <c r="Z68" s="1851"/>
      <c r="AA68" s="1851"/>
      <c r="AB68" s="1851"/>
      <c r="AC68" s="1851"/>
      <c r="AD68" s="1851"/>
      <c r="AE68" s="1851"/>
      <c r="AF68" s="1851"/>
      <c r="AG68" s="1851"/>
      <c r="AH68" s="1851"/>
      <c r="AI68" s="1851"/>
      <c r="AJ68" s="1851"/>
      <c r="AK68" s="1851"/>
      <c r="AL68" s="1851"/>
      <c r="AM68" s="1851"/>
      <c r="AN68" s="1851"/>
      <c r="AO68" s="1851"/>
      <c r="AP68" s="1851"/>
      <c r="AQ68" s="1851"/>
      <c r="AR68" s="1851"/>
      <c r="AS68" s="1851"/>
      <c r="AT68" s="1851"/>
      <c r="AU68" s="1851"/>
      <c r="AV68" s="1851"/>
      <c r="AW68" s="1851"/>
      <c r="AX68" s="1851"/>
      <c r="AY68" s="1851"/>
      <c r="AZ68" s="1851"/>
      <c r="BA68" s="1851"/>
      <c r="BB68" s="1851"/>
    </row>
    <row r="69" spans="1:54" x14ac:dyDescent="0.25">
      <c r="A69" s="1851">
        <v>65</v>
      </c>
      <c r="B69" s="1851"/>
      <c r="C69" s="1867" t="s">
        <v>898</v>
      </c>
      <c r="D69" s="1867"/>
      <c r="E69" s="1867"/>
      <c r="F69" s="1867"/>
      <c r="G69" s="1867"/>
      <c r="H69" s="1867"/>
      <c r="I69" s="1867"/>
      <c r="J69" s="1867"/>
      <c r="K69" s="1867"/>
      <c r="L69" s="1867"/>
      <c r="M69" s="1867"/>
      <c r="N69" s="1867"/>
      <c r="O69" s="1867"/>
      <c r="P69" s="1867"/>
      <c r="Q69" s="1867"/>
      <c r="R69" s="1867"/>
      <c r="S69" s="1867"/>
      <c r="T69" s="1867"/>
      <c r="U69" s="1867"/>
      <c r="V69" s="1865" t="s">
        <v>895</v>
      </c>
      <c r="W69" s="1865"/>
      <c r="X69" s="1865"/>
      <c r="Y69" s="1851"/>
      <c r="Z69" s="1851"/>
      <c r="AA69" s="1851"/>
      <c r="AB69" s="1851"/>
      <c r="AC69" s="1851"/>
      <c r="AD69" s="1851"/>
      <c r="AE69" s="1851"/>
      <c r="AF69" s="1851"/>
      <c r="AG69" s="1851"/>
      <c r="AH69" s="1851"/>
      <c r="AI69" s="1851"/>
      <c r="AJ69" s="1851"/>
      <c r="AK69" s="1851"/>
      <c r="AL69" s="1851"/>
      <c r="AM69" s="1851"/>
      <c r="AN69" s="1851"/>
      <c r="AO69" s="1851"/>
      <c r="AP69" s="1851"/>
      <c r="AQ69" s="1851"/>
      <c r="AR69" s="1851"/>
      <c r="AS69" s="1851"/>
      <c r="AT69" s="1851"/>
      <c r="AU69" s="1851"/>
      <c r="AV69" s="1851"/>
      <c r="AW69" s="1851"/>
      <c r="AX69" s="1851"/>
      <c r="AY69" s="1851"/>
      <c r="AZ69" s="1851"/>
      <c r="BA69" s="1851"/>
      <c r="BB69" s="1851"/>
    </row>
    <row r="70" spans="1:54" x14ac:dyDescent="0.25">
      <c r="A70" s="1851">
        <v>66</v>
      </c>
      <c r="B70" s="1851"/>
      <c r="C70" s="1867" t="s">
        <v>899</v>
      </c>
      <c r="D70" s="1867"/>
      <c r="E70" s="1867"/>
      <c r="F70" s="1867"/>
      <c r="G70" s="1867"/>
      <c r="H70" s="1867"/>
      <c r="I70" s="1867"/>
      <c r="J70" s="1867"/>
      <c r="K70" s="1867"/>
      <c r="L70" s="1867"/>
      <c r="M70" s="1867"/>
      <c r="N70" s="1867"/>
      <c r="O70" s="1867"/>
      <c r="P70" s="1867"/>
      <c r="Q70" s="1867"/>
      <c r="R70" s="1867"/>
      <c r="S70" s="1867"/>
      <c r="T70" s="1867"/>
      <c r="U70" s="1867"/>
      <c r="V70" s="1865" t="s">
        <v>895</v>
      </c>
      <c r="W70" s="1865"/>
      <c r="X70" s="1865"/>
      <c r="Y70" s="1851"/>
      <c r="Z70" s="1851"/>
      <c r="AA70" s="1851"/>
      <c r="AB70" s="1851"/>
      <c r="AC70" s="1851"/>
      <c r="AD70" s="1851"/>
      <c r="AE70" s="1851"/>
      <c r="AF70" s="1851"/>
      <c r="AG70" s="1851"/>
      <c r="AH70" s="1851"/>
      <c r="AI70" s="1851"/>
      <c r="AJ70" s="1851"/>
      <c r="AK70" s="1851"/>
      <c r="AL70" s="1851"/>
      <c r="AM70" s="1851"/>
      <c r="AN70" s="1851"/>
      <c r="AO70" s="1851"/>
      <c r="AP70" s="1851"/>
      <c r="AQ70" s="1851"/>
      <c r="AR70" s="1851"/>
      <c r="AS70" s="1851"/>
      <c r="AT70" s="1851"/>
      <c r="AU70" s="1851"/>
      <c r="AV70" s="1851"/>
      <c r="AW70" s="1851"/>
      <c r="AX70" s="1851"/>
      <c r="AY70" s="1851"/>
      <c r="AZ70" s="1851"/>
      <c r="BA70" s="1851"/>
      <c r="BB70" s="1851"/>
    </row>
    <row r="71" spans="1:54" x14ac:dyDescent="0.25">
      <c r="A71" s="1851">
        <v>67</v>
      </c>
      <c r="B71" s="1851"/>
      <c r="C71" s="1867" t="s">
        <v>900</v>
      </c>
      <c r="D71" s="1867"/>
      <c r="E71" s="1867"/>
      <c r="F71" s="1867"/>
      <c r="G71" s="1867"/>
      <c r="H71" s="1867"/>
      <c r="I71" s="1867"/>
      <c r="J71" s="1867"/>
      <c r="K71" s="1867"/>
      <c r="L71" s="1867"/>
      <c r="M71" s="1867"/>
      <c r="N71" s="1867"/>
      <c r="O71" s="1867"/>
      <c r="P71" s="1867"/>
      <c r="Q71" s="1867"/>
      <c r="R71" s="1867"/>
      <c r="S71" s="1867"/>
      <c r="T71" s="1867"/>
      <c r="U71" s="1867"/>
      <c r="V71" s="1865" t="s">
        <v>895</v>
      </c>
      <c r="W71" s="1865"/>
      <c r="X71" s="1865"/>
      <c r="Y71" s="1851"/>
      <c r="Z71" s="1851"/>
      <c r="AA71" s="1851"/>
      <c r="AB71" s="1851"/>
      <c r="AC71" s="1851"/>
      <c r="AD71" s="1851"/>
      <c r="AE71" s="1851"/>
      <c r="AF71" s="1851"/>
      <c r="AG71" s="1851"/>
      <c r="AH71" s="1851"/>
      <c r="AI71" s="1851"/>
      <c r="AJ71" s="1851"/>
      <c r="AK71" s="1851"/>
      <c r="AL71" s="1851"/>
      <c r="AM71" s="1851"/>
      <c r="AN71" s="1851"/>
      <c r="AO71" s="1851"/>
      <c r="AP71" s="1851"/>
      <c r="AQ71" s="1851"/>
      <c r="AR71" s="1851"/>
      <c r="AS71" s="1851"/>
      <c r="AT71" s="1851"/>
      <c r="AU71" s="1851"/>
      <c r="AV71" s="1851"/>
      <c r="AW71" s="1851"/>
      <c r="AX71" s="1851"/>
      <c r="AY71" s="1851"/>
      <c r="AZ71" s="1851"/>
      <c r="BA71" s="1851"/>
      <c r="BB71" s="1851"/>
    </row>
    <row r="72" spans="1:54" x14ac:dyDescent="0.25">
      <c r="A72" s="1851">
        <v>68</v>
      </c>
      <c r="B72" s="1851"/>
      <c r="C72" s="1867" t="s">
        <v>901</v>
      </c>
      <c r="D72" s="1867"/>
      <c r="E72" s="1867"/>
      <c r="F72" s="1867"/>
      <c r="G72" s="1867"/>
      <c r="H72" s="1867"/>
      <c r="I72" s="1867"/>
      <c r="J72" s="1867"/>
      <c r="K72" s="1867"/>
      <c r="L72" s="1867"/>
      <c r="M72" s="1867"/>
      <c r="N72" s="1867"/>
      <c r="O72" s="1867"/>
      <c r="P72" s="1867"/>
      <c r="Q72" s="1867"/>
      <c r="R72" s="1867"/>
      <c r="S72" s="1867"/>
      <c r="T72" s="1867"/>
      <c r="U72" s="1867"/>
      <c r="V72" s="1865" t="s">
        <v>895</v>
      </c>
      <c r="W72" s="1865"/>
      <c r="X72" s="1865"/>
      <c r="Y72" s="1851"/>
      <c r="Z72" s="1851"/>
      <c r="AA72" s="1851"/>
      <c r="AB72" s="1851"/>
      <c r="AC72" s="1851"/>
      <c r="AD72" s="1851"/>
      <c r="AE72" s="1851"/>
      <c r="AF72" s="1851"/>
      <c r="AG72" s="1851"/>
      <c r="AH72" s="1851"/>
      <c r="AI72" s="1851"/>
      <c r="AJ72" s="1851"/>
      <c r="AK72" s="1851"/>
      <c r="AL72" s="1851"/>
      <c r="AM72" s="1851"/>
      <c r="AN72" s="1851"/>
      <c r="AO72" s="1851"/>
      <c r="AP72" s="1851"/>
      <c r="AQ72" s="1851"/>
      <c r="AR72" s="1851"/>
      <c r="AS72" s="1851"/>
      <c r="AT72" s="1851"/>
      <c r="AU72" s="1851"/>
      <c r="AV72" s="1851"/>
      <c r="AW72" s="1851"/>
      <c r="AX72" s="1851"/>
      <c r="AY72" s="1851"/>
      <c r="AZ72" s="1851"/>
      <c r="BA72" s="1851"/>
      <c r="BB72" s="1851"/>
    </row>
    <row r="73" spans="1:54" x14ac:dyDescent="0.25">
      <c r="A73" s="1851">
        <v>69</v>
      </c>
      <c r="B73" s="1851"/>
      <c r="C73" s="1867" t="s">
        <v>902</v>
      </c>
      <c r="D73" s="1867"/>
      <c r="E73" s="1867"/>
      <c r="F73" s="1867"/>
      <c r="G73" s="1867"/>
      <c r="H73" s="1867"/>
      <c r="I73" s="1867"/>
      <c r="J73" s="1867"/>
      <c r="K73" s="1867"/>
      <c r="L73" s="1867"/>
      <c r="M73" s="1867"/>
      <c r="N73" s="1867"/>
      <c r="O73" s="1867"/>
      <c r="P73" s="1867"/>
      <c r="Q73" s="1867"/>
      <c r="R73" s="1867"/>
      <c r="S73" s="1867"/>
      <c r="T73" s="1867"/>
      <c r="U73" s="1867"/>
      <c r="V73" s="1865" t="s">
        <v>895</v>
      </c>
      <c r="W73" s="1865"/>
      <c r="X73" s="1865"/>
      <c r="Y73" s="1851"/>
      <c r="Z73" s="1851"/>
      <c r="AA73" s="1851"/>
      <c r="AB73" s="1851"/>
      <c r="AC73" s="1851"/>
      <c r="AD73" s="1851"/>
      <c r="AE73" s="1851"/>
      <c r="AF73" s="1851"/>
      <c r="AG73" s="1851"/>
      <c r="AH73" s="1851"/>
      <c r="AI73" s="1851"/>
      <c r="AJ73" s="1851"/>
      <c r="AK73" s="1851"/>
      <c r="AL73" s="1851"/>
      <c r="AM73" s="1851"/>
      <c r="AN73" s="1851"/>
      <c r="AO73" s="1851"/>
      <c r="AP73" s="1851"/>
      <c r="AQ73" s="1851"/>
      <c r="AR73" s="1851"/>
      <c r="AS73" s="1851"/>
      <c r="AT73" s="1851"/>
      <c r="AU73" s="1851"/>
      <c r="AV73" s="1851"/>
      <c r="AW73" s="1851"/>
      <c r="AX73" s="1851"/>
      <c r="AY73" s="1851"/>
      <c r="AZ73" s="1851"/>
      <c r="BA73" s="1851"/>
      <c r="BB73" s="1851"/>
    </row>
    <row r="74" spans="1:54" x14ac:dyDescent="0.25">
      <c r="A74" s="1851">
        <v>70</v>
      </c>
      <c r="B74" s="1851"/>
      <c r="C74" s="1867" t="s">
        <v>903</v>
      </c>
      <c r="D74" s="1867"/>
      <c r="E74" s="1867"/>
      <c r="F74" s="1867"/>
      <c r="G74" s="1867"/>
      <c r="H74" s="1867"/>
      <c r="I74" s="1867"/>
      <c r="J74" s="1867"/>
      <c r="K74" s="1867"/>
      <c r="L74" s="1867"/>
      <c r="M74" s="1867"/>
      <c r="N74" s="1867"/>
      <c r="O74" s="1867"/>
      <c r="P74" s="1867"/>
      <c r="Q74" s="1867"/>
      <c r="R74" s="1867"/>
      <c r="S74" s="1867"/>
      <c r="T74" s="1867"/>
      <c r="U74" s="1867"/>
      <c r="V74" s="1865" t="s">
        <v>895</v>
      </c>
      <c r="W74" s="1865"/>
      <c r="X74" s="1865"/>
      <c r="Y74" s="1851"/>
      <c r="Z74" s="1851"/>
      <c r="AA74" s="1851"/>
      <c r="AB74" s="1851"/>
      <c r="AC74" s="1851"/>
      <c r="AD74" s="1851"/>
      <c r="AE74" s="1851"/>
      <c r="AF74" s="1851"/>
      <c r="AG74" s="1851"/>
      <c r="AH74" s="1851"/>
      <c r="AI74" s="1851"/>
      <c r="AJ74" s="1851"/>
      <c r="AK74" s="1851"/>
      <c r="AL74" s="1851"/>
      <c r="AM74" s="1851"/>
      <c r="AN74" s="1851"/>
      <c r="AO74" s="1851"/>
      <c r="AP74" s="1851"/>
      <c r="AQ74" s="1851"/>
      <c r="AR74" s="1851"/>
      <c r="AS74" s="1851"/>
      <c r="AT74" s="1851"/>
      <c r="AU74" s="1851"/>
      <c r="AV74" s="1851"/>
      <c r="AW74" s="1851"/>
      <c r="AX74" s="1851"/>
      <c r="AY74" s="1851"/>
      <c r="AZ74" s="1851"/>
      <c r="BA74" s="1851"/>
      <c r="BB74" s="1851"/>
    </row>
    <row r="75" spans="1:54" x14ac:dyDescent="0.25">
      <c r="A75" s="1851">
        <v>71</v>
      </c>
      <c r="B75" s="1851"/>
      <c r="C75" s="1867" t="s">
        <v>904</v>
      </c>
      <c r="D75" s="1867"/>
      <c r="E75" s="1867"/>
      <c r="F75" s="1867"/>
      <c r="G75" s="1867"/>
      <c r="H75" s="1867"/>
      <c r="I75" s="1867"/>
      <c r="J75" s="1867"/>
      <c r="K75" s="1867"/>
      <c r="L75" s="1867"/>
      <c r="M75" s="1867"/>
      <c r="N75" s="1867"/>
      <c r="O75" s="1867"/>
      <c r="P75" s="1867"/>
      <c r="Q75" s="1867"/>
      <c r="R75" s="1867"/>
      <c r="S75" s="1867"/>
      <c r="T75" s="1867"/>
      <c r="U75" s="1867"/>
      <c r="V75" s="1865" t="s">
        <v>895</v>
      </c>
      <c r="W75" s="1865"/>
      <c r="X75" s="1865"/>
      <c r="Y75" s="1851"/>
      <c r="Z75" s="1851"/>
      <c r="AA75" s="1851"/>
      <c r="AB75" s="1851"/>
      <c r="AC75" s="1851"/>
      <c r="AD75" s="1851"/>
      <c r="AE75" s="1851"/>
      <c r="AF75" s="1851"/>
      <c r="AG75" s="1851"/>
      <c r="AH75" s="1851"/>
      <c r="AI75" s="1851"/>
      <c r="AJ75" s="1851"/>
      <c r="AK75" s="1851"/>
      <c r="AL75" s="1851"/>
      <c r="AM75" s="1851"/>
      <c r="AN75" s="1851"/>
      <c r="AO75" s="1851"/>
      <c r="AP75" s="1851"/>
      <c r="AQ75" s="1851"/>
      <c r="AR75" s="1851"/>
      <c r="AS75" s="1851"/>
      <c r="AT75" s="1851"/>
      <c r="AU75" s="1851"/>
      <c r="AV75" s="1851"/>
      <c r="AW75" s="1851"/>
      <c r="AX75" s="1851"/>
      <c r="AY75" s="1851"/>
      <c r="AZ75" s="1851"/>
      <c r="BA75" s="1851"/>
      <c r="BB75" s="1851"/>
    </row>
    <row r="76" spans="1:54" x14ac:dyDescent="0.25">
      <c r="A76" s="1851">
        <v>72</v>
      </c>
      <c r="B76" s="1851"/>
      <c r="C76" s="1868" t="s">
        <v>905</v>
      </c>
      <c r="D76" s="1868"/>
      <c r="E76" s="1868"/>
      <c r="F76" s="1868"/>
      <c r="G76" s="1868"/>
      <c r="H76" s="1868"/>
      <c r="I76" s="1868"/>
      <c r="J76" s="1868"/>
      <c r="K76" s="1868"/>
      <c r="L76" s="1868"/>
      <c r="M76" s="1868"/>
      <c r="N76" s="1868"/>
      <c r="O76" s="1868"/>
      <c r="P76" s="1868"/>
      <c r="Q76" s="1868"/>
      <c r="R76" s="1868"/>
      <c r="S76" s="1868"/>
      <c r="T76" s="1868"/>
      <c r="U76" s="1868"/>
      <c r="V76" s="1865" t="s">
        <v>895</v>
      </c>
      <c r="W76" s="1865"/>
      <c r="X76" s="1865"/>
      <c r="Y76" s="1851"/>
      <c r="Z76" s="1851"/>
      <c r="AA76" s="1851"/>
      <c r="AB76" s="1851"/>
      <c r="AC76" s="1851"/>
      <c r="AD76" s="1851"/>
      <c r="AE76" s="1851"/>
      <c r="AF76" s="1851"/>
      <c r="AG76" s="1851"/>
      <c r="AH76" s="1851"/>
      <c r="AI76" s="1851"/>
      <c r="AJ76" s="1851"/>
      <c r="AK76" s="1851"/>
      <c r="AL76" s="1851"/>
      <c r="AM76" s="1851"/>
      <c r="AN76" s="1851"/>
      <c r="AO76" s="1851"/>
      <c r="AP76" s="1851"/>
      <c r="AQ76" s="1851"/>
      <c r="AR76" s="1851"/>
      <c r="AS76" s="1851"/>
      <c r="AT76" s="1851"/>
      <c r="AU76" s="1851"/>
      <c r="AV76" s="1851"/>
      <c r="AW76" s="1851"/>
      <c r="AX76" s="1851"/>
      <c r="AY76" s="1851"/>
      <c r="AZ76" s="1851"/>
      <c r="BA76" s="1851"/>
      <c r="BB76" s="1851"/>
    </row>
    <row r="77" spans="1:54" x14ac:dyDescent="0.25">
      <c r="A77" s="1851">
        <v>73</v>
      </c>
      <c r="B77" s="1851"/>
      <c r="C77" s="1868" t="s">
        <v>906</v>
      </c>
      <c r="D77" s="1868"/>
      <c r="E77" s="1868"/>
      <c r="F77" s="1868"/>
      <c r="G77" s="1868"/>
      <c r="H77" s="1868"/>
      <c r="I77" s="1868"/>
      <c r="J77" s="1868"/>
      <c r="K77" s="1868"/>
      <c r="L77" s="1868"/>
      <c r="M77" s="1868"/>
      <c r="N77" s="1868"/>
      <c r="O77" s="1868"/>
      <c r="P77" s="1868"/>
      <c r="Q77" s="1868"/>
      <c r="R77" s="1868"/>
      <c r="S77" s="1868"/>
      <c r="T77" s="1868"/>
      <c r="U77" s="1868"/>
      <c r="V77" s="1865" t="s">
        <v>895</v>
      </c>
      <c r="W77" s="1865"/>
      <c r="X77" s="1865"/>
      <c r="Y77" s="1851"/>
      <c r="Z77" s="1851"/>
      <c r="AA77" s="1851"/>
      <c r="AB77" s="1851"/>
      <c r="AC77" s="1851"/>
      <c r="AD77" s="1851"/>
      <c r="AE77" s="1851"/>
      <c r="AF77" s="1851"/>
      <c r="AG77" s="1851"/>
      <c r="AH77" s="1851"/>
      <c r="AI77" s="1851"/>
      <c r="AJ77" s="1851"/>
      <c r="AK77" s="1851"/>
      <c r="AL77" s="1851"/>
      <c r="AM77" s="1851"/>
      <c r="AN77" s="1851"/>
      <c r="AO77" s="1851"/>
      <c r="AP77" s="1851"/>
      <c r="AQ77" s="1851"/>
      <c r="AR77" s="1851"/>
      <c r="AS77" s="1851"/>
      <c r="AT77" s="1851"/>
      <c r="AU77" s="1851"/>
      <c r="AV77" s="1851"/>
      <c r="AW77" s="1851"/>
      <c r="AX77" s="1851"/>
      <c r="AY77" s="1851"/>
      <c r="AZ77" s="1851"/>
      <c r="BA77" s="1851"/>
      <c r="BB77" s="1851"/>
    </row>
    <row r="78" spans="1:54" x14ac:dyDescent="0.25">
      <c r="A78" s="1851">
        <v>74</v>
      </c>
      <c r="B78" s="1851"/>
      <c r="C78" s="1867" t="s">
        <v>907</v>
      </c>
      <c r="D78" s="1867"/>
      <c r="E78" s="1867"/>
      <c r="F78" s="1867"/>
      <c r="G78" s="1867"/>
      <c r="H78" s="1867"/>
      <c r="I78" s="1867"/>
      <c r="J78" s="1867"/>
      <c r="K78" s="1867"/>
      <c r="L78" s="1867"/>
      <c r="M78" s="1867"/>
      <c r="N78" s="1867"/>
      <c r="O78" s="1867"/>
      <c r="P78" s="1867"/>
      <c r="Q78" s="1867"/>
      <c r="R78" s="1867"/>
      <c r="S78" s="1867"/>
      <c r="T78" s="1867"/>
      <c r="U78" s="1867"/>
      <c r="V78" s="1865" t="s">
        <v>908</v>
      </c>
      <c r="W78" s="1865"/>
      <c r="X78" s="1865"/>
      <c r="Y78" s="1851"/>
      <c r="Z78" s="1851"/>
      <c r="AA78" s="1851"/>
      <c r="AB78" s="1851"/>
      <c r="AC78" s="1851"/>
      <c r="AD78" s="1851"/>
      <c r="AE78" s="1851"/>
      <c r="AF78" s="1851"/>
      <c r="AG78" s="1851"/>
      <c r="AH78" s="1851"/>
      <c r="AI78" s="1851"/>
      <c r="AJ78" s="1851"/>
      <c r="AK78" s="1851"/>
      <c r="AL78" s="1851"/>
      <c r="AM78" s="1851"/>
      <c r="AN78" s="1851"/>
      <c r="AO78" s="1851"/>
      <c r="AP78" s="1851"/>
      <c r="AQ78" s="1851"/>
      <c r="AR78" s="1851"/>
      <c r="AS78" s="1851"/>
      <c r="AT78" s="1851"/>
      <c r="AU78" s="1851"/>
      <c r="AV78" s="1851"/>
      <c r="AW78" s="1851"/>
      <c r="AX78" s="1851"/>
      <c r="AY78" s="1851"/>
      <c r="AZ78" s="1851"/>
      <c r="BA78" s="1851"/>
      <c r="BB78" s="1851"/>
    </row>
    <row r="79" spans="1:54" x14ac:dyDescent="0.25">
      <c r="A79" s="1851">
        <v>75</v>
      </c>
      <c r="B79" s="1851"/>
      <c r="C79" s="1868" t="s">
        <v>909</v>
      </c>
      <c r="D79" s="1868"/>
      <c r="E79" s="1868"/>
      <c r="F79" s="1868"/>
      <c r="G79" s="1868"/>
      <c r="H79" s="1868"/>
      <c r="I79" s="1868"/>
      <c r="J79" s="1868"/>
      <c r="K79" s="1868"/>
      <c r="L79" s="1868"/>
      <c r="M79" s="1868"/>
      <c r="N79" s="1868"/>
      <c r="O79" s="1868"/>
      <c r="P79" s="1868"/>
      <c r="Q79" s="1868"/>
      <c r="R79" s="1868"/>
      <c r="S79" s="1868"/>
      <c r="T79" s="1868"/>
      <c r="U79" s="1868"/>
      <c r="V79" s="1870" t="s">
        <v>910</v>
      </c>
      <c r="W79" s="1870"/>
      <c r="X79" s="1870"/>
      <c r="Y79" s="1857"/>
      <c r="Z79" s="1858"/>
      <c r="AA79" s="1858"/>
      <c r="AB79" s="1858"/>
      <c r="AC79" s="1859"/>
      <c r="AD79" s="1859"/>
      <c r="AE79" s="1857"/>
      <c r="AF79" s="1858"/>
      <c r="AG79" s="1858"/>
      <c r="AH79" s="1858"/>
      <c r="AI79" s="1859"/>
      <c r="AJ79" s="1859"/>
      <c r="AK79" s="1857"/>
      <c r="AL79" s="1858"/>
      <c r="AM79" s="1858"/>
      <c r="AN79" s="1858"/>
      <c r="AO79" s="1859"/>
      <c r="AP79" s="1859"/>
      <c r="AQ79" s="1857"/>
      <c r="AR79" s="1858"/>
      <c r="AS79" s="1858"/>
      <c r="AT79" s="1858"/>
      <c r="AU79" s="1859"/>
      <c r="AV79" s="1859"/>
      <c r="AW79" s="1857"/>
      <c r="AX79" s="1858"/>
      <c r="AY79" s="1858"/>
      <c r="AZ79" s="1858"/>
      <c r="BA79" s="1859"/>
      <c r="BB79" s="1859"/>
    </row>
    <row r="80" spans="1:54" x14ac:dyDescent="0.25">
      <c r="A80" s="1851">
        <v>76</v>
      </c>
      <c r="B80" s="1851"/>
      <c r="C80" s="1872" t="s">
        <v>911</v>
      </c>
      <c r="D80" s="1872"/>
      <c r="E80" s="1872"/>
      <c r="F80" s="1872"/>
      <c r="G80" s="1872"/>
      <c r="H80" s="1872"/>
      <c r="I80" s="1872"/>
      <c r="J80" s="1872"/>
      <c r="K80" s="1872"/>
      <c r="L80" s="1872"/>
      <c r="M80" s="1872"/>
      <c r="N80" s="1872"/>
      <c r="O80" s="1872"/>
      <c r="P80" s="1872"/>
      <c r="Q80" s="1872"/>
      <c r="R80" s="1872"/>
      <c r="S80" s="1872"/>
      <c r="T80" s="1872"/>
      <c r="U80" s="1872"/>
      <c r="V80" s="1865" t="s">
        <v>910</v>
      </c>
      <c r="W80" s="1865"/>
      <c r="X80" s="1865"/>
      <c r="Y80" s="1851"/>
      <c r="Z80" s="1851"/>
      <c r="AA80" s="1851"/>
      <c r="AB80" s="1851"/>
      <c r="AC80" s="1851"/>
      <c r="AD80" s="1851"/>
      <c r="AE80" s="1851"/>
      <c r="AF80" s="1851"/>
      <c r="AG80" s="1851"/>
      <c r="AH80" s="1851"/>
      <c r="AI80" s="1851"/>
      <c r="AJ80" s="1851"/>
      <c r="AK80" s="1851"/>
      <c r="AL80" s="1851"/>
      <c r="AM80" s="1851"/>
      <c r="AN80" s="1851"/>
      <c r="AO80" s="1851"/>
      <c r="AP80" s="1851"/>
      <c r="AQ80" s="1851"/>
      <c r="AR80" s="1851"/>
      <c r="AS80" s="1851"/>
      <c r="AT80" s="1851"/>
      <c r="AU80" s="1851"/>
      <c r="AV80" s="1851"/>
      <c r="AW80" s="1851"/>
      <c r="AX80" s="1851"/>
      <c r="AY80" s="1851"/>
      <c r="AZ80" s="1851"/>
      <c r="BA80" s="1851"/>
      <c r="BB80" s="1851"/>
    </row>
    <row r="81" spans="1:54" x14ac:dyDescent="0.25">
      <c r="A81" s="1851">
        <v>77</v>
      </c>
      <c r="B81" s="1851"/>
      <c r="C81" s="1867" t="s">
        <v>912</v>
      </c>
      <c r="D81" s="1867"/>
      <c r="E81" s="1867"/>
      <c r="F81" s="1867"/>
      <c r="G81" s="1867"/>
      <c r="H81" s="1867"/>
      <c r="I81" s="1867"/>
      <c r="J81" s="1867"/>
      <c r="K81" s="1867"/>
      <c r="L81" s="1867"/>
      <c r="M81" s="1867"/>
      <c r="N81" s="1867"/>
      <c r="O81" s="1867"/>
      <c r="P81" s="1867"/>
      <c r="Q81" s="1867"/>
      <c r="R81" s="1867"/>
      <c r="S81" s="1867"/>
      <c r="T81" s="1867"/>
      <c r="U81" s="1867"/>
      <c r="V81" s="1865" t="s">
        <v>910</v>
      </c>
      <c r="W81" s="1865"/>
      <c r="X81" s="1865"/>
      <c r="Y81" s="1851"/>
      <c r="Z81" s="1851"/>
      <c r="AA81" s="1851"/>
      <c r="AB81" s="1851"/>
      <c r="AC81" s="1851"/>
      <c r="AD81" s="1851"/>
      <c r="AE81" s="1851"/>
      <c r="AF81" s="1851"/>
      <c r="AG81" s="1851"/>
      <c r="AH81" s="1851"/>
      <c r="AI81" s="1851"/>
      <c r="AJ81" s="1851"/>
      <c r="AK81" s="1851"/>
      <c r="AL81" s="1851"/>
      <c r="AM81" s="1851"/>
      <c r="AN81" s="1851"/>
      <c r="AO81" s="1851"/>
      <c r="AP81" s="1851"/>
      <c r="AQ81" s="1851"/>
      <c r="AR81" s="1851"/>
      <c r="AS81" s="1851"/>
      <c r="AT81" s="1851"/>
      <c r="AU81" s="1851"/>
      <c r="AV81" s="1851"/>
      <c r="AW81" s="1851"/>
      <c r="AX81" s="1851"/>
      <c r="AY81" s="1851"/>
      <c r="AZ81" s="1851"/>
      <c r="BA81" s="1851"/>
      <c r="BB81" s="1851"/>
    </row>
    <row r="82" spans="1:54" x14ac:dyDescent="0.25">
      <c r="A82" s="1851">
        <v>78</v>
      </c>
      <c r="B82" s="1851"/>
      <c r="C82" s="1867" t="s">
        <v>913</v>
      </c>
      <c r="D82" s="1867"/>
      <c r="E82" s="1867"/>
      <c r="F82" s="1867"/>
      <c r="G82" s="1867"/>
      <c r="H82" s="1867"/>
      <c r="I82" s="1867"/>
      <c r="J82" s="1867"/>
      <c r="K82" s="1867"/>
      <c r="L82" s="1867"/>
      <c r="M82" s="1867"/>
      <c r="N82" s="1867"/>
      <c r="O82" s="1867"/>
      <c r="P82" s="1867"/>
      <c r="Q82" s="1867"/>
      <c r="R82" s="1867"/>
      <c r="S82" s="1867"/>
      <c r="T82" s="1867"/>
      <c r="U82" s="1867"/>
      <c r="V82" s="1865" t="s">
        <v>910</v>
      </c>
      <c r="W82" s="1865"/>
      <c r="X82" s="1865"/>
      <c r="Y82" s="1851"/>
      <c r="Z82" s="1851"/>
      <c r="AA82" s="1851"/>
      <c r="AB82" s="1851"/>
      <c r="AC82" s="1851"/>
      <c r="AD82" s="1851"/>
      <c r="AE82" s="1851"/>
      <c r="AF82" s="1851"/>
      <c r="AG82" s="1851"/>
      <c r="AH82" s="1851"/>
      <c r="AI82" s="1851"/>
      <c r="AJ82" s="1851"/>
      <c r="AK82" s="1851"/>
      <c r="AL82" s="1851"/>
      <c r="AM82" s="1851"/>
      <c r="AN82" s="1851"/>
      <c r="AO82" s="1851"/>
      <c r="AP82" s="1851"/>
      <c r="AQ82" s="1851"/>
      <c r="AR82" s="1851"/>
      <c r="AS82" s="1851"/>
      <c r="AT82" s="1851"/>
      <c r="AU82" s="1851"/>
      <c r="AV82" s="1851"/>
      <c r="AW82" s="1851"/>
      <c r="AX82" s="1851"/>
      <c r="AY82" s="1851"/>
      <c r="AZ82" s="1851"/>
      <c r="BA82" s="1851"/>
      <c r="BB82" s="1851"/>
    </row>
    <row r="83" spans="1:54" x14ac:dyDescent="0.25">
      <c r="A83" s="1851">
        <v>79</v>
      </c>
      <c r="B83" s="1851"/>
      <c r="C83" s="1867" t="s">
        <v>914</v>
      </c>
      <c r="D83" s="1867"/>
      <c r="E83" s="1867"/>
      <c r="F83" s="1867"/>
      <c r="G83" s="1867"/>
      <c r="H83" s="1867"/>
      <c r="I83" s="1867"/>
      <c r="J83" s="1867"/>
      <c r="K83" s="1867"/>
      <c r="L83" s="1867"/>
      <c r="M83" s="1867"/>
      <c r="N83" s="1867"/>
      <c r="O83" s="1867"/>
      <c r="P83" s="1867"/>
      <c r="Q83" s="1867"/>
      <c r="R83" s="1867"/>
      <c r="S83" s="1867"/>
      <c r="T83" s="1867"/>
      <c r="U83" s="1867"/>
      <c r="V83" s="1865" t="s">
        <v>910</v>
      </c>
      <c r="W83" s="1865"/>
      <c r="X83" s="1865"/>
      <c r="Y83" s="1851"/>
      <c r="Z83" s="1851"/>
      <c r="AA83" s="1851"/>
      <c r="AB83" s="1851"/>
      <c r="AC83" s="1851"/>
      <c r="AD83" s="1851"/>
      <c r="AE83" s="1851"/>
      <c r="AF83" s="1851"/>
      <c r="AG83" s="1851"/>
      <c r="AH83" s="1851"/>
      <c r="AI83" s="1851"/>
      <c r="AJ83" s="1851"/>
      <c r="AK83" s="1851"/>
      <c r="AL83" s="1851"/>
      <c r="AM83" s="1851"/>
      <c r="AN83" s="1851"/>
      <c r="AO83" s="1851"/>
      <c r="AP83" s="1851"/>
      <c r="AQ83" s="1851"/>
      <c r="AR83" s="1851"/>
      <c r="AS83" s="1851"/>
      <c r="AT83" s="1851"/>
      <c r="AU83" s="1851"/>
      <c r="AV83" s="1851"/>
      <c r="AW83" s="1851"/>
      <c r="AX83" s="1851"/>
      <c r="AY83" s="1851"/>
      <c r="AZ83" s="1851"/>
      <c r="BA83" s="1851"/>
      <c r="BB83" s="1851"/>
    </row>
    <row r="84" spans="1:54" x14ac:dyDescent="0.25">
      <c r="A84" s="1851">
        <v>80</v>
      </c>
      <c r="B84" s="1851"/>
      <c r="C84" s="1867" t="s">
        <v>915</v>
      </c>
      <c r="D84" s="1867"/>
      <c r="E84" s="1867"/>
      <c r="F84" s="1867"/>
      <c r="G84" s="1867"/>
      <c r="H84" s="1867"/>
      <c r="I84" s="1867"/>
      <c r="J84" s="1867"/>
      <c r="K84" s="1867"/>
      <c r="L84" s="1867"/>
      <c r="M84" s="1867"/>
      <c r="N84" s="1867"/>
      <c r="O84" s="1867"/>
      <c r="P84" s="1867"/>
      <c r="Q84" s="1867"/>
      <c r="R84" s="1867"/>
      <c r="S84" s="1867"/>
      <c r="T84" s="1867"/>
      <c r="U84" s="1867"/>
      <c r="V84" s="1865" t="s">
        <v>910</v>
      </c>
      <c r="W84" s="1865"/>
      <c r="X84" s="1865"/>
      <c r="Y84" s="1851"/>
      <c r="Z84" s="1851"/>
      <c r="AA84" s="1851"/>
      <c r="AB84" s="1851"/>
      <c r="AC84" s="1851"/>
      <c r="AD84" s="1851"/>
      <c r="AE84" s="1851"/>
      <c r="AF84" s="1851"/>
      <c r="AG84" s="1851"/>
      <c r="AH84" s="1851"/>
      <c r="AI84" s="1851"/>
      <c r="AJ84" s="1851"/>
      <c r="AK84" s="1851"/>
      <c r="AL84" s="1851"/>
      <c r="AM84" s="1851"/>
      <c r="AN84" s="1851"/>
      <c r="AO84" s="1851"/>
      <c r="AP84" s="1851"/>
      <c r="AQ84" s="1851"/>
      <c r="AR84" s="1851"/>
      <c r="AS84" s="1851"/>
      <c r="AT84" s="1851"/>
      <c r="AU84" s="1851"/>
      <c r="AV84" s="1851"/>
      <c r="AW84" s="1851"/>
      <c r="AX84" s="1851"/>
      <c r="AY84" s="1851"/>
      <c r="AZ84" s="1851"/>
      <c r="BA84" s="1851"/>
      <c r="BB84" s="1851"/>
    </row>
    <row r="85" spans="1:54" x14ac:dyDescent="0.25">
      <c r="A85" s="1851">
        <v>81</v>
      </c>
      <c r="B85" s="1851"/>
      <c r="C85" s="1867" t="s">
        <v>916</v>
      </c>
      <c r="D85" s="1867"/>
      <c r="E85" s="1867"/>
      <c r="F85" s="1867"/>
      <c r="G85" s="1867"/>
      <c r="H85" s="1867"/>
      <c r="I85" s="1867"/>
      <c r="J85" s="1867"/>
      <c r="K85" s="1867"/>
      <c r="L85" s="1867"/>
      <c r="M85" s="1867"/>
      <c r="N85" s="1867"/>
      <c r="O85" s="1867"/>
      <c r="P85" s="1867"/>
      <c r="Q85" s="1867"/>
      <c r="R85" s="1867"/>
      <c r="S85" s="1867"/>
      <c r="T85" s="1867"/>
      <c r="U85" s="1867"/>
      <c r="V85" s="1865" t="s">
        <v>910</v>
      </c>
      <c r="W85" s="1865"/>
      <c r="X85" s="1865"/>
      <c r="Y85" s="1851"/>
      <c r="Z85" s="1851"/>
      <c r="AA85" s="1851"/>
      <c r="AB85" s="1851"/>
      <c r="AC85" s="1851"/>
      <c r="AD85" s="1851"/>
      <c r="AE85" s="1851"/>
      <c r="AF85" s="1851"/>
      <c r="AG85" s="1851"/>
      <c r="AH85" s="1851"/>
      <c r="AI85" s="1851"/>
      <c r="AJ85" s="1851"/>
      <c r="AK85" s="1851"/>
      <c r="AL85" s="1851"/>
      <c r="AM85" s="1851"/>
      <c r="AN85" s="1851"/>
      <c r="AO85" s="1851"/>
      <c r="AP85" s="1851"/>
      <c r="AQ85" s="1851"/>
      <c r="AR85" s="1851"/>
      <c r="AS85" s="1851"/>
      <c r="AT85" s="1851"/>
      <c r="AU85" s="1851"/>
      <c r="AV85" s="1851"/>
      <c r="AW85" s="1851"/>
      <c r="AX85" s="1851"/>
      <c r="AY85" s="1851"/>
      <c r="AZ85" s="1851"/>
      <c r="BA85" s="1851"/>
      <c r="BB85" s="1851"/>
    </row>
    <row r="86" spans="1:54" x14ac:dyDescent="0.25">
      <c r="A86" s="1851">
        <v>82</v>
      </c>
      <c r="B86" s="1851"/>
      <c r="C86" s="1868" t="s">
        <v>917</v>
      </c>
      <c r="D86" s="1868"/>
      <c r="E86" s="1868"/>
      <c r="F86" s="1868"/>
      <c r="G86" s="1868"/>
      <c r="H86" s="1868"/>
      <c r="I86" s="1868"/>
      <c r="J86" s="1868"/>
      <c r="K86" s="1868"/>
      <c r="L86" s="1868"/>
      <c r="M86" s="1868"/>
      <c r="N86" s="1868"/>
      <c r="O86" s="1868"/>
      <c r="P86" s="1868"/>
      <c r="Q86" s="1868"/>
      <c r="R86" s="1868"/>
      <c r="S86" s="1868"/>
      <c r="T86" s="1868"/>
      <c r="U86" s="1868"/>
      <c r="V86" s="1865" t="s">
        <v>910</v>
      </c>
      <c r="W86" s="1865"/>
      <c r="X86" s="1865"/>
      <c r="Y86" s="1851"/>
      <c r="Z86" s="1851"/>
      <c r="AA86" s="1851"/>
      <c r="AB86" s="1851"/>
      <c r="AC86" s="1851"/>
      <c r="AD86" s="1851"/>
      <c r="AE86" s="1851"/>
      <c r="AF86" s="1851"/>
      <c r="AG86" s="1851"/>
      <c r="AH86" s="1851"/>
      <c r="AI86" s="1851"/>
      <c r="AJ86" s="1851"/>
      <c r="AK86" s="1851"/>
      <c r="AL86" s="1851"/>
      <c r="AM86" s="1851"/>
      <c r="AN86" s="1851"/>
      <c r="AO86" s="1851"/>
      <c r="AP86" s="1851"/>
      <c r="AQ86" s="1851"/>
      <c r="AR86" s="1851"/>
      <c r="AS86" s="1851"/>
      <c r="AT86" s="1851"/>
      <c r="AU86" s="1851"/>
      <c r="AV86" s="1851"/>
      <c r="AW86" s="1851"/>
      <c r="AX86" s="1851"/>
      <c r="AY86" s="1851"/>
      <c r="AZ86" s="1851"/>
      <c r="BA86" s="1851"/>
      <c r="BB86" s="1851"/>
    </row>
    <row r="87" spans="1:54" x14ac:dyDescent="0.25">
      <c r="A87" s="1851">
        <v>83</v>
      </c>
      <c r="B87" s="1851"/>
      <c r="C87" s="1868" t="s">
        <v>918</v>
      </c>
      <c r="D87" s="1868"/>
      <c r="E87" s="1868"/>
      <c r="F87" s="1868"/>
      <c r="G87" s="1868"/>
      <c r="H87" s="1868"/>
      <c r="I87" s="1868"/>
      <c r="J87" s="1868"/>
      <c r="K87" s="1868"/>
      <c r="L87" s="1868"/>
      <c r="M87" s="1868"/>
      <c r="N87" s="1868"/>
      <c r="O87" s="1868"/>
      <c r="P87" s="1868"/>
      <c r="Q87" s="1868"/>
      <c r="R87" s="1868"/>
      <c r="S87" s="1868"/>
      <c r="T87" s="1868"/>
      <c r="U87" s="1868"/>
      <c r="V87" s="1870" t="s">
        <v>919</v>
      </c>
      <c r="W87" s="1870"/>
      <c r="X87" s="1870"/>
      <c r="Y87" s="1857"/>
      <c r="Z87" s="1858"/>
      <c r="AA87" s="1858"/>
      <c r="AB87" s="1858"/>
      <c r="AC87" s="1859"/>
      <c r="AD87" s="1859"/>
      <c r="AE87" s="1857"/>
      <c r="AF87" s="1858"/>
      <c r="AG87" s="1858"/>
      <c r="AH87" s="1858"/>
      <c r="AI87" s="1859"/>
      <c r="AJ87" s="1859"/>
      <c r="AK87" s="1857"/>
      <c r="AL87" s="1858"/>
      <c r="AM87" s="1858"/>
      <c r="AN87" s="1858"/>
      <c r="AO87" s="1859"/>
      <c r="AP87" s="1859"/>
      <c r="AQ87" s="1857"/>
      <c r="AR87" s="1858"/>
      <c r="AS87" s="1858"/>
      <c r="AT87" s="1858"/>
      <c r="AU87" s="1859"/>
      <c r="AV87" s="1859"/>
      <c r="AW87" s="1857"/>
      <c r="AX87" s="1858"/>
      <c r="AY87" s="1858"/>
      <c r="AZ87" s="1858"/>
      <c r="BA87" s="1859"/>
      <c r="BB87" s="1859"/>
    </row>
    <row r="88" spans="1:54" x14ac:dyDescent="0.25">
      <c r="A88" s="1851">
        <v>84</v>
      </c>
      <c r="B88" s="1851"/>
      <c r="C88" s="1867" t="s">
        <v>920</v>
      </c>
      <c r="D88" s="1867"/>
      <c r="E88" s="1867"/>
      <c r="F88" s="1867"/>
      <c r="G88" s="1867"/>
      <c r="H88" s="1867"/>
      <c r="I88" s="1867"/>
      <c r="J88" s="1867"/>
      <c r="K88" s="1867"/>
      <c r="L88" s="1867"/>
      <c r="M88" s="1867"/>
      <c r="N88" s="1867"/>
      <c r="O88" s="1867"/>
      <c r="P88" s="1867"/>
      <c r="Q88" s="1867"/>
      <c r="R88" s="1867"/>
      <c r="S88" s="1867"/>
      <c r="T88" s="1867"/>
      <c r="U88" s="1867"/>
      <c r="V88" s="1865" t="s">
        <v>919</v>
      </c>
      <c r="W88" s="1865"/>
      <c r="X88" s="1865"/>
      <c r="Y88" s="1851"/>
      <c r="Z88" s="1851"/>
      <c r="AA88" s="1851"/>
      <c r="AB88" s="1851"/>
      <c r="AC88" s="1851"/>
      <c r="AD88" s="1851"/>
      <c r="AE88" s="1851"/>
      <c r="AF88" s="1851"/>
      <c r="AG88" s="1851"/>
      <c r="AH88" s="1851"/>
      <c r="AI88" s="1851"/>
      <c r="AJ88" s="1851"/>
      <c r="AK88" s="1851"/>
      <c r="AL88" s="1851"/>
      <c r="AM88" s="1851"/>
      <c r="AN88" s="1851"/>
      <c r="AO88" s="1851"/>
      <c r="AP88" s="1851"/>
      <c r="AQ88" s="1851"/>
      <c r="AR88" s="1851"/>
      <c r="AS88" s="1851"/>
      <c r="AT88" s="1851"/>
      <c r="AU88" s="1851"/>
      <c r="AV88" s="1851"/>
      <c r="AW88" s="1851"/>
      <c r="AX88" s="1851"/>
      <c r="AY88" s="1851"/>
      <c r="AZ88" s="1851"/>
      <c r="BA88" s="1851"/>
      <c r="BB88" s="1851"/>
    </row>
    <row r="89" spans="1:54" x14ac:dyDescent="0.25">
      <c r="A89" s="1851">
        <v>85</v>
      </c>
      <c r="B89" s="1851"/>
      <c r="C89" s="1867" t="s">
        <v>921</v>
      </c>
      <c r="D89" s="1867"/>
      <c r="E89" s="1867"/>
      <c r="F89" s="1867"/>
      <c r="G89" s="1867"/>
      <c r="H89" s="1867"/>
      <c r="I89" s="1867"/>
      <c r="J89" s="1867"/>
      <c r="K89" s="1867"/>
      <c r="L89" s="1867"/>
      <c r="M89" s="1867"/>
      <c r="N89" s="1867"/>
      <c r="O89" s="1867"/>
      <c r="P89" s="1867"/>
      <c r="Q89" s="1867"/>
      <c r="R89" s="1867"/>
      <c r="S89" s="1867"/>
      <c r="T89" s="1867"/>
      <c r="U89" s="1867"/>
      <c r="V89" s="1865" t="s">
        <v>919</v>
      </c>
      <c r="W89" s="1865"/>
      <c r="X89" s="1865"/>
      <c r="Y89" s="1851"/>
      <c r="Z89" s="1851"/>
      <c r="AA89" s="1851"/>
      <c r="AB89" s="1851"/>
      <c r="AC89" s="1851"/>
      <c r="AD89" s="1851"/>
      <c r="AE89" s="1851"/>
      <c r="AF89" s="1851"/>
      <c r="AG89" s="1851"/>
      <c r="AH89" s="1851"/>
      <c r="AI89" s="1851"/>
      <c r="AJ89" s="1851"/>
      <c r="AK89" s="1851"/>
      <c r="AL89" s="1851"/>
      <c r="AM89" s="1851"/>
      <c r="AN89" s="1851"/>
      <c r="AO89" s="1851"/>
      <c r="AP89" s="1851"/>
      <c r="AQ89" s="1851"/>
      <c r="AR89" s="1851"/>
      <c r="AS89" s="1851"/>
      <c r="AT89" s="1851"/>
      <c r="AU89" s="1851"/>
      <c r="AV89" s="1851"/>
      <c r="AW89" s="1851"/>
      <c r="AX89" s="1851"/>
      <c r="AY89" s="1851"/>
      <c r="AZ89" s="1851"/>
      <c r="BA89" s="1851"/>
      <c r="BB89" s="1851"/>
    </row>
    <row r="90" spans="1:54" x14ac:dyDescent="0.25">
      <c r="A90" s="1851">
        <v>86</v>
      </c>
      <c r="B90" s="1851"/>
      <c r="C90" s="1867" t="s">
        <v>922</v>
      </c>
      <c r="D90" s="1867"/>
      <c r="E90" s="1867"/>
      <c r="F90" s="1867"/>
      <c r="G90" s="1867"/>
      <c r="H90" s="1867"/>
      <c r="I90" s="1867"/>
      <c r="J90" s="1867"/>
      <c r="K90" s="1867"/>
      <c r="L90" s="1867"/>
      <c r="M90" s="1867"/>
      <c r="N90" s="1867"/>
      <c r="O90" s="1867"/>
      <c r="P90" s="1867"/>
      <c r="Q90" s="1867"/>
      <c r="R90" s="1867"/>
      <c r="S90" s="1867"/>
      <c r="T90" s="1867"/>
      <c r="U90" s="1867"/>
      <c r="V90" s="1865" t="s">
        <v>919</v>
      </c>
      <c r="W90" s="1865"/>
      <c r="X90" s="1865"/>
      <c r="Y90" s="1851"/>
      <c r="Z90" s="1851"/>
      <c r="AA90" s="1851"/>
      <c r="AB90" s="1851"/>
      <c r="AC90" s="1851"/>
      <c r="AD90" s="1851"/>
      <c r="AE90" s="1851"/>
      <c r="AF90" s="1851"/>
      <c r="AG90" s="1851"/>
      <c r="AH90" s="1851"/>
      <c r="AI90" s="1851"/>
      <c r="AJ90" s="1851"/>
      <c r="AK90" s="1851"/>
      <c r="AL90" s="1851"/>
      <c r="AM90" s="1851"/>
      <c r="AN90" s="1851"/>
      <c r="AO90" s="1851"/>
      <c r="AP90" s="1851"/>
      <c r="AQ90" s="1851"/>
      <c r="AR90" s="1851"/>
      <c r="AS90" s="1851"/>
      <c r="AT90" s="1851"/>
      <c r="AU90" s="1851"/>
      <c r="AV90" s="1851"/>
      <c r="AW90" s="1851"/>
      <c r="AX90" s="1851"/>
      <c r="AY90" s="1851"/>
      <c r="AZ90" s="1851"/>
      <c r="BA90" s="1851"/>
      <c r="BB90" s="1851"/>
    </row>
    <row r="91" spans="1:54" x14ac:dyDescent="0.25">
      <c r="A91" s="1851">
        <v>87</v>
      </c>
      <c r="B91" s="1851"/>
      <c r="C91" s="1867" t="s">
        <v>923</v>
      </c>
      <c r="D91" s="1867"/>
      <c r="E91" s="1867"/>
      <c r="F91" s="1867"/>
      <c r="G91" s="1867"/>
      <c r="H91" s="1867"/>
      <c r="I91" s="1867"/>
      <c r="J91" s="1867"/>
      <c r="K91" s="1867"/>
      <c r="L91" s="1867"/>
      <c r="M91" s="1867"/>
      <c r="N91" s="1867"/>
      <c r="O91" s="1867"/>
      <c r="P91" s="1867"/>
      <c r="Q91" s="1867"/>
      <c r="R91" s="1867"/>
      <c r="S91" s="1867"/>
      <c r="T91" s="1867"/>
      <c r="U91" s="1867"/>
      <c r="V91" s="1865" t="s">
        <v>919</v>
      </c>
      <c r="W91" s="1865"/>
      <c r="X91" s="1865"/>
      <c r="Y91" s="1851"/>
      <c r="Z91" s="1851"/>
      <c r="AA91" s="1851"/>
      <c r="AB91" s="1851"/>
      <c r="AC91" s="1851"/>
      <c r="AD91" s="1851"/>
      <c r="AE91" s="1851"/>
      <c r="AF91" s="1851"/>
      <c r="AG91" s="1851"/>
      <c r="AH91" s="1851"/>
      <c r="AI91" s="1851"/>
      <c r="AJ91" s="1851"/>
      <c r="AK91" s="1851"/>
      <c r="AL91" s="1851"/>
      <c r="AM91" s="1851"/>
      <c r="AN91" s="1851"/>
      <c r="AO91" s="1851"/>
      <c r="AP91" s="1851"/>
      <c r="AQ91" s="1851"/>
      <c r="AR91" s="1851"/>
      <c r="AS91" s="1851"/>
      <c r="AT91" s="1851"/>
      <c r="AU91" s="1851"/>
      <c r="AV91" s="1851"/>
      <c r="AW91" s="1851"/>
      <c r="AX91" s="1851"/>
      <c r="AY91" s="1851"/>
      <c r="AZ91" s="1851"/>
      <c r="BA91" s="1851"/>
      <c r="BB91" s="1851"/>
    </row>
    <row r="92" spans="1:54" x14ac:dyDescent="0.25">
      <c r="A92" s="1851">
        <v>88</v>
      </c>
      <c r="B92" s="1851"/>
      <c r="C92" s="1867" t="s">
        <v>924</v>
      </c>
      <c r="D92" s="1867"/>
      <c r="E92" s="1867"/>
      <c r="F92" s="1867"/>
      <c r="G92" s="1867"/>
      <c r="H92" s="1867"/>
      <c r="I92" s="1867"/>
      <c r="J92" s="1867"/>
      <c r="K92" s="1867"/>
      <c r="L92" s="1867"/>
      <c r="M92" s="1867"/>
      <c r="N92" s="1867"/>
      <c r="O92" s="1867"/>
      <c r="P92" s="1867"/>
      <c r="Q92" s="1867"/>
      <c r="R92" s="1867"/>
      <c r="S92" s="1867"/>
      <c r="T92" s="1867"/>
      <c r="U92" s="1867"/>
      <c r="V92" s="1865" t="s">
        <v>919</v>
      </c>
      <c r="W92" s="1865"/>
      <c r="X92" s="1865"/>
      <c r="Y92" s="1851"/>
      <c r="Z92" s="1851"/>
      <c r="AA92" s="1851"/>
      <c r="AB92" s="1851"/>
      <c r="AC92" s="1851"/>
      <c r="AD92" s="1851"/>
      <c r="AE92" s="1851"/>
      <c r="AF92" s="1851"/>
      <c r="AG92" s="1851"/>
      <c r="AH92" s="1851"/>
      <c r="AI92" s="1851"/>
      <c r="AJ92" s="1851"/>
      <c r="AK92" s="1851"/>
      <c r="AL92" s="1851"/>
      <c r="AM92" s="1851"/>
      <c r="AN92" s="1851"/>
      <c r="AO92" s="1851"/>
      <c r="AP92" s="1851"/>
      <c r="AQ92" s="1851"/>
      <c r="AR92" s="1851"/>
      <c r="AS92" s="1851"/>
      <c r="AT92" s="1851"/>
      <c r="AU92" s="1851"/>
      <c r="AV92" s="1851"/>
      <c r="AW92" s="1851"/>
      <c r="AX92" s="1851"/>
      <c r="AY92" s="1851"/>
      <c r="AZ92" s="1851"/>
      <c r="BA92" s="1851"/>
      <c r="BB92" s="1851"/>
    </row>
    <row r="93" spans="1:54" x14ac:dyDescent="0.25">
      <c r="A93" s="1851">
        <v>89</v>
      </c>
      <c r="B93" s="1851"/>
      <c r="C93" s="1867" t="s">
        <v>925</v>
      </c>
      <c r="D93" s="1867"/>
      <c r="E93" s="1867"/>
      <c r="F93" s="1867"/>
      <c r="G93" s="1867"/>
      <c r="H93" s="1867"/>
      <c r="I93" s="1867"/>
      <c r="J93" s="1867"/>
      <c r="K93" s="1867"/>
      <c r="L93" s="1867"/>
      <c r="M93" s="1867"/>
      <c r="N93" s="1867"/>
      <c r="O93" s="1867"/>
      <c r="P93" s="1867"/>
      <c r="Q93" s="1867"/>
      <c r="R93" s="1867"/>
      <c r="S93" s="1867"/>
      <c r="T93" s="1867"/>
      <c r="U93" s="1867"/>
      <c r="V93" s="1865" t="s">
        <v>919</v>
      </c>
      <c r="W93" s="1865"/>
      <c r="X93" s="1865"/>
      <c r="Y93" s="1851"/>
      <c r="Z93" s="1851"/>
      <c r="AA93" s="1851"/>
      <c r="AB93" s="1851"/>
      <c r="AC93" s="1851"/>
      <c r="AD93" s="1851"/>
      <c r="AE93" s="1851"/>
      <c r="AF93" s="1851"/>
      <c r="AG93" s="1851"/>
      <c r="AH93" s="1851"/>
      <c r="AI93" s="1851"/>
      <c r="AJ93" s="1851"/>
      <c r="AK93" s="1851"/>
      <c r="AL93" s="1851"/>
      <c r="AM93" s="1851"/>
      <c r="AN93" s="1851"/>
      <c r="AO93" s="1851"/>
      <c r="AP93" s="1851"/>
      <c r="AQ93" s="1851"/>
      <c r="AR93" s="1851"/>
      <c r="AS93" s="1851"/>
      <c r="AT93" s="1851"/>
      <c r="AU93" s="1851"/>
      <c r="AV93" s="1851"/>
      <c r="AW93" s="1851"/>
      <c r="AX93" s="1851"/>
      <c r="AY93" s="1851"/>
      <c r="AZ93" s="1851"/>
      <c r="BA93" s="1851"/>
      <c r="BB93" s="1851"/>
    </row>
    <row r="94" spans="1:54" x14ac:dyDescent="0.25">
      <c r="A94" s="1851">
        <v>90</v>
      </c>
      <c r="B94" s="1851"/>
      <c r="C94" s="1867" t="s">
        <v>926</v>
      </c>
      <c r="D94" s="1867"/>
      <c r="E94" s="1867"/>
      <c r="F94" s="1867"/>
      <c r="G94" s="1867"/>
      <c r="H94" s="1867"/>
      <c r="I94" s="1867"/>
      <c r="J94" s="1867"/>
      <c r="K94" s="1867"/>
      <c r="L94" s="1867"/>
      <c r="M94" s="1867"/>
      <c r="N94" s="1867"/>
      <c r="O94" s="1867"/>
      <c r="P94" s="1867"/>
      <c r="Q94" s="1867"/>
      <c r="R94" s="1867"/>
      <c r="S94" s="1867"/>
      <c r="T94" s="1867"/>
      <c r="U94" s="1867"/>
      <c r="V94" s="1865" t="s">
        <v>919</v>
      </c>
      <c r="W94" s="1865"/>
      <c r="X94" s="1865"/>
      <c r="Y94" s="1851"/>
      <c r="Z94" s="1851"/>
      <c r="AA94" s="1851"/>
      <c r="AB94" s="1851"/>
      <c r="AC94" s="1851"/>
      <c r="AD94" s="1851"/>
      <c r="AE94" s="1851"/>
      <c r="AF94" s="1851"/>
      <c r="AG94" s="1851"/>
      <c r="AH94" s="1851"/>
      <c r="AI94" s="1851"/>
      <c r="AJ94" s="1851"/>
      <c r="AK94" s="1851"/>
      <c r="AL94" s="1851"/>
      <c r="AM94" s="1851"/>
      <c r="AN94" s="1851"/>
      <c r="AO94" s="1851"/>
      <c r="AP94" s="1851"/>
      <c r="AQ94" s="1851"/>
      <c r="AR94" s="1851"/>
      <c r="AS94" s="1851"/>
      <c r="AT94" s="1851"/>
      <c r="AU94" s="1851"/>
      <c r="AV94" s="1851"/>
      <c r="AW94" s="1851"/>
      <c r="AX94" s="1851"/>
      <c r="AY94" s="1851"/>
      <c r="AZ94" s="1851"/>
      <c r="BA94" s="1851"/>
      <c r="BB94" s="1851"/>
    </row>
    <row r="95" spans="1:54" x14ac:dyDescent="0.25">
      <c r="A95" s="1851">
        <v>91</v>
      </c>
      <c r="B95" s="1851"/>
      <c r="C95" s="1867" t="s">
        <v>927</v>
      </c>
      <c r="D95" s="1867"/>
      <c r="E95" s="1867"/>
      <c r="F95" s="1867"/>
      <c r="G95" s="1867"/>
      <c r="H95" s="1867"/>
      <c r="I95" s="1867"/>
      <c r="J95" s="1867"/>
      <c r="K95" s="1867"/>
      <c r="L95" s="1867"/>
      <c r="M95" s="1867"/>
      <c r="N95" s="1867"/>
      <c r="O95" s="1867"/>
      <c r="P95" s="1867"/>
      <c r="Q95" s="1867"/>
      <c r="R95" s="1867"/>
      <c r="S95" s="1867"/>
      <c r="T95" s="1867"/>
      <c r="U95" s="1867"/>
      <c r="V95" s="1865" t="s">
        <v>919</v>
      </c>
      <c r="W95" s="1865"/>
      <c r="X95" s="1865"/>
      <c r="Y95" s="1851"/>
      <c r="Z95" s="1851"/>
      <c r="AA95" s="1851"/>
      <c r="AB95" s="1851"/>
      <c r="AC95" s="1851"/>
      <c r="AD95" s="1851"/>
      <c r="AE95" s="1851"/>
      <c r="AF95" s="1851"/>
      <c r="AG95" s="1851"/>
      <c r="AH95" s="1851"/>
      <c r="AI95" s="1851"/>
      <c r="AJ95" s="1851"/>
      <c r="AK95" s="1851"/>
      <c r="AL95" s="1851"/>
      <c r="AM95" s="1851"/>
      <c r="AN95" s="1851"/>
      <c r="AO95" s="1851"/>
      <c r="AP95" s="1851"/>
      <c r="AQ95" s="1851"/>
      <c r="AR95" s="1851"/>
      <c r="AS95" s="1851"/>
      <c r="AT95" s="1851"/>
      <c r="AU95" s="1851"/>
      <c r="AV95" s="1851"/>
      <c r="AW95" s="1851"/>
      <c r="AX95" s="1851"/>
      <c r="AY95" s="1851"/>
      <c r="AZ95" s="1851"/>
      <c r="BA95" s="1851"/>
      <c r="BB95" s="1851"/>
    </row>
    <row r="96" spans="1:54" x14ac:dyDescent="0.25">
      <c r="A96" s="1851">
        <v>92</v>
      </c>
      <c r="B96" s="1851"/>
      <c r="C96" s="1867" t="s">
        <v>928</v>
      </c>
      <c r="D96" s="1867"/>
      <c r="E96" s="1867"/>
      <c r="F96" s="1867"/>
      <c r="G96" s="1867"/>
      <c r="H96" s="1867"/>
      <c r="I96" s="1867"/>
      <c r="J96" s="1867"/>
      <c r="K96" s="1867"/>
      <c r="L96" s="1867"/>
      <c r="M96" s="1867"/>
      <c r="N96" s="1867"/>
      <c r="O96" s="1867"/>
      <c r="P96" s="1867"/>
      <c r="Q96" s="1867"/>
      <c r="R96" s="1867"/>
      <c r="S96" s="1867"/>
      <c r="T96" s="1867"/>
      <c r="U96" s="1867"/>
      <c r="V96" s="1865" t="s">
        <v>919</v>
      </c>
      <c r="W96" s="1865"/>
      <c r="X96" s="1865"/>
      <c r="Y96" s="1851"/>
      <c r="Z96" s="1851"/>
      <c r="AA96" s="1851"/>
      <c r="AB96" s="1851"/>
      <c r="AC96" s="1851"/>
      <c r="AD96" s="1851"/>
      <c r="AE96" s="1851"/>
      <c r="AF96" s="1851"/>
      <c r="AG96" s="1851"/>
      <c r="AH96" s="1851"/>
      <c r="AI96" s="1851"/>
      <c r="AJ96" s="1851"/>
      <c r="AK96" s="1851"/>
      <c r="AL96" s="1851"/>
      <c r="AM96" s="1851"/>
      <c r="AN96" s="1851"/>
      <c r="AO96" s="1851"/>
      <c r="AP96" s="1851"/>
      <c r="AQ96" s="1851"/>
      <c r="AR96" s="1851"/>
      <c r="AS96" s="1851"/>
      <c r="AT96" s="1851"/>
      <c r="AU96" s="1851"/>
      <c r="AV96" s="1851"/>
      <c r="AW96" s="1851"/>
      <c r="AX96" s="1851"/>
      <c r="AY96" s="1851"/>
      <c r="AZ96" s="1851"/>
      <c r="BA96" s="1851"/>
      <c r="BB96" s="1851"/>
    </row>
    <row r="97" spans="1:54" x14ac:dyDescent="0.25">
      <c r="A97" s="1851">
        <v>93</v>
      </c>
      <c r="B97" s="1851"/>
      <c r="C97" s="1867" t="s">
        <v>929</v>
      </c>
      <c r="D97" s="1867"/>
      <c r="E97" s="1867"/>
      <c r="F97" s="1867"/>
      <c r="G97" s="1867"/>
      <c r="H97" s="1867"/>
      <c r="I97" s="1867"/>
      <c r="J97" s="1867"/>
      <c r="K97" s="1867"/>
      <c r="L97" s="1867"/>
      <c r="M97" s="1867"/>
      <c r="N97" s="1867"/>
      <c r="O97" s="1867"/>
      <c r="P97" s="1867"/>
      <c r="Q97" s="1867"/>
      <c r="R97" s="1867"/>
      <c r="S97" s="1867"/>
      <c r="T97" s="1867"/>
      <c r="U97" s="1867"/>
      <c r="V97" s="1870" t="s">
        <v>930</v>
      </c>
      <c r="W97" s="1870"/>
      <c r="X97" s="1870"/>
      <c r="Y97" s="1857"/>
      <c r="Z97" s="1858"/>
      <c r="AA97" s="1858"/>
      <c r="AB97" s="1858"/>
      <c r="AC97" s="1859"/>
      <c r="AD97" s="1859"/>
      <c r="AE97" s="1857"/>
      <c r="AF97" s="1858"/>
      <c r="AG97" s="1858"/>
      <c r="AH97" s="1858"/>
      <c r="AI97" s="1859"/>
      <c r="AJ97" s="1859"/>
      <c r="AK97" s="1857"/>
      <c r="AL97" s="1858"/>
      <c r="AM97" s="1858"/>
      <c r="AN97" s="1858"/>
      <c r="AO97" s="1859"/>
      <c r="AP97" s="1859"/>
      <c r="AQ97" s="1857"/>
      <c r="AR97" s="1858"/>
      <c r="AS97" s="1858"/>
      <c r="AT97" s="1858"/>
      <c r="AU97" s="1859"/>
      <c r="AV97" s="1859"/>
      <c r="AW97" s="1857"/>
      <c r="AX97" s="1858"/>
      <c r="AY97" s="1858"/>
      <c r="AZ97" s="1858"/>
      <c r="BA97" s="1859"/>
      <c r="BB97" s="1859"/>
    </row>
    <row r="98" spans="1:54" x14ac:dyDescent="0.25">
      <c r="A98" s="1851">
        <v>94</v>
      </c>
      <c r="B98" s="1851"/>
      <c r="C98" s="1867" t="s">
        <v>931</v>
      </c>
      <c r="D98" s="1867"/>
      <c r="E98" s="1867"/>
      <c r="F98" s="1867"/>
      <c r="G98" s="1867"/>
      <c r="H98" s="1867"/>
      <c r="I98" s="1867"/>
      <c r="J98" s="1867"/>
      <c r="K98" s="1867"/>
      <c r="L98" s="1867"/>
      <c r="M98" s="1867"/>
      <c r="N98" s="1867"/>
      <c r="O98" s="1867"/>
      <c r="P98" s="1867"/>
      <c r="Q98" s="1867"/>
      <c r="R98" s="1867"/>
      <c r="S98" s="1867"/>
      <c r="T98" s="1867"/>
      <c r="U98" s="1867"/>
      <c r="V98" s="1865" t="s">
        <v>930</v>
      </c>
      <c r="W98" s="1865"/>
      <c r="X98" s="1865"/>
      <c r="Y98" s="1851"/>
      <c r="Z98" s="1851"/>
      <c r="AA98" s="1851"/>
      <c r="AB98" s="1851"/>
      <c r="AC98" s="1851"/>
      <c r="AD98" s="1851"/>
      <c r="AE98" s="1851"/>
      <c r="AF98" s="1851"/>
      <c r="AG98" s="1851"/>
      <c r="AH98" s="1851"/>
      <c r="AI98" s="1851"/>
      <c r="AJ98" s="1851"/>
      <c r="AK98" s="1851"/>
      <c r="AL98" s="1851"/>
      <c r="AM98" s="1851"/>
      <c r="AN98" s="1851"/>
      <c r="AO98" s="1851"/>
      <c r="AP98" s="1851"/>
      <c r="AQ98" s="1851"/>
      <c r="AR98" s="1851"/>
      <c r="AS98" s="1851"/>
      <c r="AT98" s="1851"/>
      <c r="AU98" s="1851"/>
      <c r="AV98" s="1851"/>
      <c r="AW98" s="1851"/>
      <c r="AX98" s="1851"/>
      <c r="AY98" s="1851"/>
      <c r="AZ98" s="1851"/>
      <c r="BA98" s="1851"/>
      <c r="BB98" s="1851"/>
    </row>
    <row r="99" spans="1:54" x14ac:dyDescent="0.25">
      <c r="A99" s="1851">
        <v>95</v>
      </c>
      <c r="B99" s="1851"/>
      <c r="C99" s="1867" t="s">
        <v>932</v>
      </c>
      <c r="D99" s="1867"/>
      <c r="E99" s="1867"/>
      <c r="F99" s="1867"/>
      <c r="G99" s="1867"/>
      <c r="H99" s="1867"/>
      <c r="I99" s="1867"/>
      <c r="J99" s="1867"/>
      <c r="K99" s="1867"/>
      <c r="L99" s="1867"/>
      <c r="M99" s="1867"/>
      <c r="N99" s="1867"/>
      <c r="O99" s="1867"/>
      <c r="P99" s="1867"/>
      <c r="Q99" s="1867"/>
      <c r="R99" s="1867"/>
      <c r="S99" s="1867"/>
      <c r="T99" s="1867"/>
      <c r="U99" s="1867"/>
      <c r="V99" s="1865" t="s">
        <v>930</v>
      </c>
      <c r="W99" s="1865"/>
      <c r="X99" s="1865"/>
      <c r="Y99" s="1851"/>
      <c r="Z99" s="1851"/>
      <c r="AA99" s="1851"/>
      <c r="AB99" s="1851"/>
      <c r="AC99" s="1851"/>
      <c r="AD99" s="1851"/>
      <c r="AE99" s="1851"/>
      <c r="AF99" s="1851"/>
      <c r="AG99" s="1851"/>
      <c r="AH99" s="1851"/>
      <c r="AI99" s="1851"/>
      <c r="AJ99" s="1851"/>
      <c r="AK99" s="1851"/>
      <c r="AL99" s="1851"/>
      <c r="AM99" s="1851"/>
      <c r="AN99" s="1851"/>
      <c r="AO99" s="1851"/>
      <c r="AP99" s="1851"/>
      <c r="AQ99" s="1851"/>
      <c r="AR99" s="1851"/>
      <c r="AS99" s="1851"/>
      <c r="AT99" s="1851"/>
      <c r="AU99" s="1851"/>
      <c r="AV99" s="1851"/>
      <c r="AW99" s="1851"/>
      <c r="AX99" s="1851"/>
      <c r="AY99" s="1851"/>
      <c r="AZ99" s="1851"/>
      <c r="BA99" s="1851"/>
      <c r="BB99" s="1851"/>
    </row>
    <row r="100" spans="1:54" x14ac:dyDescent="0.25">
      <c r="A100" s="1851">
        <v>96</v>
      </c>
      <c r="B100" s="1851"/>
      <c r="C100" s="1868" t="s">
        <v>933</v>
      </c>
      <c r="D100" s="1868"/>
      <c r="E100" s="1868"/>
      <c r="F100" s="1868"/>
      <c r="G100" s="1868"/>
      <c r="H100" s="1868"/>
      <c r="I100" s="1868"/>
      <c r="J100" s="1868"/>
      <c r="K100" s="1868"/>
      <c r="L100" s="1868"/>
      <c r="M100" s="1868"/>
      <c r="N100" s="1868"/>
      <c r="O100" s="1868"/>
      <c r="P100" s="1868"/>
      <c r="Q100" s="1868"/>
      <c r="R100" s="1868"/>
      <c r="S100" s="1868"/>
      <c r="T100" s="1868"/>
      <c r="U100" s="1868"/>
      <c r="V100" s="1865" t="s">
        <v>930</v>
      </c>
      <c r="W100" s="1865"/>
      <c r="X100" s="1865"/>
      <c r="Y100" s="1851"/>
      <c r="Z100" s="1851"/>
      <c r="AA100" s="1851"/>
      <c r="AB100" s="1851"/>
      <c r="AC100" s="1851"/>
      <c r="AD100" s="1851"/>
      <c r="AE100" s="1851"/>
      <c r="AF100" s="1851"/>
      <c r="AG100" s="1851"/>
      <c r="AH100" s="1851"/>
      <c r="AI100" s="1851"/>
      <c r="AJ100" s="1851"/>
      <c r="AK100" s="1851"/>
      <c r="AL100" s="1851"/>
      <c r="AM100" s="1851"/>
      <c r="AN100" s="1851"/>
      <c r="AO100" s="1851"/>
      <c r="AP100" s="1851"/>
      <c r="AQ100" s="1851"/>
      <c r="AR100" s="1851"/>
      <c r="AS100" s="1851"/>
      <c r="AT100" s="1851"/>
      <c r="AU100" s="1851"/>
      <c r="AV100" s="1851"/>
      <c r="AW100" s="1851"/>
      <c r="AX100" s="1851"/>
      <c r="AY100" s="1851"/>
      <c r="AZ100" s="1851"/>
      <c r="BA100" s="1851"/>
      <c r="BB100" s="1851"/>
    </row>
    <row r="101" spans="1:54" x14ac:dyDescent="0.25">
      <c r="A101" s="1851">
        <v>97</v>
      </c>
      <c r="B101" s="1851"/>
      <c r="C101" s="1868" t="s">
        <v>934</v>
      </c>
      <c r="D101" s="1868"/>
      <c r="E101" s="1868"/>
      <c r="F101" s="1868"/>
      <c r="G101" s="1868"/>
      <c r="H101" s="1868"/>
      <c r="I101" s="1868"/>
      <c r="J101" s="1868"/>
      <c r="K101" s="1868"/>
      <c r="L101" s="1868"/>
      <c r="M101" s="1868"/>
      <c r="N101" s="1868"/>
      <c r="O101" s="1868"/>
      <c r="P101" s="1868"/>
      <c r="Q101" s="1868"/>
      <c r="R101" s="1868"/>
      <c r="S101" s="1868"/>
      <c r="T101" s="1868"/>
      <c r="U101" s="1868"/>
      <c r="V101" s="1865" t="s">
        <v>930</v>
      </c>
      <c r="W101" s="1865"/>
      <c r="X101" s="1865"/>
      <c r="Y101" s="1851"/>
      <c r="Z101" s="1851"/>
      <c r="AA101" s="1851"/>
      <c r="AB101" s="1851"/>
      <c r="AC101" s="1851"/>
      <c r="AD101" s="1851"/>
      <c r="AE101" s="1851"/>
      <c r="AF101" s="1851"/>
      <c r="AG101" s="1851"/>
      <c r="AH101" s="1851"/>
      <c r="AI101" s="1851"/>
      <c r="AJ101" s="1851"/>
      <c r="AK101" s="1851"/>
      <c r="AL101" s="1851"/>
      <c r="AM101" s="1851"/>
      <c r="AN101" s="1851"/>
      <c r="AO101" s="1851"/>
      <c r="AP101" s="1851"/>
      <c r="AQ101" s="1851"/>
      <c r="AR101" s="1851"/>
      <c r="AS101" s="1851"/>
      <c r="AT101" s="1851"/>
      <c r="AU101" s="1851"/>
      <c r="AV101" s="1851"/>
      <c r="AW101" s="1851"/>
      <c r="AX101" s="1851"/>
      <c r="AY101" s="1851"/>
      <c r="AZ101" s="1851"/>
      <c r="BA101" s="1851"/>
      <c r="BB101" s="1851"/>
    </row>
    <row r="102" spans="1:54" x14ac:dyDescent="0.25">
      <c r="A102" s="1851">
        <v>98</v>
      </c>
      <c r="B102" s="1851"/>
      <c r="C102" s="1868" t="s">
        <v>935</v>
      </c>
      <c r="D102" s="1868"/>
      <c r="E102" s="1868"/>
      <c r="F102" s="1868"/>
      <c r="G102" s="1868"/>
      <c r="H102" s="1868"/>
      <c r="I102" s="1868"/>
      <c r="J102" s="1868"/>
      <c r="K102" s="1868"/>
      <c r="L102" s="1868"/>
      <c r="M102" s="1868"/>
      <c r="N102" s="1868"/>
      <c r="O102" s="1868"/>
      <c r="P102" s="1868"/>
      <c r="Q102" s="1868"/>
      <c r="R102" s="1868"/>
      <c r="S102" s="1868"/>
      <c r="T102" s="1868"/>
      <c r="U102" s="1868"/>
      <c r="V102" s="1865" t="s">
        <v>930</v>
      </c>
      <c r="W102" s="1865"/>
      <c r="X102" s="1865"/>
      <c r="Y102" s="1851"/>
      <c r="Z102" s="1851"/>
      <c r="AA102" s="1851"/>
      <c r="AB102" s="1851"/>
      <c r="AC102" s="1851"/>
      <c r="AD102" s="1851"/>
      <c r="AE102" s="1851"/>
      <c r="AF102" s="1851"/>
      <c r="AG102" s="1851"/>
      <c r="AH102" s="1851"/>
      <c r="AI102" s="1851"/>
      <c r="AJ102" s="1851"/>
      <c r="AK102" s="1851"/>
      <c r="AL102" s="1851"/>
      <c r="AM102" s="1851"/>
      <c r="AN102" s="1851"/>
      <c r="AO102" s="1851"/>
      <c r="AP102" s="1851"/>
      <c r="AQ102" s="1851"/>
      <c r="AR102" s="1851"/>
      <c r="AS102" s="1851"/>
      <c r="AT102" s="1851"/>
      <c r="AU102" s="1851"/>
      <c r="AV102" s="1851"/>
      <c r="AW102" s="1851"/>
      <c r="AX102" s="1851"/>
      <c r="AY102" s="1851"/>
      <c r="AZ102" s="1851"/>
      <c r="BA102" s="1851"/>
      <c r="BB102" s="1851"/>
    </row>
    <row r="103" spans="1:54" x14ac:dyDescent="0.25">
      <c r="A103" s="1851">
        <v>99</v>
      </c>
      <c r="B103" s="1851"/>
      <c r="C103" s="1871" t="s">
        <v>936</v>
      </c>
      <c r="D103" s="1871"/>
      <c r="E103" s="1871"/>
      <c r="F103" s="1871"/>
      <c r="G103" s="1871"/>
      <c r="H103" s="1871"/>
      <c r="I103" s="1871"/>
      <c r="J103" s="1871"/>
      <c r="K103" s="1871"/>
      <c r="L103" s="1871"/>
      <c r="M103" s="1871"/>
      <c r="N103" s="1871"/>
      <c r="O103" s="1871"/>
      <c r="P103" s="1871"/>
      <c r="Q103" s="1871"/>
      <c r="R103" s="1871"/>
      <c r="S103" s="1871"/>
      <c r="T103" s="1871"/>
      <c r="U103" s="1871"/>
      <c r="V103" s="1865" t="s">
        <v>930</v>
      </c>
      <c r="W103" s="1865"/>
      <c r="X103" s="1865"/>
      <c r="Y103" s="1851"/>
      <c r="Z103" s="1851"/>
      <c r="AA103" s="1851"/>
      <c r="AB103" s="1851"/>
      <c r="AC103" s="1851"/>
      <c r="AD103" s="1851"/>
      <c r="AE103" s="1851"/>
      <c r="AF103" s="1851"/>
      <c r="AG103" s="1851"/>
      <c r="AH103" s="1851"/>
      <c r="AI103" s="1851"/>
      <c r="AJ103" s="1851"/>
      <c r="AK103" s="1851"/>
      <c r="AL103" s="1851"/>
      <c r="AM103" s="1851"/>
      <c r="AN103" s="1851"/>
      <c r="AO103" s="1851"/>
      <c r="AP103" s="1851"/>
      <c r="AQ103" s="1851"/>
      <c r="AR103" s="1851"/>
      <c r="AS103" s="1851"/>
      <c r="AT103" s="1851"/>
      <c r="AU103" s="1851"/>
      <c r="AV103" s="1851"/>
      <c r="AW103" s="1851"/>
      <c r="AX103" s="1851"/>
      <c r="AY103" s="1851"/>
      <c r="AZ103" s="1851"/>
      <c r="BA103" s="1851"/>
      <c r="BB103" s="1851"/>
    </row>
    <row r="104" spans="1:54" x14ac:dyDescent="0.25">
      <c r="A104" s="1851">
        <v>100</v>
      </c>
      <c r="B104" s="1851"/>
      <c r="C104" s="1867" t="s">
        <v>937</v>
      </c>
      <c r="D104" s="1867"/>
      <c r="E104" s="1867"/>
      <c r="F104" s="1867"/>
      <c r="G104" s="1867"/>
      <c r="H104" s="1867"/>
      <c r="I104" s="1867"/>
      <c r="J104" s="1867"/>
      <c r="K104" s="1867"/>
      <c r="L104" s="1867"/>
      <c r="M104" s="1867"/>
      <c r="N104" s="1867"/>
      <c r="O104" s="1867"/>
      <c r="P104" s="1867"/>
      <c r="Q104" s="1867"/>
      <c r="R104" s="1867"/>
      <c r="S104" s="1867"/>
      <c r="T104" s="1867"/>
      <c r="U104" s="1867"/>
      <c r="V104" s="1865" t="s">
        <v>938</v>
      </c>
      <c r="W104" s="1865"/>
      <c r="X104" s="1865"/>
      <c r="Y104" s="1851"/>
      <c r="Z104" s="1851"/>
      <c r="AA104" s="1851"/>
      <c r="AB104" s="1851"/>
      <c r="AC104" s="1851"/>
      <c r="AD104" s="1851"/>
      <c r="AE104" s="1851"/>
      <c r="AF104" s="1851"/>
      <c r="AG104" s="1851"/>
      <c r="AH104" s="1851"/>
      <c r="AI104" s="1851"/>
      <c r="AJ104" s="1851"/>
      <c r="AK104" s="1851"/>
      <c r="AL104" s="1851"/>
      <c r="AM104" s="1851"/>
      <c r="AN104" s="1851"/>
      <c r="AO104" s="1851"/>
      <c r="AP104" s="1851"/>
      <c r="AQ104" s="1851"/>
      <c r="AR104" s="1851"/>
      <c r="AS104" s="1851"/>
      <c r="AT104" s="1851"/>
      <c r="AU104" s="1851"/>
      <c r="AV104" s="1851"/>
      <c r="AW104" s="1851"/>
      <c r="AX104" s="1851"/>
      <c r="AY104" s="1851"/>
      <c r="AZ104" s="1851"/>
      <c r="BA104" s="1851"/>
      <c r="BB104" s="1851"/>
    </row>
    <row r="105" spans="1:54" x14ac:dyDescent="0.25">
      <c r="A105" s="1851">
        <v>101</v>
      </c>
      <c r="B105" s="1851"/>
      <c r="C105" s="1867" t="s">
        <v>939</v>
      </c>
      <c r="D105" s="1867"/>
      <c r="E105" s="1867"/>
      <c r="F105" s="1867"/>
      <c r="G105" s="1867"/>
      <c r="H105" s="1867"/>
      <c r="I105" s="1867"/>
      <c r="J105" s="1867"/>
      <c r="K105" s="1867"/>
      <c r="L105" s="1867"/>
      <c r="M105" s="1867"/>
      <c r="N105" s="1867"/>
      <c r="O105" s="1867"/>
      <c r="P105" s="1867"/>
      <c r="Q105" s="1867"/>
      <c r="R105" s="1867"/>
      <c r="S105" s="1867"/>
      <c r="T105" s="1867"/>
      <c r="U105" s="1867"/>
      <c r="V105" s="1865" t="s">
        <v>938</v>
      </c>
      <c r="W105" s="1865"/>
      <c r="X105" s="1865"/>
      <c r="Y105" s="1851"/>
      <c r="Z105" s="1851"/>
      <c r="AA105" s="1851"/>
      <c r="AB105" s="1851"/>
      <c r="AC105" s="1851"/>
      <c r="AD105" s="1851"/>
      <c r="AE105" s="1851"/>
      <c r="AF105" s="1851"/>
      <c r="AG105" s="1851"/>
      <c r="AH105" s="1851"/>
      <c r="AI105" s="1851"/>
      <c r="AJ105" s="1851"/>
      <c r="AK105" s="1851"/>
      <c r="AL105" s="1851"/>
      <c r="AM105" s="1851"/>
      <c r="AN105" s="1851"/>
      <c r="AO105" s="1851"/>
      <c r="AP105" s="1851"/>
      <c r="AQ105" s="1851"/>
      <c r="AR105" s="1851"/>
      <c r="AS105" s="1851"/>
      <c r="AT105" s="1851"/>
      <c r="AU105" s="1851"/>
      <c r="AV105" s="1851"/>
      <c r="AW105" s="1851"/>
      <c r="AX105" s="1851"/>
      <c r="AY105" s="1851"/>
      <c r="AZ105" s="1851"/>
      <c r="BA105" s="1851"/>
      <c r="BB105" s="1851"/>
    </row>
    <row r="106" spans="1:54" x14ac:dyDescent="0.25">
      <c r="A106" s="1851">
        <v>102</v>
      </c>
      <c r="B106" s="1851"/>
      <c r="C106" s="1867" t="s">
        <v>940</v>
      </c>
      <c r="D106" s="1867"/>
      <c r="E106" s="1867"/>
      <c r="F106" s="1867"/>
      <c r="G106" s="1867"/>
      <c r="H106" s="1867"/>
      <c r="I106" s="1867"/>
      <c r="J106" s="1867"/>
      <c r="K106" s="1867"/>
      <c r="L106" s="1867"/>
      <c r="M106" s="1867"/>
      <c r="N106" s="1867"/>
      <c r="O106" s="1867"/>
      <c r="P106" s="1867"/>
      <c r="Q106" s="1867"/>
      <c r="R106" s="1867"/>
      <c r="S106" s="1867"/>
      <c r="T106" s="1867"/>
      <c r="U106" s="1867"/>
      <c r="V106" s="1865" t="s">
        <v>938</v>
      </c>
      <c r="W106" s="1865"/>
      <c r="X106" s="1865"/>
      <c r="Y106" s="1851"/>
      <c r="Z106" s="1851"/>
      <c r="AA106" s="1851"/>
      <c r="AB106" s="1851"/>
      <c r="AC106" s="1851"/>
      <c r="AD106" s="1851"/>
      <c r="AE106" s="1851"/>
      <c r="AF106" s="1851"/>
      <c r="AG106" s="1851"/>
      <c r="AH106" s="1851"/>
      <c r="AI106" s="1851"/>
      <c r="AJ106" s="1851"/>
      <c r="AK106" s="1851"/>
      <c r="AL106" s="1851"/>
      <c r="AM106" s="1851"/>
      <c r="AN106" s="1851"/>
      <c r="AO106" s="1851"/>
      <c r="AP106" s="1851"/>
      <c r="AQ106" s="1851"/>
      <c r="AR106" s="1851"/>
      <c r="AS106" s="1851"/>
      <c r="AT106" s="1851"/>
      <c r="AU106" s="1851"/>
      <c r="AV106" s="1851"/>
      <c r="AW106" s="1851"/>
      <c r="AX106" s="1851"/>
      <c r="AY106" s="1851"/>
      <c r="AZ106" s="1851"/>
      <c r="BA106" s="1851"/>
      <c r="BB106" s="1851"/>
    </row>
    <row r="107" spans="1:54" x14ac:dyDescent="0.25">
      <c r="A107" s="1851">
        <v>103</v>
      </c>
      <c r="B107" s="1851"/>
      <c r="C107" s="1867" t="s">
        <v>941</v>
      </c>
      <c r="D107" s="1867"/>
      <c r="E107" s="1867"/>
      <c r="F107" s="1867"/>
      <c r="G107" s="1867"/>
      <c r="H107" s="1867"/>
      <c r="I107" s="1867"/>
      <c r="J107" s="1867"/>
      <c r="K107" s="1867"/>
      <c r="L107" s="1867"/>
      <c r="M107" s="1867"/>
      <c r="N107" s="1867"/>
      <c r="O107" s="1867"/>
      <c r="P107" s="1867"/>
      <c r="Q107" s="1867"/>
      <c r="R107" s="1867"/>
      <c r="S107" s="1867"/>
      <c r="T107" s="1867"/>
      <c r="U107" s="1867"/>
      <c r="V107" s="1870" t="s">
        <v>942</v>
      </c>
      <c r="W107" s="1870"/>
      <c r="X107" s="1870"/>
      <c r="Y107" s="1851"/>
      <c r="Z107" s="1851"/>
      <c r="AA107" s="1851"/>
      <c r="AB107" s="1851"/>
      <c r="AC107" s="1851"/>
      <c r="AD107" s="1851"/>
      <c r="AE107" s="1851"/>
      <c r="AF107" s="1851"/>
      <c r="AG107" s="1851"/>
      <c r="AH107" s="1851"/>
      <c r="AI107" s="1851"/>
      <c r="AJ107" s="1851"/>
      <c r="AK107" s="1851"/>
      <c r="AL107" s="1851"/>
      <c r="AM107" s="1851"/>
      <c r="AN107" s="1851"/>
      <c r="AO107" s="1851"/>
      <c r="AP107" s="1851"/>
      <c r="AQ107" s="1851"/>
      <c r="AR107" s="1851"/>
      <c r="AS107" s="1851"/>
      <c r="AT107" s="1851"/>
      <c r="AU107" s="1851"/>
      <c r="AV107" s="1851"/>
      <c r="AW107" s="1851"/>
      <c r="AX107" s="1851"/>
      <c r="AY107" s="1851"/>
      <c r="AZ107" s="1851"/>
      <c r="BA107" s="1851"/>
      <c r="BB107" s="1851"/>
    </row>
    <row r="108" spans="1:54" x14ac:dyDescent="0.25">
      <c r="A108" s="1851">
        <v>104</v>
      </c>
      <c r="B108" s="1851"/>
      <c r="C108" s="1867" t="s">
        <v>943</v>
      </c>
      <c r="D108" s="1867"/>
      <c r="E108" s="1867"/>
      <c r="F108" s="1867"/>
      <c r="G108" s="1867"/>
      <c r="H108" s="1867"/>
      <c r="I108" s="1867"/>
      <c r="J108" s="1867"/>
      <c r="K108" s="1867"/>
      <c r="L108" s="1867"/>
      <c r="M108" s="1867"/>
      <c r="N108" s="1867"/>
      <c r="O108" s="1867"/>
      <c r="P108" s="1867"/>
      <c r="Q108" s="1867"/>
      <c r="R108" s="1867"/>
      <c r="S108" s="1867"/>
      <c r="T108" s="1867"/>
      <c r="U108" s="1867"/>
      <c r="V108" s="1865" t="s">
        <v>942</v>
      </c>
      <c r="W108" s="1865"/>
      <c r="X108" s="1865"/>
      <c r="Y108" s="1851"/>
      <c r="Z108" s="1851"/>
      <c r="AA108" s="1851"/>
      <c r="AB108" s="1851"/>
      <c r="AC108" s="1851"/>
      <c r="AD108" s="1851"/>
      <c r="AE108" s="1851"/>
      <c r="AF108" s="1851"/>
      <c r="AG108" s="1851"/>
      <c r="AH108" s="1851"/>
      <c r="AI108" s="1851"/>
      <c r="AJ108" s="1851"/>
      <c r="AK108" s="1851"/>
      <c r="AL108" s="1851"/>
      <c r="AM108" s="1851"/>
      <c r="AN108" s="1851"/>
      <c r="AO108" s="1851"/>
      <c r="AP108" s="1851"/>
      <c r="AQ108" s="1851"/>
      <c r="AR108" s="1851"/>
      <c r="AS108" s="1851"/>
      <c r="AT108" s="1851"/>
      <c r="AU108" s="1851"/>
      <c r="AV108" s="1851"/>
      <c r="AW108" s="1851"/>
      <c r="AX108" s="1851"/>
      <c r="AY108" s="1851"/>
      <c r="AZ108" s="1851"/>
      <c r="BA108" s="1851"/>
      <c r="BB108" s="1851"/>
    </row>
    <row r="109" spans="1:54" x14ac:dyDescent="0.25">
      <c r="A109" s="1851">
        <v>105</v>
      </c>
      <c r="B109" s="1851"/>
      <c r="C109" s="1867" t="s">
        <v>944</v>
      </c>
      <c r="D109" s="1867"/>
      <c r="E109" s="1867"/>
      <c r="F109" s="1867"/>
      <c r="G109" s="1867"/>
      <c r="H109" s="1867"/>
      <c r="I109" s="1867"/>
      <c r="J109" s="1867"/>
      <c r="K109" s="1867"/>
      <c r="L109" s="1867"/>
      <c r="M109" s="1867"/>
      <c r="N109" s="1867"/>
      <c r="O109" s="1867"/>
      <c r="P109" s="1867"/>
      <c r="Q109" s="1867"/>
      <c r="R109" s="1867"/>
      <c r="S109" s="1867"/>
      <c r="T109" s="1867"/>
      <c r="U109" s="1867"/>
      <c r="V109" s="1865" t="s">
        <v>942</v>
      </c>
      <c r="W109" s="1865"/>
      <c r="X109" s="1865"/>
      <c r="Y109" s="1851"/>
      <c r="Z109" s="1851"/>
      <c r="AA109" s="1851"/>
      <c r="AB109" s="1851"/>
      <c r="AC109" s="1851"/>
      <c r="AD109" s="1851"/>
      <c r="AE109" s="1851"/>
      <c r="AF109" s="1851"/>
      <c r="AG109" s="1851"/>
      <c r="AH109" s="1851"/>
      <c r="AI109" s="1851"/>
      <c r="AJ109" s="1851"/>
      <c r="AK109" s="1851"/>
      <c r="AL109" s="1851"/>
      <c r="AM109" s="1851"/>
      <c r="AN109" s="1851"/>
      <c r="AO109" s="1851"/>
      <c r="AP109" s="1851"/>
      <c r="AQ109" s="1851"/>
      <c r="AR109" s="1851"/>
      <c r="AS109" s="1851"/>
      <c r="AT109" s="1851"/>
      <c r="AU109" s="1851"/>
      <c r="AV109" s="1851"/>
      <c r="AW109" s="1851"/>
      <c r="AX109" s="1851"/>
      <c r="AY109" s="1851"/>
      <c r="AZ109" s="1851"/>
      <c r="BA109" s="1851"/>
      <c r="BB109" s="1851"/>
    </row>
    <row r="110" spans="1:54" x14ac:dyDescent="0.25">
      <c r="A110" s="1851">
        <v>106</v>
      </c>
      <c r="B110" s="1851"/>
      <c r="C110" s="1867" t="s">
        <v>945</v>
      </c>
      <c r="D110" s="1867"/>
      <c r="E110" s="1867"/>
      <c r="F110" s="1867"/>
      <c r="G110" s="1867"/>
      <c r="H110" s="1867"/>
      <c r="I110" s="1867"/>
      <c r="J110" s="1867"/>
      <c r="K110" s="1867"/>
      <c r="L110" s="1867"/>
      <c r="M110" s="1867"/>
      <c r="N110" s="1867"/>
      <c r="O110" s="1867"/>
      <c r="P110" s="1867"/>
      <c r="Q110" s="1867"/>
      <c r="R110" s="1867"/>
      <c r="S110" s="1867"/>
      <c r="T110" s="1867"/>
      <c r="U110" s="1867"/>
      <c r="V110" s="1865" t="s">
        <v>942</v>
      </c>
      <c r="W110" s="1865"/>
      <c r="X110" s="1865"/>
      <c r="Y110" s="1851"/>
      <c r="Z110" s="1851"/>
      <c r="AA110" s="1851"/>
      <c r="AB110" s="1851"/>
      <c r="AC110" s="1851"/>
      <c r="AD110" s="1851"/>
      <c r="AE110" s="1851"/>
      <c r="AF110" s="1851"/>
      <c r="AG110" s="1851"/>
      <c r="AH110" s="1851"/>
      <c r="AI110" s="1851"/>
      <c r="AJ110" s="1851"/>
      <c r="AK110" s="1851"/>
      <c r="AL110" s="1851"/>
      <c r="AM110" s="1851"/>
      <c r="AN110" s="1851"/>
      <c r="AO110" s="1851"/>
      <c r="AP110" s="1851"/>
      <c r="AQ110" s="1851"/>
      <c r="AR110" s="1851"/>
      <c r="AS110" s="1851"/>
      <c r="AT110" s="1851"/>
      <c r="AU110" s="1851"/>
      <c r="AV110" s="1851"/>
      <c r="AW110" s="1851"/>
      <c r="AX110" s="1851"/>
      <c r="AY110" s="1851"/>
      <c r="AZ110" s="1851"/>
      <c r="BA110" s="1851"/>
      <c r="BB110" s="1851"/>
    </row>
    <row r="111" spans="1:54" x14ac:dyDescent="0.25">
      <c r="A111" s="1851">
        <v>107</v>
      </c>
      <c r="B111" s="1851"/>
      <c r="C111" s="1867" t="s">
        <v>946</v>
      </c>
      <c r="D111" s="1867"/>
      <c r="E111" s="1867"/>
      <c r="F111" s="1867"/>
      <c r="G111" s="1867"/>
      <c r="H111" s="1867"/>
      <c r="I111" s="1867"/>
      <c r="J111" s="1867"/>
      <c r="K111" s="1867"/>
      <c r="L111" s="1867"/>
      <c r="M111" s="1867"/>
      <c r="N111" s="1867"/>
      <c r="O111" s="1867"/>
      <c r="P111" s="1867"/>
      <c r="Q111" s="1867"/>
      <c r="R111" s="1867"/>
      <c r="S111" s="1867"/>
      <c r="T111" s="1867"/>
      <c r="U111" s="1867"/>
      <c r="V111" s="1865" t="s">
        <v>942</v>
      </c>
      <c r="W111" s="1865"/>
      <c r="X111" s="1865"/>
      <c r="Y111" s="1851"/>
      <c r="Z111" s="1851"/>
      <c r="AA111" s="1851"/>
      <c r="AB111" s="1851"/>
      <c r="AC111" s="1851"/>
      <c r="AD111" s="1851"/>
      <c r="AE111" s="1851"/>
      <c r="AF111" s="1851"/>
      <c r="AG111" s="1851"/>
      <c r="AH111" s="1851"/>
      <c r="AI111" s="1851"/>
      <c r="AJ111" s="1851"/>
      <c r="AK111" s="1851"/>
      <c r="AL111" s="1851"/>
      <c r="AM111" s="1851"/>
      <c r="AN111" s="1851"/>
      <c r="AO111" s="1851"/>
      <c r="AP111" s="1851"/>
      <c r="AQ111" s="1851"/>
      <c r="AR111" s="1851"/>
      <c r="AS111" s="1851"/>
      <c r="AT111" s="1851"/>
      <c r="AU111" s="1851"/>
      <c r="AV111" s="1851"/>
      <c r="AW111" s="1851"/>
      <c r="AX111" s="1851"/>
      <c r="AY111" s="1851"/>
      <c r="AZ111" s="1851"/>
      <c r="BA111" s="1851"/>
      <c r="BB111" s="1851"/>
    </row>
    <row r="112" spans="1:54" x14ac:dyDescent="0.25">
      <c r="A112" s="1851">
        <v>108</v>
      </c>
      <c r="B112" s="1851"/>
      <c r="C112" s="1867" t="s">
        <v>947</v>
      </c>
      <c r="D112" s="1867"/>
      <c r="E112" s="1867"/>
      <c r="F112" s="1867"/>
      <c r="G112" s="1867"/>
      <c r="H112" s="1867"/>
      <c r="I112" s="1867"/>
      <c r="J112" s="1867"/>
      <c r="K112" s="1867"/>
      <c r="L112" s="1867"/>
      <c r="M112" s="1867"/>
      <c r="N112" s="1867"/>
      <c r="O112" s="1867"/>
      <c r="P112" s="1867"/>
      <c r="Q112" s="1867"/>
      <c r="R112" s="1867"/>
      <c r="S112" s="1867"/>
      <c r="T112" s="1867"/>
      <c r="U112" s="1867"/>
      <c r="V112" s="1865" t="s">
        <v>942</v>
      </c>
      <c r="W112" s="1865"/>
      <c r="X112" s="1865"/>
      <c r="Y112" s="1851"/>
      <c r="Z112" s="1851"/>
      <c r="AA112" s="1851"/>
      <c r="AB112" s="1851"/>
      <c r="AC112" s="1851"/>
      <c r="AD112" s="1851"/>
      <c r="AE112" s="1851"/>
      <c r="AF112" s="1851"/>
      <c r="AG112" s="1851"/>
      <c r="AH112" s="1851"/>
      <c r="AI112" s="1851"/>
      <c r="AJ112" s="1851"/>
      <c r="AK112" s="1851"/>
      <c r="AL112" s="1851"/>
      <c r="AM112" s="1851"/>
      <c r="AN112" s="1851"/>
      <c r="AO112" s="1851"/>
      <c r="AP112" s="1851"/>
      <c r="AQ112" s="1851"/>
      <c r="AR112" s="1851"/>
      <c r="AS112" s="1851"/>
      <c r="AT112" s="1851"/>
      <c r="AU112" s="1851"/>
      <c r="AV112" s="1851"/>
      <c r="AW112" s="1851"/>
      <c r="AX112" s="1851"/>
      <c r="AY112" s="1851"/>
      <c r="AZ112" s="1851"/>
      <c r="BA112" s="1851"/>
      <c r="BB112" s="1851"/>
    </row>
    <row r="113" spans="1:54" x14ac:dyDescent="0.25">
      <c r="A113" s="1851">
        <v>109</v>
      </c>
      <c r="B113" s="1851"/>
      <c r="C113" s="1867" t="s">
        <v>948</v>
      </c>
      <c r="D113" s="1867"/>
      <c r="E113" s="1867"/>
      <c r="F113" s="1867"/>
      <c r="G113" s="1867"/>
      <c r="H113" s="1867"/>
      <c r="I113" s="1867"/>
      <c r="J113" s="1867"/>
      <c r="K113" s="1867"/>
      <c r="L113" s="1867"/>
      <c r="M113" s="1867"/>
      <c r="N113" s="1867"/>
      <c r="O113" s="1867"/>
      <c r="P113" s="1867"/>
      <c r="Q113" s="1867"/>
      <c r="R113" s="1867"/>
      <c r="S113" s="1867"/>
      <c r="T113" s="1867"/>
      <c r="U113" s="1867"/>
      <c r="V113" s="1865" t="s">
        <v>942</v>
      </c>
      <c r="W113" s="1865"/>
      <c r="X113" s="1865"/>
      <c r="Y113" s="1851"/>
      <c r="Z113" s="1851"/>
      <c r="AA113" s="1851"/>
      <c r="AB113" s="1851"/>
      <c r="AC113" s="1851"/>
      <c r="AD113" s="1851"/>
      <c r="AE113" s="1851"/>
      <c r="AF113" s="1851"/>
      <c r="AG113" s="1851"/>
      <c r="AH113" s="1851"/>
      <c r="AI113" s="1851"/>
      <c r="AJ113" s="1851"/>
      <c r="AK113" s="1851"/>
      <c r="AL113" s="1851"/>
      <c r="AM113" s="1851"/>
      <c r="AN113" s="1851"/>
      <c r="AO113" s="1851"/>
      <c r="AP113" s="1851"/>
      <c r="AQ113" s="1851"/>
      <c r="AR113" s="1851"/>
      <c r="AS113" s="1851"/>
      <c r="AT113" s="1851"/>
      <c r="AU113" s="1851"/>
      <c r="AV113" s="1851"/>
      <c r="AW113" s="1851"/>
      <c r="AX113" s="1851"/>
      <c r="AY113" s="1851"/>
      <c r="AZ113" s="1851"/>
      <c r="BA113" s="1851"/>
      <c r="BB113" s="1851"/>
    </row>
    <row r="114" spans="1:54" x14ac:dyDescent="0.25">
      <c r="A114" s="1851">
        <v>110</v>
      </c>
      <c r="B114" s="1851"/>
      <c r="C114" s="1867" t="s">
        <v>949</v>
      </c>
      <c r="D114" s="1867"/>
      <c r="E114" s="1867"/>
      <c r="F114" s="1867"/>
      <c r="G114" s="1867"/>
      <c r="H114" s="1867"/>
      <c r="I114" s="1867"/>
      <c r="J114" s="1867"/>
      <c r="K114" s="1867"/>
      <c r="L114" s="1867"/>
      <c r="M114" s="1867"/>
      <c r="N114" s="1867"/>
      <c r="O114" s="1867"/>
      <c r="P114" s="1867"/>
      <c r="Q114" s="1867"/>
      <c r="R114" s="1867"/>
      <c r="S114" s="1867"/>
      <c r="T114" s="1867"/>
      <c r="U114" s="1867"/>
      <c r="V114" s="1865" t="s">
        <v>942</v>
      </c>
      <c r="W114" s="1865"/>
      <c r="X114" s="1865"/>
      <c r="Y114" s="1851"/>
      <c r="Z114" s="1851"/>
      <c r="AA114" s="1851"/>
      <c r="AB114" s="1851"/>
      <c r="AC114" s="1851"/>
      <c r="AD114" s="1851"/>
      <c r="AE114" s="1851"/>
      <c r="AF114" s="1851"/>
      <c r="AG114" s="1851"/>
      <c r="AH114" s="1851"/>
      <c r="AI114" s="1851"/>
      <c r="AJ114" s="1851"/>
      <c r="AK114" s="1851"/>
      <c r="AL114" s="1851"/>
      <c r="AM114" s="1851"/>
      <c r="AN114" s="1851"/>
      <c r="AO114" s="1851"/>
      <c r="AP114" s="1851"/>
      <c r="AQ114" s="1851"/>
      <c r="AR114" s="1851"/>
      <c r="AS114" s="1851"/>
      <c r="AT114" s="1851"/>
      <c r="AU114" s="1851"/>
      <c r="AV114" s="1851"/>
      <c r="AW114" s="1851"/>
      <c r="AX114" s="1851"/>
      <c r="AY114" s="1851"/>
      <c r="AZ114" s="1851"/>
      <c r="BA114" s="1851"/>
      <c r="BB114" s="1851"/>
    </row>
    <row r="115" spans="1:54" x14ac:dyDescent="0.25">
      <c r="A115" s="1851">
        <v>111</v>
      </c>
      <c r="B115" s="1851"/>
      <c r="C115" s="1867" t="s">
        <v>950</v>
      </c>
      <c r="D115" s="1867"/>
      <c r="E115" s="1867"/>
      <c r="F115" s="1867"/>
      <c r="G115" s="1867"/>
      <c r="H115" s="1867"/>
      <c r="I115" s="1867"/>
      <c r="J115" s="1867"/>
      <c r="K115" s="1867"/>
      <c r="L115" s="1867"/>
      <c r="M115" s="1867"/>
      <c r="N115" s="1867"/>
      <c r="O115" s="1867"/>
      <c r="P115" s="1867"/>
      <c r="Q115" s="1867"/>
      <c r="R115" s="1867"/>
      <c r="S115" s="1867"/>
      <c r="T115" s="1867"/>
      <c r="U115" s="1867"/>
      <c r="V115" s="1865" t="s">
        <v>942</v>
      </c>
      <c r="W115" s="1865"/>
      <c r="X115" s="1865"/>
      <c r="Y115" s="1851"/>
      <c r="Z115" s="1851"/>
      <c r="AA115" s="1851"/>
      <c r="AB115" s="1851"/>
      <c r="AC115" s="1851"/>
      <c r="AD115" s="1851"/>
      <c r="AE115" s="1851"/>
      <c r="AF115" s="1851"/>
      <c r="AG115" s="1851"/>
      <c r="AH115" s="1851"/>
      <c r="AI115" s="1851"/>
      <c r="AJ115" s="1851"/>
      <c r="AK115" s="1851"/>
      <c r="AL115" s="1851"/>
      <c r="AM115" s="1851"/>
      <c r="AN115" s="1851"/>
      <c r="AO115" s="1851"/>
      <c r="AP115" s="1851"/>
      <c r="AQ115" s="1851"/>
      <c r="AR115" s="1851"/>
      <c r="AS115" s="1851"/>
      <c r="AT115" s="1851"/>
      <c r="AU115" s="1851"/>
      <c r="AV115" s="1851"/>
      <c r="AW115" s="1851"/>
      <c r="AX115" s="1851"/>
      <c r="AY115" s="1851"/>
      <c r="AZ115" s="1851"/>
      <c r="BA115" s="1851"/>
      <c r="BB115" s="1851"/>
    </row>
    <row r="116" spans="1:54" x14ac:dyDescent="0.25">
      <c r="A116" s="1851">
        <v>112</v>
      </c>
      <c r="B116" s="1851"/>
      <c r="C116" s="1867" t="s">
        <v>951</v>
      </c>
      <c r="D116" s="1867"/>
      <c r="E116" s="1867"/>
      <c r="F116" s="1867"/>
      <c r="G116" s="1867"/>
      <c r="H116" s="1867"/>
      <c r="I116" s="1867"/>
      <c r="J116" s="1867"/>
      <c r="K116" s="1867"/>
      <c r="L116" s="1867"/>
      <c r="M116" s="1867"/>
      <c r="N116" s="1867"/>
      <c r="O116" s="1867"/>
      <c r="P116" s="1867"/>
      <c r="Q116" s="1867"/>
      <c r="R116" s="1867"/>
      <c r="S116" s="1867"/>
      <c r="T116" s="1867"/>
      <c r="U116" s="1867"/>
      <c r="V116" s="1865" t="s">
        <v>942</v>
      </c>
      <c r="W116" s="1865"/>
      <c r="X116" s="1865"/>
      <c r="Y116" s="1851"/>
      <c r="Z116" s="1851"/>
      <c r="AA116" s="1851"/>
      <c r="AB116" s="1851"/>
      <c r="AC116" s="1851"/>
      <c r="AD116" s="1851"/>
      <c r="AE116" s="1851"/>
      <c r="AF116" s="1851"/>
      <c r="AG116" s="1851"/>
      <c r="AH116" s="1851"/>
      <c r="AI116" s="1851"/>
      <c r="AJ116" s="1851"/>
      <c r="AK116" s="1851"/>
      <c r="AL116" s="1851"/>
      <c r="AM116" s="1851"/>
      <c r="AN116" s="1851"/>
      <c r="AO116" s="1851"/>
      <c r="AP116" s="1851"/>
      <c r="AQ116" s="1851"/>
      <c r="AR116" s="1851"/>
      <c r="AS116" s="1851"/>
      <c r="AT116" s="1851"/>
      <c r="AU116" s="1851"/>
      <c r="AV116" s="1851"/>
      <c r="AW116" s="1851"/>
      <c r="AX116" s="1851"/>
      <c r="AY116" s="1851"/>
      <c r="AZ116" s="1851"/>
      <c r="BA116" s="1851"/>
      <c r="BB116" s="1851"/>
    </row>
    <row r="117" spans="1:54" x14ac:dyDescent="0.25">
      <c r="A117" s="1851">
        <v>113</v>
      </c>
      <c r="B117" s="1851"/>
      <c r="C117" s="1867" t="s">
        <v>952</v>
      </c>
      <c r="D117" s="1867"/>
      <c r="E117" s="1867"/>
      <c r="F117" s="1867"/>
      <c r="G117" s="1867"/>
      <c r="H117" s="1867"/>
      <c r="I117" s="1867"/>
      <c r="J117" s="1867"/>
      <c r="K117" s="1867"/>
      <c r="L117" s="1867"/>
      <c r="M117" s="1867"/>
      <c r="N117" s="1867"/>
      <c r="O117" s="1867"/>
      <c r="P117" s="1867"/>
      <c r="Q117" s="1867"/>
      <c r="R117" s="1867"/>
      <c r="S117" s="1867"/>
      <c r="T117" s="1867"/>
      <c r="U117" s="1867"/>
      <c r="V117" s="1865" t="s">
        <v>942</v>
      </c>
      <c r="W117" s="1865"/>
      <c r="X117" s="1865"/>
      <c r="Y117" s="1851"/>
      <c r="Z117" s="1851"/>
      <c r="AA117" s="1851"/>
      <c r="AB117" s="1851"/>
      <c r="AC117" s="1851"/>
      <c r="AD117" s="1851"/>
      <c r="AE117" s="1851"/>
      <c r="AF117" s="1851"/>
      <c r="AG117" s="1851"/>
      <c r="AH117" s="1851"/>
      <c r="AI117" s="1851"/>
      <c r="AJ117" s="1851"/>
      <c r="AK117" s="1851"/>
      <c r="AL117" s="1851"/>
      <c r="AM117" s="1851"/>
      <c r="AN117" s="1851"/>
      <c r="AO117" s="1851"/>
      <c r="AP117" s="1851"/>
      <c r="AQ117" s="1851"/>
      <c r="AR117" s="1851"/>
      <c r="AS117" s="1851"/>
      <c r="AT117" s="1851"/>
      <c r="AU117" s="1851"/>
      <c r="AV117" s="1851"/>
      <c r="AW117" s="1851"/>
      <c r="AX117" s="1851"/>
      <c r="AY117" s="1851"/>
      <c r="AZ117" s="1851"/>
      <c r="BA117" s="1851"/>
      <c r="BB117" s="1851"/>
    </row>
    <row r="118" spans="1:54" x14ac:dyDescent="0.25">
      <c r="A118" s="1851">
        <v>114</v>
      </c>
      <c r="B118" s="1851"/>
      <c r="C118" s="1867" t="s">
        <v>953</v>
      </c>
      <c r="D118" s="1867"/>
      <c r="E118" s="1867"/>
      <c r="F118" s="1867"/>
      <c r="G118" s="1867"/>
      <c r="H118" s="1867"/>
      <c r="I118" s="1867"/>
      <c r="J118" s="1867"/>
      <c r="K118" s="1867"/>
      <c r="L118" s="1867"/>
      <c r="M118" s="1867"/>
      <c r="N118" s="1867"/>
      <c r="O118" s="1867"/>
      <c r="P118" s="1867"/>
      <c r="Q118" s="1867"/>
      <c r="R118" s="1867"/>
      <c r="S118" s="1867"/>
      <c r="T118" s="1867"/>
      <c r="U118" s="1867"/>
      <c r="V118" s="1865" t="s">
        <v>942</v>
      </c>
      <c r="W118" s="1865"/>
      <c r="X118" s="1865"/>
      <c r="Y118" s="1851"/>
      <c r="Z118" s="1851"/>
      <c r="AA118" s="1851"/>
      <c r="AB118" s="1851"/>
      <c r="AC118" s="1851"/>
      <c r="AD118" s="1851"/>
      <c r="AE118" s="1851"/>
      <c r="AF118" s="1851"/>
      <c r="AG118" s="1851"/>
      <c r="AH118" s="1851"/>
      <c r="AI118" s="1851"/>
      <c r="AJ118" s="1851"/>
      <c r="AK118" s="1851"/>
      <c r="AL118" s="1851"/>
      <c r="AM118" s="1851"/>
      <c r="AN118" s="1851"/>
      <c r="AO118" s="1851"/>
      <c r="AP118" s="1851"/>
      <c r="AQ118" s="1851"/>
      <c r="AR118" s="1851"/>
      <c r="AS118" s="1851"/>
      <c r="AT118" s="1851"/>
      <c r="AU118" s="1851"/>
      <c r="AV118" s="1851"/>
      <c r="AW118" s="1851"/>
      <c r="AX118" s="1851"/>
      <c r="AY118" s="1851"/>
      <c r="AZ118" s="1851"/>
      <c r="BA118" s="1851"/>
      <c r="BB118" s="1851"/>
    </row>
    <row r="119" spans="1:54" x14ac:dyDescent="0.25">
      <c r="A119" s="1851">
        <v>115</v>
      </c>
      <c r="B119" s="1851"/>
      <c r="C119" s="1867" t="s">
        <v>954</v>
      </c>
      <c r="D119" s="1867"/>
      <c r="E119" s="1867"/>
      <c r="F119" s="1867"/>
      <c r="G119" s="1867"/>
      <c r="H119" s="1867"/>
      <c r="I119" s="1867"/>
      <c r="J119" s="1867"/>
      <c r="K119" s="1867"/>
      <c r="L119" s="1867"/>
      <c r="M119" s="1867"/>
      <c r="N119" s="1867"/>
      <c r="O119" s="1867"/>
      <c r="P119" s="1867"/>
      <c r="Q119" s="1867"/>
      <c r="R119" s="1867"/>
      <c r="S119" s="1867"/>
      <c r="T119" s="1867"/>
      <c r="U119" s="1867"/>
      <c r="V119" s="1865" t="s">
        <v>942</v>
      </c>
      <c r="W119" s="1865"/>
      <c r="X119" s="1865"/>
      <c r="Y119" s="1851"/>
      <c r="Z119" s="1851"/>
      <c r="AA119" s="1851"/>
      <c r="AB119" s="1851"/>
      <c r="AC119" s="1851"/>
      <c r="AD119" s="1851"/>
      <c r="AE119" s="1851"/>
      <c r="AF119" s="1851"/>
      <c r="AG119" s="1851"/>
      <c r="AH119" s="1851"/>
      <c r="AI119" s="1851"/>
      <c r="AJ119" s="1851"/>
      <c r="AK119" s="1851"/>
      <c r="AL119" s="1851"/>
      <c r="AM119" s="1851"/>
      <c r="AN119" s="1851"/>
      <c r="AO119" s="1851"/>
      <c r="AP119" s="1851"/>
      <c r="AQ119" s="1851"/>
      <c r="AR119" s="1851"/>
      <c r="AS119" s="1851"/>
      <c r="AT119" s="1851"/>
      <c r="AU119" s="1851"/>
      <c r="AV119" s="1851"/>
      <c r="AW119" s="1851"/>
      <c r="AX119" s="1851"/>
      <c r="AY119" s="1851"/>
      <c r="AZ119" s="1851"/>
      <c r="BA119" s="1851"/>
      <c r="BB119" s="1851"/>
    </row>
    <row r="120" spans="1:54" x14ac:dyDescent="0.25">
      <c r="A120" s="1851">
        <v>116</v>
      </c>
      <c r="B120" s="1851"/>
      <c r="C120" s="1867" t="s">
        <v>955</v>
      </c>
      <c r="D120" s="1867"/>
      <c r="E120" s="1867"/>
      <c r="F120" s="1867"/>
      <c r="G120" s="1867"/>
      <c r="H120" s="1867"/>
      <c r="I120" s="1867"/>
      <c r="J120" s="1867"/>
      <c r="K120" s="1867"/>
      <c r="L120" s="1867"/>
      <c r="M120" s="1867"/>
      <c r="N120" s="1867"/>
      <c r="O120" s="1867"/>
      <c r="P120" s="1867"/>
      <c r="Q120" s="1867"/>
      <c r="R120" s="1867"/>
      <c r="S120" s="1867"/>
      <c r="T120" s="1867"/>
      <c r="U120" s="1867"/>
      <c r="V120" s="1865" t="s">
        <v>942</v>
      </c>
      <c r="W120" s="1865"/>
      <c r="X120" s="1865"/>
      <c r="Y120" s="1851"/>
      <c r="Z120" s="1851"/>
      <c r="AA120" s="1851"/>
      <c r="AB120" s="1851"/>
      <c r="AC120" s="1851"/>
      <c r="AD120" s="1851"/>
      <c r="AE120" s="1851"/>
      <c r="AF120" s="1851"/>
      <c r="AG120" s="1851"/>
      <c r="AH120" s="1851"/>
      <c r="AI120" s="1851"/>
      <c r="AJ120" s="1851"/>
      <c r="AK120" s="1851"/>
      <c r="AL120" s="1851"/>
      <c r="AM120" s="1851"/>
      <c r="AN120" s="1851"/>
      <c r="AO120" s="1851"/>
      <c r="AP120" s="1851"/>
      <c r="AQ120" s="1851"/>
      <c r="AR120" s="1851"/>
      <c r="AS120" s="1851"/>
      <c r="AT120" s="1851"/>
      <c r="AU120" s="1851"/>
      <c r="AV120" s="1851"/>
      <c r="AW120" s="1851"/>
      <c r="AX120" s="1851"/>
      <c r="AY120" s="1851"/>
      <c r="AZ120" s="1851"/>
      <c r="BA120" s="1851"/>
      <c r="BB120" s="1851"/>
    </row>
    <row r="121" spans="1:54" x14ac:dyDescent="0.25">
      <c r="A121" s="1851">
        <v>117</v>
      </c>
      <c r="B121" s="1851"/>
      <c r="C121" s="1867" t="s">
        <v>956</v>
      </c>
      <c r="D121" s="1867"/>
      <c r="E121" s="1867"/>
      <c r="F121" s="1867"/>
      <c r="G121" s="1867"/>
      <c r="H121" s="1867"/>
      <c r="I121" s="1867"/>
      <c r="J121" s="1867"/>
      <c r="K121" s="1867"/>
      <c r="L121" s="1867"/>
      <c r="M121" s="1867"/>
      <c r="N121" s="1867"/>
      <c r="O121" s="1867"/>
      <c r="P121" s="1867"/>
      <c r="Q121" s="1867"/>
      <c r="R121" s="1867"/>
      <c r="S121" s="1867"/>
      <c r="T121" s="1867"/>
      <c r="U121" s="1867"/>
      <c r="V121" s="1865" t="s">
        <v>942</v>
      </c>
      <c r="W121" s="1865"/>
      <c r="X121" s="1865"/>
      <c r="Y121" s="1851"/>
      <c r="Z121" s="1851"/>
      <c r="AA121" s="1851"/>
      <c r="AB121" s="1851"/>
      <c r="AC121" s="1851"/>
      <c r="AD121" s="1851"/>
      <c r="AE121" s="1851"/>
      <c r="AF121" s="1851"/>
      <c r="AG121" s="1851"/>
      <c r="AH121" s="1851"/>
      <c r="AI121" s="1851"/>
      <c r="AJ121" s="1851"/>
      <c r="AK121" s="1851"/>
      <c r="AL121" s="1851"/>
      <c r="AM121" s="1851"/>
      <c r="AN121" s="1851"/>
      <c r="AO121" s="1851"/>
      <c r="AP121" s="1851"/>
      <c r="AQ121" s="1851"/>
      <c r="AR121" s="1851"/>
      <c r="AS121" s="1851"/>
      <c r="AT121" s="1851"/>
      <c r="AU121" s="1851"/>
      <c r="AV121" s="1851"/>
      <c r="AW121" s="1851"/>
      <c r="AX121" s="1851"/>
      <c r="AY121" s="1851"/>
      <c r="AZ121" s="1851"/>
      <c r="BA121" s="1851"/>
      <c r="BB121" s="1851"/>
    </row>
    <row r="122" spans="1:54" x14ac:dyDescent="0.25">
      <c r="A122" s="1851">
        <v>118</v>
      </c>
      <c r="B122" s="1851"/>
      <c r="C122" s="1867" t="s">
        <v>957</v>
      </c>
      <c r="D122" s="1867"/>
      <c r="E122" s="1867"/>
      <c r="F122" s="1867"/>
      <c r="G122" s="1867"/>
      <c r="H122" s="1867"/>
      <c r="I122" s="1867"/>
      <c r="J122" s="1867"/>
      <c r="K122" s="1867"/>
      <c r="L122" s="1867"/>
      <c r="M122" s="1867"/>
      <c r="N122" s="1867"/>
      <c r="O122" s="1867"/>
      <c r="P122" s="1867"/>
      <c r="Q122" s="1867"/>
      <c r="R122" s="1867"/>
      <c r="S122" s="1867"/>
      <c r="T122" s="1867"/>
      <c r="U122" s="1867"/>
      <c r="V122" s="1865" t="s">
        <v>942</v>
      </c>
      <c r="W122" s="1865"/>
      <c r="X122" s="1865"/>
      <c r="Y122" s="1851"/>
      <c r="Z122" s="1851"/>
      <c r="AA122" s="1851"/>
      <c r="AB122" s="1851"/>
      <c r="AC122" s="1851"/>
      <c r="AD122" s="1851"/>
      <c r="AE122" s="1851"/>
      <c r="AF122" s="1851"/>
      <c r="AG122" s="1851"/>
      <c r="AH122" s="1851"/>
      <c r="AI122" s="1851"/>
      <c r="AJ122" s="1851"/>
      <c r="AK122" s="1851"/>
      <c r="AL122" s="1851"/>
      <c r="AM122" s="1851"/>
      <c r="AN122" s="1851"/>
      <c r="AO122" s="1851"/>
      <c r="AP122" s="1851"/>
      <c r="AQ122" s="1851"/>
      <c r="AR122" s="1851"/>
      <c r="AS122" s="1851"/>
      <c r="AT122" s="1851"/>
      <c r="AU122" s="1851"/>
      <c r="AV122" s="1851"/>
      <c r="AW122" s="1851"/>
      <c r="AX122" s="1851"/>
      <c r="AY122" s="1851"/>
      <c r="AZ122" s="1851"/>
      <c r="BA122" s="1851"/>
      <c r="BB122" s="1851"/>
    </row>
    <row r="123" spans="1:54" x14ac:dyDescent="0.25">
      <c r="A123" s="1851">
        <v>119</v>
      </c>
      <c r="B123" s="1851"/>
      <c r="C123" s="1868" t="s">
        <v>958</v>
      </c>
      <c r="D123" s="1868"/>
      <c r="E123" s="1868"/>
      <c r="F123" s="1868"/>
      <c r="G123" s="1868"/>
      <c r="H123" s="1868"/>
      <c r="I123" s="1868"/>
      <c r="J123" s="1868"/>
      <c r="K123" s="1868"/>
      <c r="L123" s="1868"/>
      <c r="M123" s="1868"/>
      <c r="N123" s="1868"/>
      <c r="O123" s="1868"/>
      <c r="P123" s="1868"/>
      <c r="Q123" s="1868"/>
      <c r="R123" s="1868"/>
      <c r="S123" s="1868"/>
      <c r="T123" s="1868"/>
      <c r="U123" s="1868"/>
      <c r="V123" s="1865" t="s">
        <v>942</v>
      </c>
      <c r="W123" s="1865"/>
      <c r="X123" s="1865"/>
      <c r="Y123" s="1851"/>
      <c r="Z123" s="1851"/>
      <c r="AA123" s="1851"/>
      <c r="AB123" s="1851"/>
      <c r="AC123" s="1851"/>
      <c r="AD123" s="1851"/>
      <c r="AE123" s="1851"/>
      <c r="AF123" s="1851"/>
      <c r="AG123" s="1851"/>
      <c r="AH123" s="1851"/>
      <c r="AI123" s="1851"/>
      <c r="AJ123" s="1851"/>
      <c r="AK123" s="1851"/>
      <c r="AL123" s="1851"/>
      <c r="AM123" s="1851"/>
      <c r="AN123" s="1851"/>
      <c r="AO123" s="1851"/>
      <c r="AP123" s="1851"/>
      <c r="AQ123" s="1851"/>
      <c r="AR123" s="1851"/>
      <c r="AS123" s="1851"/>
      <c r="AT123" s="1851"/>
      <c r="AU123" s="1851"/>
      <c r="AV123" s="1851"/>
      <c r="AW123" s="1851"/>
      <c r="AX123" s="1851"/>
      <c r="AY123" s="1851"/>
      <c r="AZ123" s="1851"/>
      <c r="BA123" s="1851"/>
      <c r="BB123" s="1851"/>
    </row>
    <row r="124" spans="1:54" x14ac:dyDescent="0.25">
      <c r="A124" s="1851">
        <v>120</v>
      </c>
      <c r="B124" s="1851"/>
      <c r="C124" s="1868" t="s">
        <v>959</v>
      </c>
      <c r="D124" s="1868"/>
      <c r="E124" s="1868"/>
      <c r="F124" s="1868"/>
      <c r="G124" s="1868"/>
      <c r="H124" s="1868"/>
      <c r="I124" s="1868"/>
      <c r="J124" s="1868"/>
      <c r="K124" s="1868"/>
      <c r="L124" s="1868"/>
      <c r="M124" s="1868"/>
      <c r="N124" s="1868"/>
      <c r="O124" s="1868"/>
      <c r="P124" s="1868"/>
      <c r="Q124" s="1868"/>
      <c r="R124" s="1868"/>
      <c r="S124" s="1868"/>
      <c r="T124" s="1868"/>
      <c r="U124" s="1868"/>
      <c r="V124" s="1865" t="s">
        <v>942</v>
      </c>
      <c r="W124" s="1865"/>
      <c r="X124" s="1865"/>
      <c r="Y124" s="1851"/>
      <c r="Z124" s="1851"/>
      <c r="AA124" s="1851"/>
      <c r="AB124" s="1851"/>
      <c r="AC124" s="1851"/>
      <c r="AD124" s="1851"/>
      <c r="AE124" s="1851"/>
      <c r="AF124" s="1851"/>
      <c r="AG124" s="1851"/>
      <c r="AH124" s="1851"/>
      <c r="AI124" s="1851"/>
      <c r="AJ124" s="1851"/>
      <c r="AK124" s="1851"/>
      <c r="AL124" s="1851"/>
      <c r="AM124" s="1851"/>
      <c r="AN124" s="1851"/>
      <c r="AO124" s="1851"/>
      <c r="AP124" s="1851"/>
      <c r="AQ124" s="1851"/>
      <c r="AR124" s="1851"/>
      <c r="AS124" s="1851"/>
      <c r="AT124" s="1851"/>
      <c r="AU124" s="1851"/>
      <c r="AV124" s="1851"/>
      <c r="AW124" s="1851"/>
      <c r="AX124" s="1851"/>
      <c r="AY124" s="1851"/>
      <c r="AZ124" s="1851"/>
      <c r="BA124" s="1851"/>
      <c r="BB124" s="1851"/>
    </row>
    <row r="125" spans="1:54" x14ac:dyDescent="0.25">
      <c r="A125" s="1851">
        <v>121</v>
      </c>
      <c r="B125" s="1851"/>
      <c r="C125" s="1868" t="s">
        <v>960</v>
      </c>
      <c r="D125" s="1868"/>
      <c r="E125" s="1868"/>
      <c r="F125" s="1868"/>
      <c r="G125" s="1868"/>
      <c r="H125" s="1868"/>
      <c r="I125" s="1868"/>
      <c r="J125" s="1868"/>
      <c r="K125" s="1868"/>
      <c r="L125" s="1868"/>
      <c r="M125" s="1868"/>
      <c r="N125" s="1868"/>
      <c r="O125" s="1868"/>
      <c r="P125" s="1868"/>
      <c r="Q125" s="1868"/>
      <c r="R125" s="1868"/>
      <c r="S125" s="1868"/>
      <c r="T125" s="1868"/>
      <c r="U125" s="1868"/>
      <c r="V125" s="1865" t="s">
        <v>942</v>
      </c>
      <c r="W125" s="1865"/>
      <c r="X125" s="1865"/>
      <c r="Y125" s="1851"/>
      <c r="Z125" s="1851"/>
      <c r="AA125" s="1851"/>
      <c r="AB125" s="1851"/>
      <c r="AC125" s="1851"/>
      <c r="AD125" s="1851"/>
      <c r="AE125" s="1851"/>
      <c r="AF125" s="1851"/>
      <c r="AG125" s="1851"/>
      <c r="AH125" s="1851"/>
      <c r="AI125" s="1851"/>
      <c r="AJ125" s="1851"/>
      <c r="AK125" s="1851"/>
      <c r="AL125" s="1851"/>
      <c r="AM125" s="1851"/>
      <c r="AN125" s="1851"/>
      <c r="AO125" s="1851"/>
      <c r="AP125" s="1851"/>
      <c r="AQ125" s="1851"/>
      <c r="AR125" s="1851"/>
      <c r="AS125" s="1851"/>
      <c r="AT125" s="1851"/>
      <c r="AU125" s="1851"/>
      <c r="AV125" s="1851"/>
      <c r="AW125" s="1851"/>
      <c r="AX125" s="1851"/>
      <c r="AY125" s="1851"/>
      <c r="AZ125" s="1851"/>
      <c r="BA125" s="1851"/>
      <c r="BB125" s="1851"/>
    </row>
    <row r="126" spans="1:54" x14ac:dyDescent="0.25">
      <c r="A126" s="1851">
        <v>122</v>
      </c>
      <c r="B126" s="1851"/>
      <c r="C126" s="1868" t="s">
        <v>961</v>
      </c>
      <c r="D126" s="1868"/>
      <c r="E126" s="1868"/>
      <c r="F126" s="1868"/>
      <c r="G126" s="1868"/>
      <c r="H126" s="1868"/>
      <c r="I126" s="1868"/>
      <c r="J126" s="1868"/>
      <c r="K126" s="1868"/>
      <c r="L126" s="1868"/>
      <c r="M126" s="1868"/>
      <c r="N126" s="1868"/>
      <c r="O126" s="1868"/>
      <c r="P126" s="1868"/>
      <c r="Q126" s="1868"/>
      <c r="R126" s="1868"/>
      <c r="S126" s="1868"/>
      <c r="T126" s="1868"/>
      <c r="U126" s="1868"/>
      <c r="V126" s="1865" t="s">
        <v>942</v>
      </c>
      <c r="W126" s="1865"/>
      <c r="X126" s="1865"/>
      <c r="Y126" s="1851"/>
      <c r="Z126" s="1851"/>
      <c r="AA126" s="1851"/>
      <c r="AB126" s="1851"/>
      <c r="AC126" s="1851"/>
      <c r="AD126" s="1851"/>
      <c r="AE126" s="1851"/>
      <c r="AF126" s="1851"/>
      <c r="AG126" s="1851"/>
      <c r="AH126" s="1851"/>
      <c r="AI126" s="1851"/>
      <c r="AJ126" s="1851"/>
      <c r="AK126" s="1851"/>
      <c r="AL126" s="1851"/>
      <c r="AM126" s="1851"/>
      <c r="AN126" s="1851"/>
      <c r="AO126" s="1851"/>
      <c r="AP126" s="1851"/>
      <c r="AQ126" s="1851"/>
      <c r="AR126" s="1851"/>
      <c r="AS126" s="1851"/>
      <c r="AT126" s="1851"/>
      <c r="AU126" s="1851"/>
      <c r="AV126" s="1851"/>
      <c r="AW126" s="1851"/>
      <c r="AX126" s="1851"/>
      <c r="AY126" s="1851"/>
      <c r="AZ126" s="1851"/>
      <c r="BA126" s="1851"/>
      <c r="BB126" s="1851"/>
    </row>
    <row r="127" spans="1:54" x14ac:dyDescent="0.25">
      <c r="A127" s="1851">
        <v>123</v>
      </c>
      <c r="B127" s="1851"/>
      <c r="C127" s="1868" t="s">
        <v>962</v>
      </c>
      <c r="D127" s="1868"/>
      <c r="E127" s="1868"/>
      <c r="F127" s="1868"/>
      <c r="G127" s="1868"/>
      <c r="H127" s="1868"/>
      <c r="I127" s="1868"/>
      <c r="J127" s="1868"/>
      <c r="K127" s="1868"/>
      <c r="L127" s="1868"/>
      <c r="M127" s="1868"/>
      <c r="N127" s="1868"/>
      <c r="O127" s="1868"/>
      <c r="P127" s="1868"/>
      <c r="Q127" s="1868"/>
      <c r="R127" s="1868"/>
      <c r="S127" s="1868"/>
      <c r="T127" s="1868"/>
      <c r="U127" s="1868"/>
      <c r="V127" s="1865" t="s">
        <v>942</v>
      </c>
      <c r="W127" s="1865"/>
      <c r="X127" s="1865"/>
      <c r="Y127" s="1851"/>
      <c r="Z127" s="1851"/>
      <c r="AA127" s="1851"/>
      <c r="AB127" s="1851"/>
      <c r="AC127" s="1851"/>
      <c r="AD127" s="1851"/>
      <c r="AE127" s="1851"/>
      <c r="AF127" s="1851"/>
      <c r="AG127" s="1851"/>
      <c r="AH127" s="1851"/>
      <c r="AI127" s="1851"/>
      <c r="AJ127" s="1851"/>
      <c r="AK127" s="1851"/>
      <c r="AL127" s="1851"/>
      <c r="AM127" s="1851"/>
      <c r="AN127" s="1851"/>
      <c r="AO127" s="1851"/>
      <c r="AP127" s="1851"/>
      <c r="AQ127" s="1851"/>
      <c r="AR127" s="1851"/>
      <c r="AS127" s="1851"/>
      <c r="AT127" s="1851"/>
      <c r="AU127" s="1851"/>
      <c r="AV127" s="1851"/>
      <c r="AW127" s="1851"/>
      <c r="AX127" s="1851"/>
      <c r="AY127" s="1851"/>
      <c r="AZ127" s="1851"/>
      <c r="BA127" s="1851"/>
      <c r="BB127" s="1851"/>
    </row>
    <row r="128" spans="1:54" x14ac:dyDescent="0.25">
      <c r="A128" s="1851">
        <v>124</v>
      </c>
      <c r="B128" s="1851"/>
      <c r="C128" s="1868" t="s">
        <v>963</v>
      </c>
      <c r="D128" s="1868"/>
      <c r="E128" s="1868"/>
      <c r="F128" s="1868"/>
      <c r="G128" s="1868"/>
      <c r="H128" s="1868"/>
      <c r="I128" s="1868"/>
      <c r="J128" s="1868"/>
      <c r="K128" s="1868"/>
      <c r="L128" s="1868"/>
      <c r="M128" s="1868"/>
      <c r="N128" s="1868"/>
      <c r="O128" s="1868"/>
      <c r="P128" s="1868"/>
      <c r="Q128" s="1868"/>
      <c r="R128" s="1868"/>
      <c r="S128" s="1868"/>
      <c r="T128" s="1868"/>
      <c r="U128" s="1868"/>
      <c r="V128" s="1865" t="s">
        <v>942</v>
      </c>
      <c r="W128" s="1865"/>
      <c r="X128" s="1865"/>
      <c r="Y128" s="1851"/>
      <c r="Z128" s="1851"/>
      <c r="AA128" s="1851"/>
      <c r="AB128" s="1851"/>
      <c r="AC128" s="1851"/>
      <c r="AD128" s="1851"/>
      <c r="AE128" s="1851"/>
      <c r="AF128" s="1851"/>
      <c r="AG128" s="1851"/>
      <c r="AH128" s="1851"/>
      <c r="AI128" s="1851"/>
      <c r="AJ128" s="1851"/>
      <c r="AK128" s="1851"/>
      <c r="AL128" s="1851"/>
      <c r="AM128" s="1851"/>
      <c r="AN128" s="1851"/>
      <c r="AO128" s="1851"/>
      <c r="AP128" s="1851"/>
      <c r="AQ128" s="1851"/>
      <c r="AR128" s="1851"/>
      <c r="AS128" s="1851"/>
      <c r="AT128" s="1851"/>
      <c r="AU128" s="1851"/>
      <c r="AV128" s="1851"/>
      <c r="AW128" s="1851"/>
      <c r="AX128" s="1851"/>
      <c r="AY128" s="1851"/>
      <c r="AZ128" s="1851"/>
      <c r="BA128" s="1851"/>
      <c r="BB128" s="1851"/>
    </row>
    <row r="129" spans="1:54" x14ac:dyDescent="0.25">
      <c r="A129" s="1851">
        <v>125</v>
      </c>
      <c r="B129" s="1851"/>
      <c r="C129" s="1868" t="s">
        <v>964</v>
      </c>
      <c r="D129" s="1868"/>
      <c r="E129" s="1868"/>
      <c r="F129" s="1868"/>
      <c r="G129" s="1868"/>
      <c r="H129" s="1868"/>
      <c r="I129" s="1868"/>
      <c r="J129" s="1868"/>
      <c r="K129" s="1868"/>
      <c r="L129" s="1868"/>
      <c r="M129" s="1868"/>
      <c r="N129" s="1868"/>
      <c r="O129" s="1868"/>
      <c r="P129" s="1868"/>
      <c r="Q129" s="1868"/>
      <c r="R129" s="1868"/>
      <c r="S129" s="1868"/>
      <c r="T129" s="1868"/>
      <c r="U129" s="1868"/>
      <c r="V129" s="1865" t="s">
        <v>942</v>
      </c>
      <c r="W129" s="1865"/>
      <c r="X129" s="1865"/>
      <c r="Y129" s="1851"/>
      <c r="Z129" s="1851"/>
      <c r="AA129" s="1851"/>
      <c r="AB129" s="1851"/>
      <c r="AC129" s="1851"/>
      <c r="AD129" s="1851"/>
      <c r="AE129" s="1851"/>
      <c r="AF129" s="1851"/>
      <c r="AG129" s="1851"/>
      <c r="AH129" s="1851"/>
      <c r="AI129" s="1851"/>
      <c r="AJ129" s="1851"/>
      <c r="AK129" s="1851"/>
      <c r="AL129" s="1851"/>
      <c r="AM129" s="1851"/>
      <c r="AN129" s="1851"/>
      <c r="AO129" s="1851"/>
      <c r="AP129" s="1851"/>
      <c r="AQ129" s="1851"/>
      <c r="AR129" s="1851"/>
      <c r="AS129" s="1851"/>
      <c r="AT129" s="1851"/>
      <c r="AU129" s="1851"/>
      <c r="AV129" s="1851"/>
      <c r="AW129" s="1851"/>
      <c r="AX129" s="1851"/>
      <c r="AY129" s="1851"/>
      <c r="AZ129" s="1851"/>
      <c r="BA129" s="1851"/>
      <c r="BB129" s="1851"/>
    </row>
    <row r="130" spans="1:54" x14ac:dyDescent="0.25">
      <c r="A130" s="1851">
        <v>126</v>
      </c>
      <c r="B130" s="1851"/>
      <c r="C130" s="1868" t="s">
        <v>965</v>
      </c>
      <c r="D130" s="1868"/>
      <c r="E130" s="1868"/>
      <c r="F130" s="1868"/>
      <c r="G130" s="1868"/>
      <c r="H130" s="1868"/>
      <c r="I130" s="1868"/>
      <c r="J130" s="1868"/>
      <c r="K130" s="1868"/>
      <c r="L130" s="1868"/>
      <c r="M130" s="1868"/>
      <c r="N130" s="1868"/>
      <c r="O130" s="1868"/>
      <c r="P130" s="1868"/>
      <c r="Q130" s="1868"/>
      <c r="R130" s="1868"/>
      <c r="S130" s="1868"/>
      <c r="T130" s="1868"/>
      <c r="U130" s="1868"/>
      <c r="V130" s="1865" t="s">
        <v>942</v>
      </c>
      <c r="W130" s="1865"/>
      <c r="X130" s="1865"/>
      <c r="Y130" s="1851"/>
      <c r="Z130" s="1851"/>
      <c r="AA130" s="1851"/>
      <c r="AB130" s="1851"/>
      <c r="AC130" s="1851"/>
      <c r="AD130" s="1851"/>
      <c r="AE130" s="1851"/>
      <c r="AF130" s="1851"/>
      <c r="AG130" s="1851"/>
      <c r="AH130" s="1851"/>
      <c r="AI130" s="1851"/>
      <c r="AJ130" s="1851"/>
      <c r="AK130" s="1851"/>
      <c r="AL130" s="1851"/>
      <c r="AM130" s="1851"/>
      <c r="AN130" s="1851"/>
      <c r="AO130" s="1851"/>
      <c r="AP130" s="1851"/>
      <c r="AQ130" s="1851"/>
      <c r="AR130" s="1851"/>
      <c r="AS130" s="1851"/>
      <c r="AT130" s="1851"/>
      <c r="AU130" s="1851"/>
      <c r="AV130" s="1851"/>
      <c r="AW130" s="1851"/>
      <c r="AX130" s="1851"/>
      <c r="AY130" s="1851"/>
      <c r="AZ130" s="1851"/>
      <c r="BA130" s="1851"/>
      <c r="BB130" s="1851"/>
    </row>
    <row r="131" spans="1:54" x14ac:dyDescent="0.25">
      <c r="A131" s="1854">
        <v>127</v>
      </c>
      <c r="B131" s="1854"/>
      <c r="C131" s="1869" t="s">
        <v>966</v>
      </c>
      <c r="D131" s="1869"/>
      <c r="E131" s="1869"/>
      <c r="F131" s="1869"/>
      <c r="G131" s="1869"/>
      <c r="H131" s="1869"/>
      <c r="I131" s="1869"/>
      <c r="J131" s="1869"/>
      <c r="K131" s="1869"/>
      <c r="L131" s="1869"/>
      <c r="M131" s="1869"/>
      <c r="N131" s="1869"/>
      <c r="O131" s="1869"/>
      <c r="P131" s="1869"/>
      <c r="Q131" s="1869"/>
      <c r="R131" s="1869"/>
      <c r="S131" s="1869"/>
      <c r="T131" s="1869"/>
      <c r="U131" s="1869"/>
      <c r="V131" s="1864" t="s">
        <v>967</v>
      </c>
      <c r="W131" s="1864"/>
      <c r="X131" s="1864"/>
      <c r="Y131" s="1857"/>
      <c r="Z131" s="1858"/>
      <c r="AA131" s="1858"/>
      <c r="AB131" s="1858"/>
      <c r="AC131" s="1859"/>
      <c r="AD131" s="1859"/>
      <c r="AE131" s="1857"/>
      <c r="AF131" s="1858"/>
      <c r="AG131" s="1858"/>
      <c r="AH131" s="1858"/>
      <c r="AI131" s="1859"/>
      <c r="AJ131" s="1859"/>
      <c r="AK131" s="1857"/>
      <c r="AL131" s="1858"/>
      <c r="AM131" s="1858"/>
      <c r="AN131" s="1858"/>
      <c r="AO131" s="1859"/>
      <c r="AP131" s="1859"/>
      <c r="AQ131" s="1857"/>
      <c r="AR131" s="1858"/>
      <c r="AS131" s="1858"/>
      <c r="AT131" s="1858"/>
      <c r="AU131" s="1859"/>
      <c r="AV131" s="1859"/>
      <c r="AW131" s="1857"/>
      <c r="AX131" s="1858"/>
      <c r="AY131" s="1858"/>
      <c r="AZ131" s="1858"/>
      <c r="BA131" s="1859"/>
      <c r="BB131" s="1859"/>
    </row>
    <row r="132" spans="1:54" x14ac:dyDescent="0.25">
      <c r="A132" s="1851">
        <v>128</v>
      </c>
      <c r="B132" s="1851"/>
      <c r="C132" s="1867" t="s">
        <v>968</v>
      </c>
      <c r="D132" s="1867"/>
      <c r="E132" s="1867"/>
      <c r="F132" s="1867"/>
      <c r="G132" s="1867"/>
      <c r="H132" s="1867"/>
      <c r="I132" s="1867"/>
      <c r="J132" s="1867"/>
      <c r="K132" s="1867"/>
      <c r="L132" s="1867"/>
      <c r="M132" s="1867"/>
      <c r="N132" s="1867"/>
      <c r="O132" s="1867"/>
      <c r="P132" s="1867"/>
      <c r="Q132" s="1867"/>
      <c r="R132" s="1867"/>
      <c r="S132" s="1867"/>
      <c r="T132" s="1867"/>
      <c r="U132" s="1867"/>
      <c r="V132" s="1865" t="s">
        <v>969</v>
      </c>
      <c r="W132" s="1865"/>
      <c r="X132" s="1865"/>
      <c r="Y132" s="1851"/>
      <c r="Z132" s="1851"/>
      <c r="AA132" s="1851"/>
      <c r="AB132" s="1851"/>
      <c r="AC132" s="1851"/>
      <c r="AD132" s="1851"/>
      <c r="AE132" s="1851"/>
      <c r="AF132" s="1851"/>
      <c r="AG132" s="1851"/>
      <c r="AH132" s="1851"/>
      <c r="AI132" s="1851"/>
      <c r="AJ132" s="1851"/>
      <c r="AK132" s="1851"/>
      <c r="AL132" s="1851"/>
      <c r="AM132" s="1851"/>
      <c r="AN132" s="1851"/>
      <c r="AO132" s="1851"/>
      <c r="AP132" s="1851"/>
      <c r="AQ132" s="1851"/>
      <c r="AR132" s="1851"/>
      <c r="AS132" s="1851"/>
      <c r="AT132" s="1851"/>
      <c r="AU132" s="1851"/>
      <c r="AV132" s="1851"/>
      <c r="AW132" s="1851"/>
      <c r="AX132" s="1851"/>
      <c r="AY132" s="1851"/>
      <c r="AZ132" s="1851"/>
      <c r="BA132" s="1851"/>
      <c r="BB132" s="1851"/>
    </row>
    <row r="133" spans="1:54" x14ac:dyDescent="0.25">
      <c r="A133" s="1851">
        <v>129</v>
      </c>
      <c r="B133" s="1851"/>
      <c r="C133" s="1867" t="s">
        <v>970</v>
      </c>
      <c r="D133" s="1867"/>
      <c r="E133" s="1867"/>
      <c r="F133" s="1867"/>
      <c r="G133" s="1867"/>
      <c r="H133" s="1867"/>
      <c r="I133" s="1867"/>
      <c r="J133" s="1867"/>
      <c r="K133" s="1867"/>
      <c r="L133" s="1867"/>
      <c r="M133" s="1867"/>
      <c r="N133" s="1867"/>
      <c r="O133" s="1867"/>
      <c r="P133" s="1867"/>
      <c r="Q133" s="1867"/>
      <c r="R133" s="1867"/>
      <c r="S133" s="1867"/>
      <c r="T133" s="1867"/>
      <c r="U133" s="1867"/>
      <c r="V133" s="1865" t="s">
        <v>969</v>
      </c>
      <c r="W133" s="1865"/>
      <c r="X133" s="1865"/>
      <c r="Y133" s="1851"/>
      <c r="Z133" s="1851"/>
      <c r="AA133" s="1851"/>
      <c r="AB133" s="1851"/>
      <c r="AC133" s="1851"/>
      <c r="AD133" s="1851"/>
      <c r="AE133" s="1851"/>
      <c r="AF133" s="1851"/>
      <c r="AG133" s="1851"/>
      <c r="AH133" s="1851"/>
      <c r="AI133" s="1851"/>
      <c r="AJ133" s="1851"/>
      <c r="AK133" s="1851"/>
      <c r="AL133" s="1851"/>
      <c r="AM133" s="1851"/>
      <c r="AN133" s="1851"/>
      <c r="AO133" s="1851"/>
      <c r="AP133" s="1851"/>
      <c r="AQ133" s="1851"/>
      <c r="AR133" s="1851"/>
      <c r="AS133" s="1851"/>
      <c r="AT133" s="1851"/>
      <c r="AU133" s="1851"/>
      <c r="AV133" s="1851"/>
      <c r="AW133" s="1851"/>
      <c r="AX133" s="1851"/>
      <c r="AY133" s="1851"/>
      <c r="AZ133" s="1851"/>
      <c r="BA133" s="1851"/>
      <c r="BB133" s="1851"/>
    </row>
    <row r="134" spans="1:54" x14ac:dyDescent="0.25">
      <c r="A134" s="1851">
        <v>130</v>
      </c>
      <c r="B134" s="1851"/>
      <c r="C134" s="1867" t="s">
        <v>971</v>
      </c>
      <c r="D134" s="1867"/>
      <c r="E134" s="1867"/>
      <c r="F134" s="1867"/>
      <c r="G134" s="1867"/>
      <c r="H134" s="1867"/>
      <c r="I134" s="1867"/>
      <c r="J134" s="1867"/>
      <c r="K134" s="1867"/>
      <c r="L134" s="1867"/>
      <c r="M134" s="1867"/>
      <c r="N134" s="1867"/>
      <c r="O134" s="1867"/>
      <c r="P134" s="1867"/>
      <c r="Q134" s="1867"/>
      <c r="R134" s="1867"/>
      <c r="S134" s="1867"/>
      <c r="T134" s="1867"/>
      <c r="U134" s="1867"/>
      <c r="V134" s="1865" t="s">
        <v>972</v>
      </c>
      <c r="W134" s="1865"/>
      <c r="X134" s="1865"/>
      <c r="Y134" s="1851"/>
      <c r="Z134" s="1851"/>
      <c r="AA134" s="1851"/>
      <c r="AB134" s="1851"/>
      <c r="AC134" s="1851"/>
      <c r="AD134" s="1851"/>
      <c r="AE134" s="1851"/>
      <c r="AF134" s="1851"/>
      <c r="AG134" s="1851"/>
      <c r="AH134" s="1851"/>
      <c r="AI134" s="1851"/>
      <c r="AJ134" s="1851"/>
      <c r="AK134" s="1851"/>
      <c r="AL134" s="1851"/>
      <c r="AM134" s="1851"/>
      <c r="AN134" s="1851"/>
      <c r="AO134" s="1851"/>
      <c r="AP134" s="1851"/>
      <c r="AQ134" s="1851"/>
      <c r="AR134" s="1851"/>
      <c r="AS134" s="1851"/>
      <c r="AT134" s="1851"/>
      <c r="AU134" s="1851"/>
      <c r="AV134" s="1851"/>
      <c r="AW134" s="1851"/>
      <c r="AX134" s="1851"/>
      <c r="AY134" s="1851"/>
      <c r="AZ134" s="1851"/>
      <c r="BA134" s="1851"/>
      <c r="BB134" s="1851"/>
    </row>
    <row r="135" spans="1:54" x14ac:dyDescent="0.25">
      <c r="A135" s="1851">
        <v>131</v>
      </c>
      <c r="B135" s="1851"/>
      <c r="C135" s="1867" t="s">
        <v>973</v>
      </c>
      <c r="D135" s="1867"/>
      <c r="E135" s="1867"/>
      <c r="F135" s="1867"/>
      <c r="G135" s="1867"/>
      <c r="H135" s="1867"/>
      <c r="I135" s="1867"/>
      <c r="J135" s="1867"/>
      <c r="K135" s="1867"/>
      <c r="L135" s="1867"/>
      <c r="M135" s="1867"/>
      <c r="N135" s="1867"/>
      <c r="O135" s="1867"/>
      <c r="P135" s="1867"/>
      <c r="Q135" s="1867"/>
      <c r="R135" s="1867"/>
      <c r="S135" s="1867"/>
      <c r="T135" s="1867"/>
      <c r="U135" s="1867"/>
      <c r="V135" s="1865" t="s">
        <v>974</v>
      </c>
      <c r="W135" s="1865"/>
      <c r="X135" s="1865"/>
      <c r="Y135" s="1851"/>
      <c r="Z135" s="1851"/>
      <c r="AA135" s="1851"/>
      <c r="AB135" s="1851"/>
      <c r="AC135" s="1851"/>
      <c r="AD135" s="1851"/>
      <c r="AE135" s="1851"/>
      <c r="AF135" s="1851"/>
      <c r="AG135" s="1851"/>
      <c r="AH135" s="1851"/>
      <c r="AI135" s="1851"/>
      <c r="AJ135" s="1851"/>
      <c r="AK135" s="1851"/>
      <c r="AL135" s="1851"/>
      <c r="AM135" s="1851"/>
      <c r="AN135" s="1851"/>
      <c r="AO135" s="1851"/>
      <c r="AP135" s="1851"/>
      <c r="AQ135" s="1851"/>
      <c r="AR135" s="1851"/>
      <c r="AS135" s="1851"/>
      <c r="AT135" s="1851"/>
      <c r="AU135" s="1851"/>
      <c r="AV135" s="1851"/>
      <c r="AW135" s="1851"/>
      <c r="AX135" s="1851"/>
      <c r="AY135" s="1851"/>
      <c r="AZ135" s="1851"/>
      <c r="BA135" s="1851"/>
      <c r="BB135" s="1851"/>
    </row>
    <row r="136" spans="1:54" x14ac:dyDescent="0.25">
      <c r="A136" s="1851">
        <v>132</v>
      </c>
      <c r="B136" s="1851"/>
      <c r="C136" s="1867" t="s">
        <v>975</v>
      </c>
      <c r="D136" s="1867"/>
      <c r="E136" s="1867"/>
      <c r="F136" s="1867"/>
      <c r="G136" s="1867"/>
      <c r="H136" s="1867"/>
      <c r="I136" s="1867"/>
      <c r="J136" s="1867"/>
      <c r="K136" s="1867"/>
      <c r="L136" s="1867"/>
      <c r="M136" s="1867"/>
      <c r="N136" s="1867"/>
      <c r="O136" s="1867"/>
      <c r="P136" s="1867"/>
      <c r="Q136" s="1867"/>
      <c r="R136" s="1867"/>
      <c r="S136" s="1867"/>
      <c r="T136" s="1867"/>
      <c r="U136" s="1867"/>
      <c r="V136" s="1865" t="s">
        <v>976</v>
      </c>
      <c r="W136" s="1865"/>
      <c r="X136" s="1865"/>
      <c r="Y136" s="1857"/>
      <c r="Z136" s="1858"/>
      <c r="AA136" s="1858"/>
      <c r="AB136" s="1858"/>
      <c r="AC136" s="1859"/>
      <c r="AD136" s="1859"/>
      <c r="AE136" s="1857"/>
      <c r="AF136" s="1858"/>
      <c r="AG136" s="1858"/>
      <c r="AH136" s="1858"/>
      <c r="AI136" s="1859"/>
      <c r="AJ136" s="1859"/>
      <c r="AK136" s="1857"/>
      <c r="AL136" s="1858"/>
      <c r="AM136" s="1858"/>
      <c r="AN136" s="1858"/>
      <c r="AO136" s="1859"/>
      <c r="AP136" s="1859"/>
      <c r="AQ136" s="1857"/>
      <c r="AR136" s="1858"/>
      <c r="AS136" s="1858"/>
      <c r="AT136" s="1858"/>
      <c r="AU136" s="1859"/>
      <c r="AV136" s="1859"/>
      <c r="AW136" s="1857"/>
      <c r="AX136" s="1858"/>
      <c r="AY136" s="1858"/>
      <c r="AZ136" s="1858"/>
      <c r="BA136" s="1859"/>
      <c r="BB136" s="1859"/>
    </row>
    <row r="137" spans="1:54" x14ac:dyDescent="0.25">
      <c r="A137" s="1851">
        <v>133</v>
      </c>
      <c r="B137" s="1851"/>
      <c r="C137" s="1868" t="s">
        <v>977</v>
      </c>
      <c r="D137" s="1868"/>
      <c r="E137" s="1868"/>
      <c r="F137" s="1868"/>
      <c r="G137" s="1868"/>
      <c r="H137" s="1868"/>
      <c r="I137" s="1868"/>
      <c r="J137" s="1868"/>
      <c r="K137" s="1868"/>
      <c r="L137" s="1868"/>
      <c r="M137" s="1868"/>
      <c r="N137" s="1868"/>
      <c r="O137" s="1868"/>
      <c r="P137" s="1868"/>
      <c r="Q137" s="1868"/>
      <c r="R137" s="1868"/>
      <c r="S137" s="1868"/>
      <c r="T137" s="1868"/>
      <c r="U137" s="1868"/>
      <c r="V137" s="1865" t="s">
        <v>976</v>
      </c>
      <c r="W137" s="1865"/>
      <c r="X137" s="1865"/>
      <c r="Y137" s="1851"/>
      <c r="Z137" s="1851"/>
      <c r="AA137" s="1851"/>
      <c r="AB137" s="1851"/>
      <c r="AC137" s="1851"/>
      <c r="AD137" s="1851"/>
      <c r="AE137" s="1851"/>
      <c r="AF137" s="1851"/>
      <c r="AG137" s="1851"/>
      <c r="AH137" s="1851"/>
      <c r="AI137" s="1851"/>
      <c r="AJ137" s="1851"/>
      <c r="AK137" s="1851"/>
      <c r="AL137" s="1851"/>
      <c r="AM137" s="1851"/>
      <c r="AN137" s="1851"/>
      <c r="AO137" s="1851"/>
      <c r="AP137" s="1851"/>
      <c r="AQ137" s="1851"/>
      <c r="AR137" s="1851"/>
      <c r="AS137" s="1851"/>
      <c r="AT137" s="1851"/>
      <c r="AU137" s="1851"/>
      <c r="AV137" s="1851"/>
      <c r="AW137" s="1851"/>
      <c r="AX137" s="1851"/>
      <c r="AY137" s="1851"/>
      <c r="AZ137" s="1851"/>
      <c r="BA137" s="1851"/>
      <c r="BB137" s="1851"/>
    </row>
    <row r="138" spans="1:54" x14ac:dyDescent="0.25">
      <c r="A138" s="1851">
        <v>134</v>
      </c>
      <c r="B138" s="1851"/>
      <c r="C138" s="1868" t="s">
        <v>978</v>
      </c>
      <c r="D138" s="1868"/>
      <c r="E138" s="1868"/>
      <c r="F138" s="1868"/>
      <c r="G138" s="1868"/>
      <c r="H138" s="1868"/>
      <c r="I138" s="1868"/>
      <c r="J138" s="1868"/>
      <c r="K138" s="1868"/>
      <c r="L138" s="1868"/>
      <c r="M138" s="1868"/>
      <c r="N138" s="1868"/>
      <c r="O138" s="1868"/>
      <c r="P138" s="1868"/>
      <c r="Q138" s="1868"/>
      <c r="R138" s="1868"/>
      <c r="S138" s="1868"/>
      <c r="T138" s="1868"/>
      <c r="U138" s="1868"/>
      <c r="V138" s="1865" t="s">
        <v>976</v>
      </c>
      <c r="W138" s="1865"/>
      <c r="X138" s="1865"/>
      <c r="Y138" s="1851"/>
      <c r="Z138" s="1851"/>
      <c r="AA138" s="1851"/>
      <c r="AB138" s="1851"/>
      <c r="AC138" s="1851"/>
      <c r="AD138" s="1851"/>
      <c r="AE138" s="1851"/>
      <c r="AF138" s="1851"/>
      <c r="AG138" s="1851"/>
      <c r="AH138" s="1851"/>
      <c r="AI138" s="1851"/>
      <c r="AJ138" s="1851"/>
      <c r="AK138" s="1851"/>
      <c r="AL138" s="1851"/>
      <c r="AM138" s="1851"/>
      <c r="AN138" s="1851"/>
      <c r="AO138" s="1851"/>
      <c r="AP138" s="1851"/>
      <c r="AQ138" s="1851"/>
      <c r="AR138" s="1851"/>
      <c r="AS138" s="1851"/>
      <c r="AT138" s="1851"/>
      <c r="AU138" s="1851"/>
      <c r="AV138" s="1851"/>
      <c r="AW138" s="1851"/>
      <c r="AX138" s="1851"/>
      <c r="AY138" s="1851"/>
      <c r="AZ138" s="1851"/>
      <c r="BA138" s="1851"/>
      <c r="BB138" s="1851"/>
    </row>
    <row r="139" spans="1:54" x14ac:dyDescent="0.25">
      <c r="A139" s="1851">
        <v>135</v>
      </c>
      <c r="B139" s="1851"/>
      <c r="C139" s="1868" t="s">
        <v>979</v>
      </c>
      <c r="D139" s="1868"/>
      <c r="E139" s="1868"/>
      <c r="F139" s="1868"/>
      <c r="G139" s="1868"/>
      <c r="H139" s="1868"/>
      <c r="I139" s="1868"/>
      <c r="J139" s="1868"/>
      <c r="K139" s="1868"/>
      <c r="L139" s="1868"/>
      <c r="M139" s="1868"/>
      <c r="N139" s="1868"/>
      <c r="O139" s="1868"/>
      <c r="P139" s="1868"/>
      <c r="Q139" s="1868"/>
      <c r="R139" s="1868"/>
      <c r="S139" s="1868"/>
      <c r="T139" s="1868"/>
      <c r="U139" s="1868"/>
      <c r="V139" s="1865" t="s">
        <v>976</v>
      </c>
      <c r="W139" s="1865"/>
      <c r="X139" s="1865"/>
      <c r="Y139" s="1851"/>
      <c r="Z139" s="1851"/>
      <c r="AA139" s="1851"/>
      <c r="AB139" s="1851"/>
      <c r="AC139" s="1851"/>
      <c r="AD139" s="1851"/>
      <c r="AE139" s="1851"/>
      <c r="AF139" s="1851"/>
      <c r="AG139" s="1851"/>
      <c r="AH139" s="1851"/>
      <c r="AI139" s="1851"/>
      <c r="AJ139" s="1851"/>
      <c r="AK139" s="1851"/>
      <c r="AL139" s="1851"/>
      <c r="AM139" s="1851"/>
      <c r="AN139" s="1851"/>
      <c r="AO139" s="1851"/>
      <c r="AP139" s="1851"/>
      <c r="AQ139" s="1851"/>
      <c r="AR139" s="1851"/>
      <c r="AS139" s="1851"/>
      <c r="AT139" s="1851"/>
      <c r="AU139" s="1851"/>
      <c r="AV139" s="1851"/>
      <c r="AW139" s="1851"/>
      <c r="AX139" s="1851"/>
      <c r="AY139" s="1851"/>
      <c r="AZ139" s="1851"/>
      <c r="BA139" s="1851"/>
      <c r="BB139" s="1851"/>
    </row>
    <row r="140" spans="1:54" x14ac:dyDescent="0.25">
      <c r="A140" s="1851">
        <v>136</v>
      </c>
      <c r="B140" s="1851"/>
      <c r="C140" s="1868" t="s">
        <v>980</v>
      </c>
      <c r="D140" s="1868"/>
      <c r="E140" s="1868"/>
      <c r="F140" s="1868"/>
      <c r="G140" s="1868"/>
      <c r="H140" s="1868"/>
      <c r="I140" s="1868"/>
      <c r="J140" s="1868"/>
      <c r="K140" s="1868"/>
      <c r="L140" s="1868"/>
      <c r="M140" s="1868"/>
      <c r="N140" s="1868"/>
      <c r="O140" s="1868"/>
      <c r="P140" s="1868"/>
      <c r="Q140" s="1868"/>
      <c r="R140" s="1868"/>
      <c r="S140" s="1868"/>
      <c r="T140" s="1868"/>
      <c r="U140" s="1868"/>
      <c r="V140" s="1865" t="s">
        <v>976</v>
      </c>
      <c r="W140" s="1865"/>
      <c r="X140" s="1865"/>
      <c r="Y140" s="1851"/>
      <c r="Z140" s="1851"/>
      <c r="AA140" s="1851"/>
      <c r="AB140" s="1851"/>
      <c r="AC140" s="1851"/>
      <c r="AD140" s="1851"/>
      <c r="AE140" s="1851"/>
      <c r="AF140" s="1851"/>
      <c r="AG140" s="1851"/>
      <c r="AH140" s="1851"/>
      <c r="AI140" s="1851"/>
      <c r="AJ140" s="1851"/>
      <c r="AK140" s="1851"/>
      <c r="AL140" s="1851"/>
      <c r="AM140" s="1851"/>
      <c r="AN140" s="1851"/>
      <c r="AO140" s="1851"/>
      <c r="AP140" s="1851"/>
      <c r="AQ140" s="1851"/>
      <c r="AR140" s="1851"/>
      <c r="AS140" s="1851"/>
      <c r="AT140" s="1851"/>
      <c r="AU140" s="1851"/>
      <c r="AV140" s="1851"/>
      <c r="AW140" s="1851"/>
      <c r="AX140" s="1851"/>
      <c r="AY140" s="1851"/>
      <c r="AZ140" s="1851"/>
      <c r="BA140" s="1851"/>
      <c r="BB140" s="1851"/>
    </row>
    <row r="141" spans="1:54" x14ac:dyDescent="0.25">
      <c r="A141" s="1851">
        <v>137</v>
      </c>
      <c r="B141" s="1851"/>
      <c r="C141" s="1868" t="s">
        <v>981</v>
      </c>
      <c r="D141" s="1868"/>
      <c r="E141" s="1868"/>
      <c r="F141" s="1868"/>
      <c r="G141" s="1868"/>
      <c r="H141" s="1868"/>
      <c r="I141" s="1868"/>
      <c r="J141" s="1868"/>
      <c r="K141" s="1868"/>
      <c r="L141" s="1868"/>
      <c r="M141" s="1868"/>
      <c r="N141" s="1868"/>
      <c r="O141" s="1868"/>
      <c r="P141" s="1868"/>
      <c r="Q141" s="1868"/>
      <c r="R141" s="1868"/>
      <c r="S141" s="1868"/>
      <c r="T141" s="1868"/>
      <c r="U141" s="1868"/>
      <c r="V141" s="1865" t="s">
        <v>976</v>
      </c>
      <c r="W141" s="1865"/>
      <c r="X141" s="1865"/>
      <c r="Y141" s="1851"/>
      <c r="Z141" s="1851"/>
      <c r="AA141" s="1851"/>
      <c r="AB141" s="1851"/>
      <c r="AC141" s="1851"/>
      <c r="AD141" s="1851"/>
      <c r="AE141" s="1851"/>
      <c r="AF141" s="1851"/>
      <c r="AG141" s="1851"/>
      <c r="AH141" s="1851"/>
      <c r="AI141" s="1851"/>
      <c r="AJ141" s="1851"/>
      <c r="AK141" s="1851"/>
      <c r="AL141" s="1851"/>
      <c r="AM141" s="1851"/>
      <c r="AN141" s="1851"/>
      <c r="AO141" s="1851"/>
      <c r="AP141" s="1851"/>
      <c r="AQ141" s="1851"/>
      <c r="AR141" s="1851"/>
      <c r="AS141" s="1851"/>
      <c r="AT141" s="1851"/>
      <c r="AU141" s="1851"/>
      <c r="AV141" s="1851"/>
      <c r="AW141" s="1851"/>
      <c r="AX141" s="1851"/>
      <c r="AY141" s="1851"/>
      <c r="AZ141" s="1851"/>
      <c r="BA141" s="1851"/>
      <c r="BB141" s="1851"/>
    </row>
    <row r="142" spans="1:54" x14ac:dyDescent="0.25">
      <c r="A142" s="1851">
        <v>138</v>
      </c>
      <c r="B142" s="1851"/>
      <c r="C142" s="1868" t="s">
        <v>982</v>
      </c>
      <c r="D142" s="1868"/>
      <c r="E142" s="1868"/>
      <c r="F142" s="1868"/>
      <c r="G142" s="1868"/>
      <c r="H142" s="1868"/>
      <c r="I142" s="1868"/>
      <c r="J142" s="1868"/>
      <c r="K142" s="1868"/>
      <c r="L142" s="1868"/>
      <c r="M142" s="1868"/>
      <c r="N142" s="1868"/>
      <c r="O142" s="1868"/>
      <c r="P142" s="1868"/>
      <c r="Q142" s="1868"/>
      <c r="R142" s="1868"/>
      <c r="S142" s="1868"/>
      <c r="T142" s="1868"/>
      <c r="U142" s="1868"/>
      <c r="V142" s="1865" t="s">
        <v>976</v>
      </c>
      <c r="W142" s="1865"/>
      <c r="X142" s="1865"/>
      <c r="Y142" s="1851"/>
      <c r="Z142" s="1851"/>
      <c r="AA142" s="1851"/>
      <c r="AB142" s="1851"/>
      <c r="AC142" s="1851"/>
      <c r="AD142" s="1851"/>
      <c r="AE142" s="1851"/>
      <c r="AF142" s="1851"/>
      <c r="AG142" s="1851"/>
      <c r="AH142" s="1851"/>
      <c r="AI142" s="1851"/>
      <c r="AJ142" s="1851"/>
      <c r="AK142" s="1851"/>
      <c r="AL142" s="1851"/>
      <c r="AM142" s="1851"/>
      <c r="AN142" s="1851"/>
      <c r="AO142" s="1851"/>
      <c r="AP142" s="1851"/>
      <c r="AQ142" s="1851"/>
      <c r="AR142" s="1851"/>
      <c r="AS142" s="1851"/>
      <c r="AT142" s="1851"/>
      <c r="AU142" s="1851"/>
      <c r="AV142" s="1851"/>
      <c r="AW142" s="1851"/>
      <c r="AX142" s="1851"/>
      <c r="AY142" s="1851"/>
      <c r="AZ142" s="1851"/>
      <c r="BA142" s="1851"/>
      <c r="BB142" s="1851"/>
    </row>
    <row r="143" spans="1:54" x14ac:dyDescent="0.25">
      <c r="A143" s="1851">
        <v>139</v>
      </c>
      <c r="B143" s="1851"/>
      <c r="C143" s="1868" t="s">
        <v>983</v>
      </c>
      <c r="D143" s="1868"/>
      <c r="E143" s="1868"/>
      <c r="F143" s="1868"/>
      <c r="G143" s="1868"/>
      <c r="H143" s="1868"/>
      <c r="I143" s="1868"/>
      <c r="J143" s="1868"/>
      <c r="K143" s="1868"/>
      <c r="L143" s="1868"/>
      <c r="M143" s="1868"/>
      <c r="N143" s="1868"/>
      <c r="O143" s="1868"/>
      <c r="P143" s="1868"/>
      <c r="Q143" s="1868"/>
      <c r="R143" s="1868"/>
      <c r="S143" s="1868"/>
      <c r="T143" s="1868"/>
      <c r="U143" s="1868"/>
      <c r="V143" s="1865" t="s">
        <v>976</v>
      </c>
      <c r="W143" s="1865"/>
      <c r="X143" s="1865"/>
      <c r="Y143" s="1851"/>
      <c r="Z143" s="1851"/>
      <c r="AA143" s="1851"/>
      <c r="AB143" s="1851"/>
      <c r="AC143" s="1851"/>
      <c r="AD143" s="1851"/>
      <c r="AE143" s="1851"/>
      <c r="AF143" s="1851"/>
      <c r="AG143" s="1851"/>
      <c r="AH143" s="1851"/>
      <c r="AI143" s="1851"/>
      <c r="AJ143" s="1851"/>
      <c r="AK143" s="1851"/>
      <c r="AL143" s="1851"/>
      <c r="AM143" s="1851"/>
      <c r="AN143" s="1851"/>
      <c r="AO143" s="1851"/>
      <c r="AP143" s="1851"/>
      <c r="AQ143" s="1851"/>
      <c r="AR143" s="1851"/>
      <c r="AS143" s="1851"/>
      <c r="AT143" s="1851"/>
      <c r="AU143" s="1851"/>
      <c r="AV143" s="1851"/>
      <c r="AW143" s="1851"/>
      <c r="AX143" s="1851"/>
      <c r="AY143" s="1851"/>
      <c r="AZ143" s="1851"/>
      <c r="BA143" s="1851"/>
      <c r="BB143" s="1851"/>
    </row>
    <row r="144" spans="1:54" x14ac:dyDescent="0.25">
      <c r="A144" s="1851">
        <v>140</v>
      </c>
      <c r="B144" s="1851"/>
      <c r="C144" s="1868" t="s">
        <v>984</v>
      </c>
      <c r="D144" s="1868"/>
      <c r="E144" s="1868"/>
      <c r="F144" s="1868"/>
      <c r="G144" s="1868"/>
      <c r="H144" s="1868"/>
      <c r="I144" s="1868"/>
      <c r="J144" s="1868"/>
      <c r="K144" s="1868"/>
      <c r="L144" s="1868"/>
      <c r="M144" s="1868"/>
      <c r="N144" s="1868"/>
      <c r="O144" s="1868"/>
      <c r="P144" s="1868"/>
      <c r="Q144" s="1868"/>
      <c r="R144" s="1868"/>
      <c r="S144" s="1868"/>
      <c r="T144" s="1868"/>
      <c r="U144" s="1868"/>
      <c r="V144" s="1865" t="s">
        <v>976</v>
      </c>
      <c r="W144" s="1865"/>
      <c r="X144" s="1865"/>
      <c r="Y144" s="1851"/>
      <c r="Z144" s="1851"/>
      <c r="AA144" s="1851"/>
      <c r="AB144" s="1851"/>
      <c r="AC144" s="1851"/>
      <c r="AD144" s="1851"/>
      <c r="AE144" s="1851"/>
      <c r="AF144" s="1851"/>
      <c r="AG144" s="1851"/>
      <c r="AH144" s="1851"/>
      <c r="AI144" s="1851"/>
      <c r="AJ144" s="1851"/>
      <c r="AK144" s="1851"/>
      <c r="AL144" s="1851"/>
      <c r="AM144" s="1851"/>
      <c r="AN144" s="1851"/>
      <c r="AO144" s="1851"/>
      <c r="AP144" s="1851"/>
      <c r="AQ144" s="1851"/>
      <c r="AR144" s="1851"/>
      <c r="AS144" s="1851"/>
      <c r="AT144" s="1851"/>
      <c r="AU144" s="1851"/>
      <c r="AV144" s="1851"/>
      <c r="AW144" s="1851"/>
      <c r="AX144" s="1851"/>
      <c r="AY144" s="1851"/>
      <c r="AZ144" s="1851"/>
      <c r="BA144" s="1851"/>
      <c r="BB144" s="1851"/>
    </row>
    <row r="145" spans="1:54" x14ac:dyDescent="0.25">
      <c r="A145" s="1851">
        <v>141</v>
      </c>
      <c r="B145" s="1851"/>
      <c r="C145" s="1868" t="s">
        <v>985</v>
      </c>
      <c r="D145" s="1868"/>
      <c r="E145" s="1868"/>
      <c r="F145" s="1868"/>
      <c r="G145" s="1868"/>
      <c r="H145" s="1868"/>
      <c r="I145" s="1868"/>
      <c r="J145" s="1868"/>
      <c r="K145" s="1868"/>
      <c r="L145" s="1868"/>
      <c r="M145" s="1868"/>
      <c r="N145" s="1868"/>
      <c r="O145" s="1868"/>
      <c r="P145" s="1868"/>
      <c r="Q145" s="1868"/>
      <c r="R145" s="1868"/>
      <c r="S145" s="1868"/>
      <c r="T145" s="1868"/>
      <c r="U145" s="1868"/>
      <c r="V145" s="1865" t="s">
        <v>976</v>
      </c>
      <c r="W145" s="1865"/>
      <c r="X145" s="1865"/>
      <c r="Y145" s="1851"/>
      <c r="Z145" s="1851"/>
      <c r="AA145" s="1851"/>
      <c r="AB145" s="1851"/>
      <c r="AC145" s="1851"/>
      <c r="AD145" s="1851"/>
      <c r="AE145" s="1851"/>
      <c r="AF145" s="1851"/>
      <c r="AG145" s="1851"/>
      <c r="AH145" s="1851"/>
      <c r="AI145" s="1851"/>
      <c r="AJ145" s="1851"/>
      <c r="AK145" s="1851"/>
      <c r="AL145" s="1851"/>
      <c r="AM145" s="1851"/>
      <c r="AN145" s="1851"/>
      <c r="AO145" s="1851"/>
      <c r="AP145" s="1851"/>
      <c r="AQ145" s="1851"/>
      <c r="AR145" s="1851"/>
      <c r="AS145" s="1851"/>
      <c r="AT145" s="1851"/>
      <c r="AU145" s="1851"/>
      <c r="AV145" s="1851"/>
      <c r="AW145" s="1851"/>
      <c r="AX145" s="1851"/>
      <c r="AY145" s="1851"/>
      <c r="AZ145" s="1851"/>
      <c r="BA145" s="1851"/>
      <c r="BB145" s="1851"/>
    </row>
    <row r="146" spans="1:54" x14ac:dyDescent="0.25">
      <c r="A146" s="1851">
        <v>142</v>
      </c>
      <c r="B146" s="1851"/>
      <c r="C146" s="1868" t="s">
        <v>986</v>
      </c>
      <c r="D146" s="1868"/>
      <c r="E146" s="1868"/>
      <c r="F146" s="1868"/>
      <c r="G146" s="1868"/>
      <c r="H146" s="1868"/>
      <c r="I146" s="1868"/>
      <c r="J146" s="1868"/>
      <c r="K146" s="1868"/>
      <c r="L146" s="1868"/>
      <c r="M146" s="1868"/>
      <c r="N146" s="1868"/>
      <c r="O146" s="1868"/>
      <c r="P146" s="1868"/>
      <c r="Q146" s="1868"/>
      <c r="R146" s="1868"/>
      <c r="S146" s="1868"/>
      <c r="T146" s="1868"/>
      <c r="U146" s="1868"/>
      <c r="V146" s="1865" t="s">
        <v>976</v>
      </c>
      <c r="W146" s="1865"/>
      <c r="X146" s="1865"/>
      <c r="Y146" s="1851"/>
      <c r="Z146" s="1851"/>
      <c r="AA146" s="1851"/>
      <c r="AB146" s="1851"/>
      <c r="AC146" s="1851"/>
      <c r="AD146" s="1851"/>
      <c r="AE146" s="1851"/>
      <c r="AF146" s="1851"/>
      <c r="AG146" s="1851"/>
      <c r="AH146" s="1851"/>
      <c r="AI146" s="1851"/>
      <c r="AJ146" s="1851"/>
      <c r="AK146" s="1851"/>
      <c r="AL146" s="1851"/>
      <c r="AM146" s="1851"/>
      <c r="AN146" s="1851"/>
      <c r="AO146" s="1851"/>
      <c r="AP146" s="1851"/>
      <c r="AQ146" s="1851"/>
      <c r="AR146" s="1851"/>
      <c r="AS146" s="1851"/>
      <c r="AT146" s="1851"/>
      <c r="AU146" s="1851"/>
      <c r="AV146" s="1851"/>
      <c r="AW146" s="1851"/>
      <c r="AX146" s="1851"/>
      <c r="AY146" s="1851"/>
      <c r="AZ146" s="1851"/>
      <c r="BA146" s="1851"/>
      <c r="BB146" s="1851"/>
    </row>
    <row r="147" spans="1:54" x14ac:dyDescent="0.25">
      <c r="A147" s="1851">
        <v>143</v>
      </c>
      <c r="B147" s="1851"/>
      <c r="C147" s="1867" t="s">
        <v>987</v>
      </c>
      <c r="D147" s="1867"/>
      <c r="E147" s="1867"/>
      <c r="F147" s="1867"/>
      <c r="G147" s="1867"/>
      <c r="H147" s="1867"/>
      <c r="I147" s="1867"/>
      <c r="J147" s="1867"/>
      <c r="K147" s="1867"/>
      <c r="L147" s="1867"/>
      <c r="M147" s="1867"/>
      <c r="N147" s="1867"/>
      <c r="O147" s="1867"/>
      <c r="P147" s="1867"/>
      <c r="Q147" s="1867"/>
      <c r="R147" s="1867"/>
      <c r="S147" s="1867"/>
      <c r="T147" s="1867"/>
      <c r="U147" s="1867"/>
      <c r="V147" s="1865" t="s">
        <v>988</v>
      </c>
      <c r="W147" s="1865"/>
      <c r="X147" s="1865"/>
      <c r="Y147" s="1857"/>
      <c r="Z147" s="1858"/>
      <c r="AA147" s="1858"/>
      <c r="AB147" s="1858"/>
      <c r="AC147" s="1859"/>
      <c r="AD147" s="1859"/>
      <c r="AE147" s="1857"/>
      <c r="AF147" s="1858"/>
      <c r="AG147" s="1858"/>
      <c r="AH147" s="1858"/>
      <c r="AI147" s="1859"/>
      <c r="AJ147" s="1859"/>
      <c r="AK147" s="1857"/>
      <c r="AL147" s="1858"/>
      <c r="AM147" s="1858"/>
      <c r="AN147" s="1858"/>
      <c r="AO147" s="1859"/>
      <c r="AP147" s="1859"/>
      <c r="AQ147" s="1857"/>
      <c r="AR147" s="1858"/>
      <c r="AS147" s="1858"/>
      <c r="AT147" s="1858"/>
      <c r="AU147" s="1859"/>
      <c r="AV147" s="1859"/>
      <c r="AW147" s="1857"/>
      <c r="AX147" s="1858"/>
      <c r="AY147" s="1858"/>
      <c r="AZ147" s="1858"/>
      <c r="BA147" s="1859"/>
      <c r="BB147" s="1859"/>
    </row>
    <row r="148" spans="1:54" x14ac:dyDescent="0.25">
      <c r="A148" s="1851">
        <v>144</v>
      </c>
      <c r="B148" s="1851"/>
      <c r="C148" s="1868" t="s">
        <v>977</v>
      </c>
      <c r="D148" s="1868"/>
      <c r="E148" s="1868"/>
      <c r="F148" s="1868"/>
      <c r="G148" s="1868"/>
      <c r="H148" s="1868"/>
      <c r="I148" s="1868"/>
      <c r="J148" s="1868"/>
      <c r="K148" s="1868"/>
      <c r="L148" s="1868"/>
      <c r="M148" s="1868"/>
      <c r="N148" s="1868"/>
      <c r="O148" s="1868"/>
      <c r="P148" s="1868"/>
      <c r="Q148" s="1868"/>
      <c r="R148" s="1868"/>
      <c r="S148" s="1868"/>
      <c r="T148" s="1868"/>
      <c r="U148" s="1868"/>
      <c r="V148" s="1865" t="s">
        <v>988</v>
      </c>
      <c r="W148" s="1865"/>
      <c r="X148" s="1865"/>
      <c r="Y148" s="1851"/>
      <c r="Z148" s="1851"/>
      <c r="AA148" s="1851"/>
      <c r="AB148" s="1851"/>
      <c r="AC148" s="1851"/>
      <c r="AD148" s="1851"/>
      <c r="AE148" s="1851"/>
      <c r="AF148" s="1851"/>
      <c r="AG148" s="1851"/>
      <c r="AH148" s="1851"/>
      <c r="AI148" s="1851"/>
      <c r="AJ148" s="1851"/>
      <c r="AK148" s="1851"/>
      <c r="AL148" s="1851"/>
      <c r="AM148" s="1851"/>
      <c r="AN148" s="1851"/>
      <c r="AO148" s="1851"/>
      <c r="AP148" s="1851"/>
      <c r="AQ148" s="1851"/>
      <c r="AR148" s="1851"/>
      <c r="AS148" s="1851"/>
      <c r="AT148" s="1851"/>
      <c r="AU148" s="1851"/>
      <c r="AV148" s="1851"/>
      <c r="AW148" s="1851"/>
      <c r="AX148" s="1851"/>
      <c r="AY148" s="1851"/>
      <c r="AZ148" s="1851"/>
      <c r="BA148" s="1851"/>
      <c r="BB148" s="1851"/>
    </row>
    <row r="149" spans="1:54" x14ac:dyDescent="0.25">
      <c r="A149" s="1851">
        <v>145</v>
      </c>
      <c r="B149" s="1851"/>
      <c r="C149" s="1868" t="s">
        <v>978</v>
      </c>
      <c r="D149" s="1868"/>
      <c r="E149" s="1868"/>
      <c r="F149" s="1868"/>
      <c r="G149" s="1868"/>
      <c r="H149" s="1868"/>
      <c r="I149" s="1868"/>
      <c r="J149" s="1868"/>
      <c r="K149" s="1868"/>
      <c r="L149" s="1868"/>
      <c r="M149" s="1868"/>
      <c r="N149" s="1868"/>
      <c r="O149" s="1868"/>
      <c r="P149" s="1868"/>
      <c r="Q149" s="1868"/>
      <c r="R149" s="1868"/>
      <c r="S149" s="1868"/>
      <c r="T149" s="1868"/>
      <c r="U149" s="1868"/>
      <c r="V149" s="1865" t="s">
        <v>988</v>
      </c>
      <c r="W149" s="1865"/>
      <c r="X149" s="1865"/>
      <c r="Y149" s="1851"/>
      <c r="Z149" s="1851"/>
      <c r="AA149" s="1851"/>
      <c r="AB149" s="1851"/>
      <c r="AC149" s="1851"/>
      <c r="AD149" s="1851"/>
      <c r="AE149" s="1851"/>
      <c r="AF149" s="1851"/>
      <c r="AG149" s="1851"/>
      <c r="AH149" s="1851"/>
      <c r="AI149" s="1851"/>
      <c r="AJ149" s="1851"/>
      <c r="AK149" s="1851"/>
      <c r="AL149" s="1851"/>
      <c r="AM149" s="1851"/>
      <c r="AN149" s="1851"/>
      <c r="AO149" s="1851"/>
      <c r="AP149" s="1851"/>
      <c r="AQ149" s="1851"/>
      <c r="AR149" s="1851"/>
      <c r="AS149" s="1851"/>
      <c r="AT149" s="1851"/>
      <c r="AU149" s="1851"/>
      <c r="AV149" s="1851"/>
      <c r="AW149" s="1851"/>
      <c r="AX149" s="1851"/>
      <c r="AY149" s="1851"/>
      <c r="AZ149" s="1851"/>
      <c r="BA149" s="1851"/>
      <c r="BB149" s="1851"/>
    </row>
    <row r="150" spans="1:54" x14ac:dyDescent="0.25">
      <c r="A150" s="1851">
        <v>146</v>
      </c>
      <c r="B150" s="1851"/>
      <c r="C150" s="1868" t="s">
        <v>979</v>
      </c>
      <c r="D150" s="1868"/>
      <c r="E150" s="1868"/>
      <c r="F150" s="1868"/>
      <c r="G150" s="1868"/>
      <c r="H150" s="1868"/>
      <c r="I150" s="1868"/>
      <c r="J150" s="1868"/>
      <c r="K150" s="1868"/>
      <c r="L150" s="1868"/>
      <c r="M150" s="1868"/>
      <c r="N150" s="1868"/>
      <c r="O150" s="1868"/>
      <c r="P150" s="1868"/>
      <c r="Q150" s="1868"/>
      <c r="R150" s="1868"/>
      <c r="S150" s="1868"/>
      <c r="T150" s="1868"/>
      <c r="U150" s="1868"/>
      <c r="V150" s="1865" t="s">
        <v>988</v>
      </c>
      <c r="W150" s="1865"/>
      <c r="X150" s="1865"/>
      <c r="Y150" s="1851"/>
      <c r="Z150" s="1851"/>
      <c r="AA150" s="1851"/>
      <c r="AB150" s="1851"/>
      <c r="AC150" s="1851"/>
      <c r="AD150" s="1851"/>
      <c r="AE150" s="1851"/>
      <c r="AF150" s="1851"/>
      <c r="AG150" s="1851"/>
      <c r="AH150" s="1851"/>
      <c r="AI150" s="1851"/>
      <c r="AJ150" s="1851"/>
      <c r="AK150" s="1851"/>
      <c r="AL150" s="1851"/>
      <c r="AM150" s="1851"/>
      <c r="AN150" s="1851"/>
      <c r="AO150" s="1851"/>
      <c r="AP150" s="1851"/>
      <c r="AQ150" s="1851"/>
      <c r="AR150" s="1851"/>
      <c r="AS150" s="1851"/>
      <c r="AT150" s="1851"/>
      <c r="AU150" s="1851"/>
      <c r="AV150" s="1851"/>
      <c r="AW150" s="1851"/>
      <c r="AX150" s="1851"/>
      <c r="AY150" s="1851"/>
      <c r="AZ150" s="1851"/>
      <c r="BA150" s="1851"/>
      <c r="BB150" s="1851"/>
    </row>
    <row r="151" spans="1:54" x14ac:dyDescent="0.25">
      <c r="A151" s="1851">
        <v>147</v>
      </c>
      <c r="B151" s="1851"/>
      <c r="C151" s="1868" t="s">
        <v>980</v>
      </c>
      <c r="D151" s="1868"/>
      <c r="E151" s="1868"/>
      <c r="F151" s="1868"/>
      <c r="G151" s="1868"/>
      <c r="H151" s="1868"/>
      <c r="I151" s="1868"/>
      <c r="J151" s="1868"/>
      <c r="K151" s="1868"/>
      <c r="L151" s="1868"/>
      <c r="M151" s="1868"/>
      <c r="N151" s="1868"/>
      <c r="O151" s="1868"/>
      <c r="P151" s="1868"/>
      <c r="Q151" s="1868"/>
      <c r="R151" s="1868"/>
      <c r="S151" s="1868"/>
      <c r="T151" s="1868"/>
      <c r="U151" s="1868"/>
      <c r="V151" s="1865" t="s">
        <v>988</v>
      </c>
      <c r="W151" s="1865"/>
      <c r="X151" s="1865"/>
      <c r="Y151" s="1851"/>
      <c r="Z151" s="1851"/>
      <c r="AA151" s="1851"/>
      <c r="AB151" s="1851"/>
      <c r="AC151" s="1851"/>
      <c r="AD151" s="1851"/>
      <c r="AE151" s="1851"/>
      <c r="AF151" s="1851"/>
      <c r="AG151" s="1851"/>
      <c r="AH151" s="1851"/>
      <c r="AI151" s="1851"/>
      <c r="AJ151" s="1851"/>
      <c r="AK151" s="1851"/>
      <c r="AL151" s="1851"/>
      <c r="AM151" s="1851"/>
      <c r="AN151" s="1851"/>
      <c r="AO151" s="1851"/>
      <c r="AP151" s="1851"/>
      <c r="AQ151" s="1851"/>
      <c r="AR151" s="1851"/>
      <c r="AS151" s="1851"/>
      <c r="AT151" s="1851"/>
      <c r="AU151" s="1851"/>
      <c r="AV151" s="1851"/>
      <c r="AW151" s="1851"/>
      <c r="AX151" s="1851"/>
      <c r="AY151" s="1851"/>
      <c r="AZ151" s="1851"/>
      <c r="BA151" s="1851"/>
      <c r="BB151" s="1851"/>
    </row>
    <row r="152" spans="1:54" x14ac:dyDescent="0.25">
      <c r="A152" s="1851">
        <v>148</v>
      </c>
      <c r="B152" s="1851"/>
      <c r="C152" s="1868" t="s">
        <v>981</v>
      </c>
      <c r="D152" s="1868"/>
      <c r="E152" s="1868"/>
      <c r="F152" s="1868"/>
      <c r="G152" s="1868"/>
      <c r="H152" s="1868"/>
      <c r="I152" s="1868"/>
      <c r="J152" s="1868"/>
      <c r="K152" s="1868"/>
      <c r="L152" s="1868"/>
      <c r="M152" s="1868"/>
      <c r="N152" s="1868"/>
      <c r="O152" s="1868"/>
      <c r="P152" s="1868"/>
      <c r="Q152" s="1868"/>
      <c r="R152" s="1868"/>
      <c r="S152" s="1868"/>
      <c r="T152" s="1868"/>
      <c r="U152" s="1868"/>
      <c r="V152" s="1865" t="s">
        <v>988</v>
      </c>
      <c r="W152" s="1865"/>
      <c r="X152" s="1865"/>
      <c r="Y152" s="1851"/>
      <c r="Z152" s="1851"/>
      <c r="AA152" s="1851"/>
      <c r="AB152" s="1851"/>
      <c r="AC152" s="1851"/>
      <c r="AD152" s="1851"/>
      <c r="AE152" s="1851"/>
      <c r="AF152" s="1851"/>
      <c r="AG152" s="1851"/>
      <c r="AH152" s="1851"/>
      <c r="AI152" s="1851"/>
      <c r="AJ152" s="1851"/>
      <c r="AK152" s="1851"/>
      <c r="AL152" s="1851"/>
      <c r="AM152" s="1851"/>
      <c r="AN152" s="1851"/>
      <c r="AO152" s="1851"/>
      <c r="AP152" s="1851"/>
      <c r="AQ152" s="1851"/>
      <c r="AR152" s="1851"/>
      <c r="AS152" s="1851"/>
      <c r="AT152" s="1851"/>
      <c r="AU152" s="1851"/>
      <c r="AV152" s="1851"/>
      <c r="AW152" s="1851"/>
      <c r="AX152" s="1851"/>
      <c r="AY152" s="1851"/>
      <c r="AZ152" s="1851"/>
      <c r="BA152" s="1851"/>
      <c r="BB152" s="1851"/>
    </row>
    <row r="153" spans="1:54" x14ac:dyDescent="0.25">
      <c r="A153" s="1851">
        <v>149</v>
      </c>
      <c r="B153" s="1851"/>
      <c r="C153" s="1868" t="s">
        <v>982</v>
      </c>
      <c r="D153" s="1868"/>
      <c r="E153" s="1868"/>
      <c r="F153" s="1868"/>
      <c r="G153" s="1868"/>
      <c r="H153" s="1868"/>
      <c r="I153" s="1868"/>
      <c r="J153" s="1868"/>
      <c r="K153" s="1868"/>
      <c r="L153" s="1868"/>
      <c r="M153" s="1868"/>
      <c r="N153" s="1868"/>
      <c r="O153" s="1868"/>
      <c r="P153" s="1868"/>
      <c r="Q153" s="1868"/>
      <c r="R153" s="1868"/>
      <c r="S153" s="1868"/>
      <c r="T153" s="1868"/>
      <c r="U153" s="1868"/>
      <c r="V153" s="1865" t="s">
        <v>988</v>
      </c>
      <c r="W153" s="1865"/>
      <c r="X153" s="1865"/>
      <c r="Y153" s="1851"/>
      <c r="Z153" s="1851"/>
      <c r="AA153" s="1851"/>
      <c r="AB153" s="1851"/>
      <c r="AC153" s="1851"/>
      <c r="AD153" s="1851"/>
      <c r="AE153" s="1851"/>
      <c r="AF153" s="1851"/>
      <c r="AG153" s="1851"/>
      <c r="AH153" s="1851"/>
      <c r="AI153" s="1851"/>
      <c r="AJ153" s="1851"/>
      <c r="AK153" s="1851"/>
      <c r="AL153" s="1851"/>
      <c r="AM153" s="1851"/>
      <c r="AN153" s="1851"/>
      <c r="AO153" s="1851"/>
      <c r="AP153" s="1851"/>
      <c r="AQ153" s="1851"/>
      <c r="AR153" s="1851"/>
      <c r="AS153" s="1851"/>
      <c r="AT153" s="1851"/>
      <c r="AU153" s="1851"/>
      <c r="AV153" s="1851"/>
      <c r="AW153" s="1851"/>
      <c r="AX153" s="1851"/>
      <c r="AY153" s="1851"/>
      <c r="AZ153" s="1851"/>
      <c r="BA153" s="1851"/>
      <c r="BB153" s="1851"/>
    </row>
    <row r="154" spans="1:54" x14ac:dyDescent="0.25">
      <c r="A154" s="1851">
        <v>150</v>
      </c>
      <c r="B154" s="1851"/>
      <c r="C154" s="1868" t="s">
        <v>983</v>
      </c>
      <c r="D154" s="1868"/>
      <c r="E154" s="1868"/>
      <c r="F154" s="1868"/>
      <c r="G154" s="1868"/>
      <c r="H154" s="1868"/>
      <c r="I154" s="1868"/>
      <c r="J154" s="1868"/>
      <c r="K154" s="1868"/>
      <c r="L154" s="1868"/>
      <c r="M154" s="1868"/>
      <c r="N154" s="1868"/>
      <c r="O154" s="1868"/>
      <c r="P154" s="1868"/>
      <c r="Q154" s="1868"/>
      <c r="R154" s="1868"/>
      <c r="S154" s="1868"/>
      <c r="T154" s="1868"/>
      <c r="U154" s="1868"/>
      <c r="V154" s="1865" t="s">
        <v>988</v>
      </c>
      <c r="W154" s="1865"/>
      <c r="X154" s="1865"/>
      <c r="Y154" s="1851"/>
      <c r="Z154" s="1851"/>
      <c r="AA154" s="1851"/>
      <c r="AB154" s="1851"/>
      <c r="AC154" s="1851"/>
      <c r="AD154" s="1851"/>
      <c r="AE154" s="1851"/>
      <c r="AF154" s="1851"/>
      <c r="AG154" s="1851"/>
      <c r="AH154" s="1851"/>
      <c r="AI154" s="1851"/>
      <c r="AJ154" s="1851"/>
      <c r="AK154" s="1851"/>
      <c r="AL154" s="1851"/>
      <c r="AM154" s="1851"/>
      <c r="AN154" s="1851"/>
      <c r="AO154" s="1851"/>
      <c r="AP154" s="1851"/>
      <c r="AQ154" s="1851"/>
      <c r="AR154" s="1851"/>
      <c r="AS154" s="1851"/>
      <c r="AT154" s="1851"/>
      <c r="AU154" s="1851"/>
      <c r="AV154" s="1851"/>
      <c r="AW154" s="1851"/>
      <c r="AX154" s="1851"/>
      <c r="AY154" s="1851"/>
      <c r="AZ154" s="1851"/>
      <c r="BA154" s="1851"/>
      <c r="BB154" s="1851"/>
    </row>
    <row r="155" spans="1:54" x14ac:dyDescent="0.25">
      <c r="A155" s="1851">
        <v>151</v>
      </c>
      <c r="B155" s="1851"/>
      <c r="C155" s="1868" t="s">
        <v>984</v>
      </c>
      <c r="D155" s="1868"/>
      <c r="E155" s="1868"/>
      <c r="F155" s="1868"/>
      <c r="G155" s="1868"/>
      <c r="H155" s="1868"/>
      <c r="I155" s="1868"/>
      <c r="J155" s="1868"/>
      <c r="K155" s="1868"/>
      <c r="L155" s="1868"/>
      <c r="M155" s="1868"/>
      <c r="N155" s="1868"/>
      <c r="O155" s="1868"/>
      <c r="P155" s="1868"/>
      <c r="Q155" s="1868"/>
      <c r="R155" s="1868"/>
      <c r="S155" s="1868"/>
      <c r="T155" s="1868"/>
      <c r="U155" s="1868"/>
      <c r="V155" s="1865" t="s">
        <v>988</v>
      </c>
      <c r="W155" s="1865"/>
      <c r="X155" s="1865"/>
      <c r="Y155" s="1851"/>
      <c r="Z155" s="1851"/>
      <c r="AA155" s="1851"/>
      <c r="AB155" s="1851"/>
      <c r="AC155" s="1851"/>
      <c r="AD155" s="1851"/>
      <c r="AE155" s="1851"/>
      <c r="AF155" s="1851"/>
      <c r="AG155" s="1851"/>
      <c r="AH155" s="1851"/>
      <c r="AI155" s="1851"/>
      <c r="AJ155" s="1851"/>
      <c r="AK155" s="1851"/>
      <c r="AL155" s="1851"/>
      <c r="AM155" s="1851"/>
      <c r="AN155" s="1851"/>
      <c r="AO155" s="1851"/>
      <c r="AP155" s="1851"/>
      <c r="AQ155" s="1851"/>
      <c r="AR155" s="1851"/>
      <c r="AS155" s="1851"/>
      <c r="AT155" s="1851"/>
      <c r="AU155" s="1851"/>
      <c r="AV155" s="1851"/>
      <c r="AW155" s="1851"/>
      <c r="AX155" s="1851"/>
      <c r="AY155" s="1851"/>
      <c r="AZ155" s="1851"/>
      <c r="BA155" s="1851"/>
      <c r="BB155" s="1851"/>
    </row>
    <row r="156" spans="1:54" x14ac:dyDescent="0.25">
      <c r="A156" s="1851">
        <v>152</v>
      </c>
      <c r="B156" s="1851"/>
      <c r="C156" s="1868" t="s">
        <v>985</v>
      </c>
      <c r="D156" s="1868"/>
      <c r="E156" s="1868"/>
      <c r="F156" s="1868"/>
      <c r="G156" s="1868"/>
      <c r="H156" s="1868"/>
      <c r="I156" s="1868"/>
      <c r="J156" s="1868"/>
      <c r="K156" s="1868"/>
      <c r="L156" s="1868"/>
      <c r="M156" s="1868"/>
      <c r="N156" s="1868"/>
      <c r="O156" s="1868"/>
      <c r="P156" s="1868"/>
      <c r="Q156" s="1868"/>
      <c r="R156" s="1868"/>
      <c r="S156" s="1868"/>
      <c r="T156" s="1868"/>
      <c r="U156" s="1868"/>
      <c r="V156" s="1865" t="s">
        <v>988</v>
      </c>
      <c r="W156" s="1865"/>
      <c r="X156" s="1865"/>
      <c r="Y156" s="1851"/>
      <c r="Z156" s="1851"/>
      <c r="AA156" s="1851"/>
      <c r="AB156" s="1851"/>
      <c r="AC156" s="1851"/>
      <c r="AD156" s="1851"/>
      <c r="AE156" s="1851"/>
      <c r="AF156" s="1851"/>
      <c r="AG156" s="1851"/>
      <c r="AH156" s="1851"/>
      <c r="AI156" s="1851"/>
      <c r="AJ156" s="1851"/>
      <c r="AK156" s="1851"/>
      <c r="AL156" s="1851"/>
      <c r="AM156" s="1851"/>
      <c r="AN156" s="1851"/>
      <c r="AO156" s="1851"/>
      <c r="AP156" s="1851"/>
      <c r="AQ156" s="1851"/>
      <c r="AR156" s="1851"/>
      <c r="AS156" s="1851"/>
      <c r="AT156" s="1851"/>
      <c r="AU156" s="1851"/>
      <c r="AV156" s="1851"/>
      <c r="AW156" s="1851"/>
      <c r="AX156" s="1851"/>
      <c r="AY156" s="1851"/>
      <c r="AZ156" s="1851"/>
      <c r="BA156" s="1851"/>
      <c r="BB156" s="1851"/>
    </row>
    <row r="157" spans="1:54" x14ac:dyDescent="0.25">
      <c r="A157" s="1851">
        <v>153</v>
      </c>
      <c r="B157" s="1851"/>
      <c r="C157" s="1868" t="s">
        <v>986</v>
      </c>
      <c r="D157" s="1868"/>
      <c r="E157" s="1868"/>
      <c r="F157" s="1868"/>
      <c r="G157" s="1868"/>
      <c r="H157" s="1868"/>
      <c r="I157" s="1868"/>
      <c r="J157" s="1868"/>
      <c r="K157" s="1868"/>
      <c r="L157" s="1868"/>
      <c r="M157" s="1868"/>
      <c r="N157" s="1868"/>
      <c r="O157" s="1868"/>
      <c r="P157" s="1868"/>
      <c r="Q157" s="1868"/>
      <c r="R157" s="1868"/>
      <c r="S157" s="1868"/>
      <c r="T157" s="1868"/>
      <c r="U157" s="1868"/>
      <c r="V157" s="1865" t="s">
        <v>988</v>
      </c>
      <c r="W157" s="1865"/>
      <c r="X157" s="1865"/>
      <c r="Y157" s="1851"/>
      <c r="Z157" s="1851"/>
      <c r="AA157" s="1851"/>
      <c r="AB157" s="1851"/>
      <c r="AC157" s="1851"/>
      <c r="AD157" s="1851"/>
      <c r="AE157" s="1851"/>
      <c r="AF157" s="1851"/>
      <c r="AG157" s="1851"/>
      <c r="AH157" s="1851"/>
      <c r="AI157" s="1851"/>
      <c r="AJ157" s="1851"/>
      <c r="AK157" s="1851"/>
      <c r="AL157" s="1851"/>
      <c r="AM157" s="1851"/>
      <c r="AN157" s="1851"/>
      <c r="AO157" s="1851"/>
      <c r="AP157" s="1851"/>
      <c r="AQ157" s="1851"/>
      <c r="AR157" s="1851"/>
      <c r="AS157" s="1851"/>
      <c r="AT157" s="1851"/>
      <c r="AU157" s="1851"/>
      <c r="AV157" s="1851"/>
      <c r="AW157" s="1851"/>
      <c r="AX157" s="1851"/>
      <c r="AY157" s="1851"/>
      <c r="AZ157" s="1851"/>
      <c r="BA157" s="1851"/>
      <c r="BB157" s="1851"/>
    </row>
    <row r="158" spans="1:54" x14ac:dyDescent="0.25">
      <c r="A158" s="1851">
        <v>154</v>
      </c>
      <c r="B158" s="1851"/>
      <c r="C158" s="1867" t="s">
        <v>989</v>
      </c>
      <c r="D158" s="1867"/>
      <c r="E158" s="1867"/>
      <c r="F158" s="1867"/>
      <c r="G158" s="1867"/>
      <c r="H158" s="1867"/>
      <c r="I158" s="1867"/>
      <c r="J158" s="1867"/>
      <c r="K158" s="1867"/>
      <c r="L158" s="1867"/>
      <c r="M158" s="1867"/>
      <c r="N158" s="1867"/>
      <c r="O158" s="1867"/>
      <c r="P158" s="1867"/>
      <c r="Q158" s="1867"/>
      <c r="R158" s="1867"/>
      <c r="S158" s="1867"/>
      <c r="T158" s="1867"/>
      <c r="U158" s="1867"/>
      <c r="V158" s="1865" t="s">
        <v>990</v>
      </c>
      <c r="W158" s="1865"/>
      <c r="X158" s="1865"/>
      <c r="Y158" s="1857"/>
      <c r="Z158" s="1858"/>
      <c r="AA158" s="1858"/>
      <c r="AB158" s="1858"/>
      <c r="AC158" s="1859"/>
      <c r="AD158" s="1859"/>
      <c r="AE158" s="1857"/>
      <c r="AF158" s="1858"/>
      <c r="AG158" s="1858"/>
      <c r="AH158" s="1858"/>
      <c r="AI158" s="1859"/>
      <c r="AJ158" s="1859"/>
      <c r="AK158" s="1857"/>
      <c r="AL158" s="1858"/>
      <c r="AM158" s="1858"/>
      <c r="AN158" s="1858"/>
      <c r="AO158" s="1859"/>
      <c r="AP158" s="1859"/>
      <c r="AQ158" s="1857"/>
      <c r="AR158" s="1858"/>
      <c r="AS158" s="1858"/>
      <c r="AT158" s="1858"/>
      <c r="AU158" s="1859"/>
      <c r="AV158" s="1859"/>
      <c r="AW158" s="1857"/>
      <c r="AX158" s="1858"/>
      <c r="AY158" s="1858"/>
      <c r="AZ158" s="1858"/>
      <c r="BA158" s="1859"/>
      <c r="BB158" s="1859"/>
    </row>
    <row r="159" spans="1:54" x14ac:dyDescent="0.25">
      <c r="A159" s="1851">
        <v>155</v>
      </c>
      <c r="B159" s="1851"/>
      <c r="C159" s="1868" t="s">
        <v>977</v>
      </c>
      <c r="D159" s="1868"/>
      <c r="E159" s="1868"/>
      <c r="F159" s="1868"/>
      <c r="G159" s="1868"/>
      <c r="H159" s="1868"/>
      <c r="I159" s="1868"/>
      <c r="J159" s="1868"/>
      <c r="K159" s="1868"/>
      <c r="L159" s="1868"/>
      <c r="M159" s="1868"/>
      <c r="N159" s="1868"/>
      <c r="O159" s="1868"/>
      <c r="P159" s="1868"/>
      <c r="Q159" s="1868"/>
      <c r="R159" s="1868"/>
      <c r="S159" s="1868"/>
      <c r="T159" s="1868"/>
      <c r="U159" s="1868"/>
      <c r="V159" s="1865" t="s">
        <v>990</v>
      </c>
      <c r="W159" s="1865"/>
      <c r="X159" s="1865"/>
      <c r="Y159" s="1851"/>
      <c r="Z159" s="1851"/>
      <c r="AA159" s="1851"/>
      <c r="AB159" s="1851"/>
      <c r="AC159" s="1851"/>
      <c r="AD159" s="1851"/>
      <c r="AE159" s="1851"/>
      <c r="AF159" s="1851"/>
      <c r="AG159" s="1851"/>
      <c r="AH159" s="1851"/>
      <c r="AI159" s="1851"/>
      <c r="AJ159" s="1851"/>
      <c r="AK159" s="1851"/>
      <c r="AL159" s="1851"/>
      <c r="AM159" s="1851"/>
      <c r="AN159" s="1851"/>
      <c r="AO159" s="1851"/>
      <c r="AP159" s="1851"/>
      <c r="AQ159" s="1851"/>
      <c r="AR159" s="1851"/>
      <c r="AS159" s="1851"/>
      <c r="AT159" s="1851"/>
      <c r="AU159" s="1851"/>
      <c r="AV159" s="1851"/>
      <c r="AW159" s="1851"/>
      <c r="AX159" s="1851"/>
      <c r="AY159" s="1851"/>
      <c r="AZ159" s="1851"/>
      <c r="BA159" s="1851"/>
      <c r="BB159" s="1851"/>
    </row>
    <row r="160" spans="1:54" x14ac:dyDescent="0.25">
      <c r="A160" s="1851">
        <v>156</v>
      </c>
      <c r="B160" s="1851"/>
      <c r="C160" s="1868" t="s">
        <v>978</v>
      </c>
      <c r="D160" s="1868"/>
      <c r="E160" s="1868"/>
      <c r="F160" s="1868"/>
      <c r="G160" s="1868"/>
      <c r="H160" s="1868"/>
      <c r="I160" s="1868"/>
      <c r="J160" s="1868"/>
      <c r="K160" s="1868"/>
      <c r="L160" s="1868"/>
      <c r="M160" s="1868"/>
      <c r="N160" s="1868"/>
      <c r="O160" s="1868"/>
      <c r="P160" s="1868"/>
      <c r="Q160" s="1868"/>
      <c r="R160" s="1868"/>
      <c r="S160" s="1868"/>
      <c r="T160" s="1868"/>
      <c r="U160" s="1868"/>
      <c r="V160" s="1865" t="s">
        <v>990</v>
      </c>
      <c r="W160" s="1865"/>
      <c r="X160" s="1865"/>
      <c r="Y160" s="1851"/>
      <c r="Z160" s="1851"/>
      <c r="AA160" s="1851"/>
      <c r="AB160" s="1851"/>
      <c r="AC160" s="1851"/>
      <c r="AD160" s="1851"/>
      <c r="AE160" s="1851"/>
      <c r="AF160" s="1851"/>
      <c r="AG160" s="1851"/>
      <c r="AH160" s="1851"/>
      <c r="AI160" s="1851"/>
      <c r="AJ160" s="1851"/>
      <c r="AK160" s="1851"/>
      <c r="AL160" s="1851"/>
      <c r="AM160" s="1851"/>
      <c r="AN160" s="1851"/>
      <c r="AO160" s="1851"/>
      <c r="AP160" s="1851"/>
      <c r="AQ160" s="1851"/>
      <c r="AR160" s="1851"/>
      <c r="AS160" s="1851"/>
      <c r="AT160" s="1851"/>
      <c r="AU160" s="1851"/>
      <c r="AV160" s="1851"/>
      <c r="AW160" s="1851"/>
      <c r="AX160" s="1851"/>
      <c r="AY160" s="1851"/>
      <c r="AZ160" s="1851"/>
      <c r="BA160" s="1851"/>
      <c r="BB160" s="1851"/>
    </row>
    <row r="161" spans="1:54" x14ac:dyDescent="0.25">
      <c r="A161" s="1851">
        <v>157</v>
      </c>
      <c r="B161" s="1851"/>
      <c r="C161" s="1868" t="s">
        <v>979</v>
      </c>
      <c r="D161" s="1868"/>
      <c r="E161" s="1868"/>
      <c r="F161" s="1868"/>
      <c r="G161" s="1868"/>
      <c r="H161" s="1868"/>
      <c r="I161" s="1868"/>
      <c r="J161" s="1868"/>
      <c r="K161" s="1868"/>
      <c r="L161" s="1868"/>
      <c r="M161" s="1868"/>
      <c r="N161" s="1868"/>
      <c r="O161" s="1868"/>
      <c r="P161" s="1868"/>
      <c r="Q161" s="1868"/>
      <c r="R161" s="1868"/>
      <c r="S161" s="1868"/>
      <c r="T161" s="1868"/>
      <c r="U161" s="1868"/>
      <c r="V161" s="1865" t="s">
        <v>990</v>
      </c>
      <c r="W161" s="1865"/>
      <c r="X161" s="1865"/>
      <c r="Y161" s="1851"/>
      <c r="Z161" s="1851"/>
      <c r="AA161" s="1851"/>
      <c r="AB161" s="1851"/>
      <c r="AC161" s="1851"/>
      <c r="AD161" s="1851"/>
      <c r="AE161" s="1851"/>
      <c r="AF161" s="1851"/>
      <c r="AG161" s="1851"/>
      <c r="AH161" s="1851"/>
      <c r="AI161" s="1851"/>
      <c r="AJ161" s="1851"/>
      <c r="AK161" s="1851"/>
      <c r="AL161" s="1851"/>
      <c r="AM161" s="1851"/>
      <c r="AN161" s="1851"/>
      <c r="AO161" s="1851"/>
      <c r="AP161" s="1851"/>
      <c r="AQ161" s="1851"/>
      <c r="AR161" s="1851"/>
      <c r="AS161" s="1851"/>
      <c r="AT161" s="1851"/>
      <c r="AU161" s="1851"/>
      <c r="AV161" s="1851"/>
      <c r="AW161" s="1851"/>
      <c r="AX161" s="1851"/>
      <c r="AY161" s="1851"/>
      <c r="AZ161" s="1851"/>
      <c r="BA161" s="1851"/>
      <c r="BB161" s="1851"/>
    </row>
    <row r="162" spans="1:54" x14ac:dyDescent="0.25">
      <c r="A162" s="1851">
        <v>158</v>
      </c>
      <c r="B162" s="1851"/>
      <c r="C162" s="1868" t="s">
        <v>980</v>
      </c>
      <c r="D162" s="1868"/>
      <c r="E162" s="1868"/>
      <c r="F162" s="1868"/>
      <c r="G162" s="1868"/>
      <c r="H162" s="1868"/>
      <c r="I162" s="1868"/>
      <c r="J162" s="1868"/>
      <c r="K162" s="1868"/>
      <c r="L162" s="1868"/>
      <c r="M162" s="1868"/>
      <c r="N162" s="1868"/>
      <c r="O162" s="1868"/>
      <c r="P162" s="1868"/>
      <c r="Q162" s="1868"/>
      <c r="R162" s="1868"/>
      <c r="S162" s="1868"/>
      <c r="T162" s="1868"/>
      <c r="U162" s="1868"/>
      <c r="V162" s="1865" t="s">
        <v>990</v>
      </c>
      <c r="W162" s="1865"/>
      <c r="X162" s="1865"/>
      <c r="Y162" s="1851"/>
      <c r="Z162" s="1851"/>
      <c r="AA162" s="1851"/>
      <c r="AB162" s="1851"/>
      <c r="AC162" s="1851"/>
      <c r="AD162" s="1851"/>
      <c r="AE162" s="1851"/>
      <c r="AF162" s="1851"/>
      <c r="AG162" s="1851"/>
      <c r="AH162" s="1851"/>
      <c r="AI162" s="1851"/>
      <c r="AJ162" s="1851"/>
      <c r="AK162" s="1851"/>
      <c r="AL162" s="1851"/>
      <c r="AM162" s="1851"/>
      <c r="AN162" s="1851"/>
      <c r="AO162" s="1851"/>
      <c r="AP162" s="1851"/>
      <c r="AQ162" s="1851"/>
      <c r="AR162" s="1851"/>
      <c r="AS162" s="1851"/>
      <c r="AT162" s="1851"/>
      <c r="AU162" s="1851"/>
      <c r="AV162" s="1851"/>
      <c r="AW162" s="1851"/>
      <c r="AX162" s="1851"/>
      <c r="AY162" s="1851"/>
      <c r="AZ162" s="1851"/>
      <c r="BA162" s="1851"/>
      <c r="BB162" s="1851"/>
    </row>
    <row r="163" spans="1:54" x14ac:dyDescent="0.25">
      <c r="A163" s="1851">
        <v>159</v>
      </c>
      <c r="B163" s="1851"/>
      <c r="C163" s="1868" t="s">
        <v>981</v>
      </c>
      <c r="D163" s="1868"/>
      <c r="E163" s="1868"/>
      <c r="F163" s="1868"/>
      <c r="G163" s="1868"/>
      <c r="H163" s="1868"/>
      <c r="I163" s="1868"/>
      <c r="J163" s="1868"/>
      <c r="K163" s="1868"/>
      <c r="L163" s="1868"/>
      <c r="M163" s="1868"/>
      <c r="N163" s="1868"/>
      <c r="O163" s="1868"/>
      <c r="P163" s="1868"/>
      <c r="Q163" s="1868"/>
      <c r="R163" s="1868"/>
      <c r="S163" s="1868"/>
      <c r="T163" s="1868"/>
      <c r="U163" s="1868"/>
      <c r="V163" s="1865" t="s">
        <v>990</v>
      </c>
      <c r="W163" s="1865"/>
      <c r="X163" s="1865"/>
      <c r="Y163" s="1851"/>
      <c r="Z163" s="1851"/>
      <c r="AA163" s="1851"/>
      <c r="AB163" s="1851"/>
      <c r="AC163" s="1851"/>
      <c r="AD163" s="1851"/>
      <c r="AE163" s="1851"/>
      <c r="AF163" s="1851"/>
      <c r="AG163" s="1851"/>
      <c r="AH163" s="1851"/>
      <c r="AI163" s="1851"/>
      <c r="AJ163" s="1851"/>
      <c r="AK163" s="1851"/>
      <c r="AL163" s="1851"/>
      <c r="AM163" s="1851"/>
      <c r="AN163" s="1851"/>
      <c r="AO163" s="1851"/>
      <c r="AP163" s="1851"/>
      <c r="AQ163" s="1851"/>
      <c r="AR163" s="1851"/>
      <c r="AS163" s="1851"/>
      <c r="AT163" s="1851"/>
      <c r="AU163" s="1851"/>
      <c r="AV163" s="1851"/>
      <c r="AW163" s="1851"/>
      <c r="AX163" s="1851"/>
      <c r="AY163" s="1851"/>
      <c r="AZ163" s="1851"/>
      <c r="BA163" s="1851"/>
      <c r="BB163" s="1851"/>
    </row>
    <row r="164" spans="1:54" x14ac:dyDescent="0.25">
      <c r="A164" s="1851">
        <v>160</v>
      </c>
      <c r="B164" s="1851"/>
      <c r="C164" s="1868" t="s">
        <v>982</v>
      </c>
      <c r="D164" s="1868"/>
      <c r="E164" s="1868"/>
      <c r="F164" s="1868"/>
      <c r="G164" s="1868"/>
      <c r="H164" s="1868"/>
      <c r="I164" s="1868"/>
      <c r="J164" s="1868"/>
      <c r="K164" s="1868"/>
      <c r="L164" s="1868"/>
      <c r="M164" s="1868"/>
      <c r="N164" s="1868"/>
      <c r="O164" s="1868"/>
      <c r="P164" s="1868"/>
      <c r="Q164" s="1868"/>
      <c r="R164" s="1868"/>
      <c r="S164" s="1868"/>
      <c r="T164" s="1868"/>
      <c r="U164" s="1868"/>
      <c r="V164" s="1865" t="s">
        <v>990</v>
      </c>
      <c r="W164" s="1865"/>
      <c r="X164" s="1865"/>
      <c r="Y164" s="1851"/>
      <c r="Z164" s="1851"/>
      <c r="AA164" s="1851"/>
      <c r="AB164" s="1851"/>
      <c r="AC164" s="1851"/>
      <c r="AD164" s="1851"/>
      <c r="AE164" s="1851"/>
      <c r="AF164" s="1851"/>
      <c r="AG164" s="1851"/>
      <c r="AH164" s="1851"/>
      <c r="AI164" s="1851"/>
      <c r="AJ164" s="1851"/>
      <c r="AK164" s="1851"/>
      <c r="AL164" s="1851"/>
      <c r="AM164" s="1851"/>
      <c r="AN164" s="1851"/>
      <c r="AO164" s="1851"/>
      <c r="AP164" s="1851"/>
      <c r="AQ164" s="1851"/>
      <c r="AR164" s="1851"/>
      <c r="AS164" s="1851"/>
      <c r="AT164" s="1851"/>
      <c r="AU164" s="1851"/>
      <c r="AV164" s="1851"/>
      <c r="AW164" s="1851"/>
      <c r="AX164" s="1851"/>
      <c r="AY164" s="1851"/>
      <c r="AZ164" s="1851"/>
      <c r="BA164" s="1851"/>
      <c r="BB164" s="1851"/>
    </row>
    <row r="165" spans="1:54" x14ac:dyDescent="0.25">
      <c r="A165" s="1851">
        <v>161</v>
      </c>
      <c r="B165" s="1851"/>
      <c r="C165" s="1868" t="s">
        <v>983</v>
      </c>
      <c r="D165" s="1868"/>
      <c r="E165" s="1868"/>
      <c r="F165" s="1868"/>
      <c r="G165" s="1868"/>
      <c r="H165" s="1868"/>
      <c r="I165" s="1868"/>
      <c r="J165" s="1868"/>
      <c r="K165" s="1868"/>
      <c r="L165" s="1868"/>
      <c r="M165" s="1868"/>
      <c r="N165" s="1868"/>
      <c r="O165" s="1868"/>
      <c r="P165" s="1868"/>
      <c r="Q165" s="1868"/>
      <c r="R165" s="1868"/>
      <c r="S165" s="1868"/>
      <c r="T165" s="1868"/>
      <c r="U165" s="1868"/>
      <c r="V165" s="1865" t="s">
        <v>990</v>
      </c>
      <c r="W165" s="1865"/>
      <c r="X165" s="1865"/>
      <c r="Y165" s="1851"/>
      <c r="Z165" s="1851"/>
      <c r="AA165" s="1851"/>
      <c r="AB165" s="1851"/>
      <c r="AC165" s="1851"/>
      <c r="AD165" s="1851"/>
      <c r="AE165" s="1851"/>
      <c r="AF165" s="1851"/>
      <c r="AG165" s="1851"/>
      <c r="AH165" s="1851"/>
      <c r="AI165" s="1851"/>
      <c r="AJ165" s="1851"/>
      <c r="AK165" s="1851"/>
      <c r="AL165" s="1851"/>
      <c r="AM165" s="1851"/>
      <c r="AN165" s="1851"/>
      <c r="AO165" s="1851"/>
      <c r="AP165" s="1851"/>
      <c r="AQ165" s="1851"/>
      <c r="AR165" s="1851"/>
      <c r="AS165" s="1851"/>
      <c r="AT165" s="1851"/>
      <c r="AU165" s="1851"/>
      <c r="AV165" s="1851"/>
      <c r="AW165" s="1851"/>
      <c r="AX165" s="1851"/>
      <c r="AY165" s="1851"/>
      <c r="AZ165" s="1851"/>
      <c r="BA165" s="1851"/>
      <c r="BB165" s="1851"/>
    </row>
    <row r="166" spans="1:54" x14ac:dyDescent="0.25">
      <c r="A166" s="1851">
        <v>162</v>
      </c>
      <c r="B166" s="1851"/>
      <c r="C166" s="1868" t="s">
        <v>984</v>
      </c>
      <c r="D166" s="1868"/>
      <c r="E166" s="1868"/>
      <c r="F166" s="1868"/>
      <c r="G166" s="1868"/>
      <c r="H166" s="1868"/>
      <c r="I166" s="1868"/>
      <c r="J166" s="1868"/>
      <c r="K166" s="1868"/>
      <c r="L166" s="1868"/>
      <c r="M166" s="1868"/>
      <c r="N166" s="1868"/>
      <c r="O166" s="1868"/>
      <c r="P166" s="1868"/>
      <c r="Q166" s="1868"/>
      <c r="R166" s="1868"/>
      <c r="S166" s="1868"/>
      <c r="T166" s="1868"/>
      <c r="U166" s="1868"/>
      <c r="V166" s="1865" t="s">
        <v>990</v>
      </c>
      <c r="W166" s="1865"/>
      <c r="X166" s="1865"/>
      <c r="Y166" s="1851"/>
      <c r="Z166" s="1851"/>
      <c r="AA166" s="1851"/>
      <c r="AB166" s="1851"/>
      <c r="AC166" s="1851"/>
      <c r="AD166" s="1851"/>
      <c r="AE166" s="1851"/>
      <c r="AF166" s="1851"/>
      <c r="AG166" s="1851"/>
      <c r="AH166" s="1851"/>
      <c r="AI166" s="1851"/>
      <c r="AJ166" s="1851"/>
      <c r="AK166" s="1851"/>
      <c r="AL166" s="1851"/>
      <c r="AM166" s="1851"/>
      <c r="AN166" s="1851"/>
      <c r="AO166" s="1851"/>
      <c r="AP166" s="1851"/>
      <c r="AQ166" s="1851"/>
      <c r="AR166" s="1851"/>
      <c r="AS166" s="1851"/>
      <c r="AT166" s="1851"/>
      <c r="AU166" s="1851"/>
      <c r="AV166" s="1851"/>
      <c r="AW166" s="1851"/>
      <c r="AX166" s="1851"/>
      <c r="AY166" s="1851"/>
      <c r="AZ166" s="1851"/>
      <c r="BA166" s="1851"/>
      <c r="BB166" s="1851"/>
    </row>
    <row r="167" spans="1:54" x14ac:dyDescent="0.25">
      <c r="A167" s="1851">
        <v>163</v>
      </c>
      <c r="B167" s="1851"/>
      <c r="C167" s="1868" t="s">
        <v>985</v>
      </c>
      <c r="D167" s="1868"/>
      <c r="E167" s="1868"/>
      <c r="F167" s="1868"/>
      <c r="G167" s="1868"/>
      <c r="H167" s="1868"/>
      <c r="I167" s="1868"/>
      <c r="J167" s="1868"/>
      <c r="K167" s="1868"/>
      <c r="L167" s="1868"/>
      <c r="M167" s="1868"/>
      <c r="N167" s="1868"/>
      <c r="O167" s="1868"/>
      <c r="P167" s="1868"/>
      <c r="Q167" s="1868"/>
      <c r="R167" s="1868"/>
      <c r="S167" s="1868"/>
      <c r="T167" s="1868"/>
      <c r="U167" s="1868"/>
      <c r="V167" s="1865" t="s">
        <v>990</v>
      </c>
      <c r="W167" s="1865"/>
      <c r="X167" s="1865"/>
      <c r="Y167" s="1851"/>
      <c r="Z167" s="1851"/>
      <c r="AA167" s="1851"/>
      <c r="AB167" s="1851"/>
      <c r="AC167" s="1851"/>
      <c r="AD167" s="1851"/>
      <c r="AE167" s="1851"/>
      <c r="AF167" s="1851"/>
      <c r="AG167" s="1851"/>
      <c r="AH167" s="1851"/>
      <c r="AI167" s="1851"/>
      <c r="AJ167" s="1851"/>
      <c r="AK167" s="1851"/>
      <c r="AL167" s="1851"/>
      <c r="AM167" s="1851"/>
      <c r="AN167" s="1851"/>
      <c r="AO167" s="1851"/>
      <c r="AP167" s="1851"/>
      <c r="AQ167" s="1851"/>
      <c r="AR167" s="1851"/>
      <c r="AS167" s="1851"/>
      <c r="AT167" s="1851"/>
      <c r="AU167" s="1851"/>
      <c r="AV167" s="1851"/>
      <c r="AW167" s="1851"/>
      <c r="AX167" s="1851"/>
      <c r="AY167" s="1851"/>
      <c r="AZ167" s="1851"/>
      <c r="BA167" s="1851"/>
      <c r="BB167" s="1851"/>
    </row>
    <row r="168" spans="1:54" x14ac:dyDescent="0.25">
      <c r="A168" s="1851">
        <v>164</v>
      </c>
      <c r="B168" s="1851"/>
      <c r="C168" s="1868" t="s">
        <v>986</v>
      </c>
      <c r="D168" s="1868"/>
      <c r="E168" s="1868"/>
      <c r="F168" s="1868"/>
      <c r="G168" s="1868"/>
      <c r="H168" s="1868"/>
      <c r="I168" s="1868"/>
      <c r="J168" s="1868"/>
      <c r="K168" s="1868"/>
      <c r="L168" s="1868"/>
      <c r="M168" s="1868"/>
      <c r="N168" s="1868"/>
      <c r="O168" s="1868"/>
      <c r="P168" s="1868"/>
      <c r="Q168" s="1868"/>
      <c r="R168" s="1868"/>
      <c r="S168" s="1868"/>
      <c r="T168" s="1868"/>
      <c r="U168" s="1868"/>
      <c r="V168" s="1865" t="s">
        <v>990</v>
      </c>
      <c r="W168" s="1865"/>
      <c r="X168" s="1865"/>
      <c r="Y168" s="1851"/>
      <c r="Z168" s="1851"/>
      <c r="AA168" s="1851"/>
      <c r="AB168" s="1851"/>
      <c r="AC168" s="1851"/>
      <c r="AD168" s="1851"/>
      <c r="AE168" s="1851"/>
      <c r="AF168" s="1851"/>
      <c r="AG168" s="1851"/>
      <c r="AH168" s="1851"/>
      <c r="AI168" s="1851"/>
      <c r="AJ168" s="1851"/>
      <c r="AK168" s="1851"/>
      <c r="AL168" s="1851"/>
      <c r="AM168" s="1851"/>
      <c r="AN168" s="1851"/>
      <c r="AO168" s="1851"/>
      <c r="AP168" s="1851"/>
      <c r="AQ168" s="1851"/>
      <c r="AR168" s="1851"/>
      <c r="AS168" s="1851"/>
      <c r="AT168" s="1851"/>
      <c r="AU168" s="1851"/>
      <c r="AV168" s="1851"/>
      <c r="AW168" s="1851"/>
      <c r="AX168" s="1851"/>
      <c r="AY168" s="1851"/>
      <c r="AZ168" s="1851"/>
      <c r="BA168" s="1851"/>
      <c r="BB168" s="1851"/>
    </row>
    <row r="169" spans="1:54" x14ac:dyDescent="0.25">
      <c r="A169" s="1851">
        <v>165</v>
      </c>
      <c r="B169" s="1851"/>
      <c r="C169" s="1867" t="s">
        <v>991</v>
      </c>
      <c r="D169" s="1867"/>
      <c r="E169" s="1867"/>
      <c r="F169" s="1867"/>
      <c r="G169" s="1867"/>
      <c r="H169" s="1867"/>
      <c r="I169" s="1867"/>
      <c r="J169" s="1867"/>
      <c r="K169" s="1867"/>
      <c r="L169" s="1867"/>
      <c r="M169" s="1867"/>
      <c r="N169" s="1867"/>
      <c r="O169" s="1867"/>
      <c r="P169" s="1867"/>
      <c r="Q169" s="1867"/>
      <c r="R169" s="1867"/>
      <c r="S169" s="1867"/>
      <c r="T169" s="1867"/>
      <c r="U169" s="1867"/>
      <c r="V169" s="1865" t="s">
        <v>992</v>
      </c>
      <c r="W169" s="1865"/>
      <c r="X169" s="1865"/>
      <c r="Y169" s="1851"/>
      <c r="Z169" s="1851"/>
      <c r="AA169" s="1851"/>
      <c r="AB169" s="1851"/>
      <c r="AC169" s="1851"/>
      <c r="AD169" s="1851"/>
      <c r="AE169" s="1851"/>
      <c r="AF169" s="1851"/>
      <c r="AG169" s="1851"/>
      <c r="AH169" s="1851"/>
      <c r="AI169" s="1851"/>
      <c r="AJ169" s="1851"/>
      <c r="AK169" s="1851"/>
      <c r="AL169" s="1851"/>
      <c r="AM169" s="1851"/>
      <c r="AN169" s="1851"/>
      <c r="AO169" s="1851"/>
      <c r="AP169" s="1851"/>
      <c r="AQ169" s="1851"/>
      <c r="AR169" s="1851"/>
      <c r="AS169" s="1851"/>
      <c r="AT169" s="1851"/>
      <c r="AU169" s="1851"/>
      <c r="AV169" s="1851"/>
      <c r="AW169" s="1851"/>
      <c r="AX169" s="1851"/>
      <c r="AY169" s="1851"/>
      <c r="AZ169" s="1851"/>
      <c r="BA169" s="1851"/>
      <c r="BB169" s="1851"/>
    </row>
    <row r="170" spans="1:54" x14ac:dyDescent="0.25">
      <c r="A170" s="1851">
        <v>166</v>
      </c>
      <c r="B170" s="1851"/>
      <c r="C170" s="1867" t="s">
        <v>993</v>
      </c>
      <c r="D170" s="1867"/>
      <c r="E170" s="1867"/>
      <c r="F170" s="1867"/>
      <c r="G170" s="1867"/>
      <c r="H170" s="1867"/>
      <c r="I170" s="1867"/>
      <c r="J170" s="1867"/>
      <c r="K170" s="1867"/>
      <c r="L170" s="1867"/>
      <c r="M170" s="1867"/>
      <c r="N170" s="1867"/>
      <c r="O170" s="1867"/>
      <c r="P170" s="1867"/>
      <c r="Q170" s="1867"/>
      <c r="R170" s="1867"/>
      <c r="S170" s="1867"/>
      <c r="T170" s="1867"/>
      <c r="U170" s="1867"/>
      <c r="V170" s="1865" t="s">
        <v>992</v>
      </c>
      <c r="W170" s="1865"/>
      <c r="X170" s="1865"/>
      <c r="Y170" s="1851"/>
      <c r="Z170" s="1851"/>
      <c r="AA170" s="1851"/>
      <c r="AB170" s="1851"/>
      <c r="AC170" s="1851"/>
      <c r="AD170" s="1851"/>
      <c r="AE170" s="1851"/>
      <c r="AF170" s="1851"/>
      <c r="AG170" s="1851"/>
      <c r="AH170" s="1851"/>
      <c r="AI170" s="1851"/>
      <c r="AJ170" s="1851"/>
      <c r="AK170" s="1851"/>
      <c r="AL170" s="1851"/>
      <c r="AM170" s="1851"/>
      <c r="AN170" s="1851"/>
      <c r="AO170" s="1851"/>
      <c r="AP170" s="1851"/>
      <c r="AQ170" s="1851"/>
      <c r="AR170" s="1851"/>
      <c r="AS170" s="1851"/>
      <c r="AT170" s="1851"/>
      <c r="AU170" s="1851"/>
      <c r="AV170" s="1851"/>
      <c r="AW170" s="1851"/>
      <c r="AX170" s="1851"/>
      <c r="AY170" s="1851"/>
      <c r="AZ170" s="1851"/>
      <c r="BA170" s="1851"/>
      <c r="BB170" s="1851"/>
    </row>
    <row r="171" spans="1:54" x14ac:dyDescent="0.25">
      <c r="A171" s="1851">
        <v>167</v>
      </c>
      <c r="B171" s="1851"/>
      <c r="C171" s="1862" t="s">
        <v>994</v>
      </c>
      <c r="D171" s="1862"/>
      <c r="E171" s="1862"/>
      <c r="F171" s="1862"/>
      <c r="G171" s="1862"/>
      <c r="H171" s="1862"/>
      <c r="I171" s="1862"/>
      <c r="J171" s="1862"/>
      <c r="K171" s="1862"/>
      <c r="L171" s="1862"/>
      <c r="M171" s="1862"/>
      <c r="N171" s="1862"/>
      <c r="O171" s="1862"/>
      <c r="P171" s="1862"/>
      <c r="Q171" s="1862"/>
      <c r="R171" s="1862"/>
      <c r="S171" s="1862"/>
      <c r="T171" s="1862"/>
      <c r="U171" s="1862"/>
      <c r="V171" s="1865" t="s">
        <v>995</v>
      </c>
      <c r="W171" s="1865"/>
      <c r="X171" s="1865"/>
      <c r="Y171" s="1857"/>
      <c r="Z171" s="1858"/>
      <c r="AA171" s="1858"/>
      <c r="AB171" s="1858"/>
      <c r="AC171" s="1859"/>
      <c r="AD171" s="1859"/>
      <c r="AE171" s="1857"/>
      <c r="AF171" s="1858"/>
      <c r="AG171" s="1858"/>
      <c r="AH171" s="1858"/>
      <c r="AI171" s="1859"/>
      <c r="AJ171" s="1859"/>
      <c r="AK171" s="1857"/>
      <c r="AL171" s="1858"/>
      <c r="AM171" s="1858"/>
      <c r="AN171" s="1858"/>
      <c r="AO171" s="1859"/>
      <c r="AP171" s="1859"/>
      <c r="AQ171" s="1857"/>
      <c r="AR171" s="1858"/>
      <c r="AS171" s="1858"/>
      <c r="AT171" s="1858"/>
      <c r="AU171" s="1859"/>
      <c r="AV171" s="1859"/>
      <c r="AW171" s="1857"/>
      <c r="AX171" s="1858"/>
      <c r="AY171" s="1858"/>
      <c r="AZ171" s="1858"/>
      <c r="BA171" s="1859"/>
      <c r="BB171" s="1859"/>
    </row>
    <row r="172" spans="1:54" x14ac:dyDescent="0.25">
      <c r="A172" s="1851">
        <v>168</v>
      </c>
      <c r="B172" s="1851"/>
      <c r="C172" s="1856" t="s">
        <v>996</v>
      </c>
      <c r="D172" s="1856"/>
      <c r="E172" s="1856"/>
      <c r="F172" s="1856"/>
      <c r="G172" s="1856"/>
      <c r="H172" s="1856"/>
      <c r="I172" s="1856"/>
      <c r="J172" s="1856"/>
      <c r="K172" s="1856"/>
      <c r="L172" s="1856"/>
      <c r="M172" s="1856"/>
      <c r="N172" s="1856"/>
      <c r="O172" s="1856"/>
      <c r="P172" s="1856"/>
      <c r="Q172" s="1856"/>
      <c r="R172" s="1856"/>
      <c r="S172" s="1856"/>
      <c r="T172" s="1856"/>
      <c r="U172" s="1856"/>
      <c r="V172" s="1856" t="s">
        <v>995</v>
      </c>
      <c r="W172" s="1856"/>
      <c r="X172" s="1856"/>
      <c r="Y172" s="1851"/>
      <c r="Z172" s="1851"/>
      <c r="AA172" s="1851"/>
      <c r="AB172" s="1851"/>
      <c r="AC172" s="1851"/>
      <c r="AD172" s="1851"/>
      <c r="AE172" s="1851"/>
      <c r="AF172" s="1851"/>
      <c r="AG172" s="1851"/>
      <c r="AH172" s="1851"/>
      <c r="AI172" s="1851"/>
      <c r="AJ172" s="1851"/>
      <c r="AK172" s="1851"/>
      <c r="AL172" s="1851"/>
      <c r="AM172" s="1851"/>
      <c r="AN172" s="1851"/>
      <c r="AO172" s="1851"/>
      <c r="AP172" s="1851"/>
      <c r="AQ172" s="1851"/>
      <c r="AR172" s="1851"/>
      <c r="AS172" s="1851"/>
      <c r="AT172" s="1851"/>
      <c r="AU172" s="1851"/>
      <c r="AV172" s="1851"/>
      <c r="AW172" s="1851"/>
      <c r="AX172" s="1851"/>
      <c r="AY172" s="1851"/>
      <c r="AZ172" s="1851"/>
      <c r="BA172" s="1851"/>
      <c r="BB172" s="1851"/>
    </row>
    <row r="173" spans="1:54" x14ac:dyDescent="0.25">
      <c r="A173" s="1851">
        <v>169</v>
      </c>
      <c r="B173" s="1851"/>
      <c r="C173" s="1856" t="s">
        <v>997</v>
      </c>
      <c r="D173" s="1856"/>
      <c r="E173" s="1856"/>
      <c r="F173" s="1856"/>
      <c r="G173" s="1856"/>
      <c r="H173" s="1856"/>
      <c r="I173" s="1856"/>
      <c r="J173" s="1856"/>
      <c r="K173" s="1856"/>
      <c r="L173" s="1856"/>
      <c r="M173" s="1856"/>
      <c r="N173" s="1856"/>
      <c r="O173" s="1856"/>
      <c r="P173" s="1856"/>
      <c r="Q173" s="1856"/>
      <c r="R173" s="1856"/>
      <c r="S173" s="1856"/>
      <c r="T173" s="1856"/>
      <c r="U173" s="1856"/>
      <c r="V173" s="1856" t="s">
        <v>995</v>
      </c>
      <c r="W173" s="1856"/>
      <c r="X173" s="1856"/>
      <c r="Y173" s="1851"/>
      <c r="Z173" s="1851"/>
      <c r="AA173" s="1851"/>
      <c r="AB173" s="1851"/>
      <c r="AC173" s="1851"/>
      <c r="AD173" s="1851"/>
      <c r="AE173" s="1851"/>
      <c r="AF173" s="1851"/>
      <c r="AG173" s="1851"/>
      <c r="AH173" s="1851"/>
      <c r="AI173" s="1851"/>
      <c r="AJ173" s="1851"/>
      <c r="AK173" s="1851"/>
      <c r="AL173" s="1851"/>
      <c r="AM173" s="1851"/>
      <c r="AN173" s="1851"/>
      <c r="AO173" s="1851"/>
      <c r="AP173" s="1851"/>
      <c r="AQ173" s="1851"/>
      <c r="AR173" s="1851"/>
      <c r="AS173" s="1851"/>
      <c r="AT173" s="1851"/>
      <c r="AU173" s="1851"/>
      <c r="AV173" s="1851"/>
      <c r="AW173" s="1851"/>
      <c r="AX173" s="1851"/>
      <c r="AY173" s="1851"/>
      <c r="AZ173" s="1851"/>
      <c r="BA173" s="1851"/>
      <c r="BB173" s="1851"/>
    </row>
    <row r="174" spans="1:54" x14ac:dyDescent="0.25">
      <c r="A174" s="1851">
        <v>170</v>
      </c>
      <c r="B174" s="1851"/>
      <c r="C174" s="1856" t="s">
        <v>998</v>
      </c>
      <c r="D174" s="1856"/>
      <c r="E174" s="1856"/>
      <c r="F174" s="1856"/>
      <c r="G174" s="1856"/>
      <c r="H174" s="1856"/>
      <c r="I174" s="1856"/>
      <c r="J174" s="1856"/>
      <c r="K174" s="1856"/>
      <c r="L174" s="1856"/>
      <c r="M174" s="1856"/>
      <c r="N174" s="1856"/>
      <c r="O174" s="1856"/>
      <c r="P174" s="1856"/>
      <c r="Q174" s="1856"/>
      <c r="R174" s="1856"/>
      <c r="S174" s="1856"/>
      <c r="T174" s="1856"/>
      <c r="U174" s="1856"/>
      <c r="V174" s="1856" t="s">
        <v>995</v>
      </c>
      <c r="W174" s="1856"/>
      <c r="X174" s="1856"/>
      <c r="Y174" s="1851"/>
      <c r="Z174" s="1851"/>
      <c r="AA174" s="1851"/>
      <c r="AB174" s="1851"/>
      <c r="AC174" s="1851"/>
      <c r="AD174" s="1851"/>
      <c r="AE174" s="1851"/>
      <c r="AF174" s="1851"/>
      <c r="AG174" s="1851"/>
      <c r="AH174" s="1851"/>
      <c r="AI174" s="1851"/>
      <c r="AJ174" s="1851"/>
      <c r="AK174" s="1851"/>
      <c r="AL174" s="1851"/>
      <c r="AM174" s="1851"/>
      <c r="AN174" s="1851"/>
      <c r="AO174" s="1851"/>
      <c r="AP174" s="1851"/>
      <c r="AQ174" s="1851"/>
      <c r="AR174" s="1851"/>
      <c r="AS174" s="1851"/>
      <c r="AT174" s="1851"/>
      <c r="AU174" s="1851"/>
      <c r="AV174" s="1851"/>
      <c r="AW174" s="1851"/>
      <c r="AX174" s="1851"/>
      <c r="AY174" s="1851"/>
      <c r="AZ174" s="1851"/>
      <c r="BA174" s="1851"/>
      <c r="BB174" s="1851"/>
    </row>
    <row r="175" spans="1:54" x14ac:dyDescent="0.25">
      <c r="A175" s="1851">
        <v>171</v>
      </c>
      <c r="B175" s="1851"/>
      <c r="C175" s="1856" t="s">
        <v>999</v>
      </c>
      <c r="D175" s="1856"/>
      <c r="E175" s="1856"/>
      <c r="F175" s="1856"/>
      <c r="G175" s="1856"/>
      <c r="H175" s="1856"/>
      <c r="I175" s="1856"/>
      <c r="J175" s="1856"/>
      <c r="K175" s="1856"/>
      <c r="L175" s="1856"/>
      <c r="M175" s="1856"/>
      <c r="N175" s="1856"/>
      <c r="O175" s="1856"/>
      <c r="P175" s="1856"/>
      <c r="Q175" s="1856"/>
      <c r="R175" s="1856"/>
      <c r="S175" s="1856"/>
      <c r="T175" s="1856"/>
      <c r="U175" s="1856"/>
      <c r="V175" s="1856" t="s">
        <v>995</v>
      </c>
      <c r="W175" s="1856"/>
      <c r="X175" s="1856"/>
      <c r="Y175" s="1851"/>
      <c r="Z175" s="1851"/>
      <c r="AA175" s="1851"/>
      <c r="AB175" s="1851"/>
      <c r="AC175" s="1851"/>
      <c r="AD175" s="1851"/>
      <c r="AE175" s="1851"/>
      <c r="AF175" s="1851"/>
      <c r="AG175" s="1851"/>
      <c r="AH175" s="1851"/>
      <c r="AI175" s="1851"/>
      <c r="AJ175" s="1851"/>
      <c r="AK175" s="1851"/>
      <c r="AL175" s="1851"/>
      <c r="AM175" s="1851"/>
      <c r="AN175" s="1851"/>
      <c r="AO175" s="1851"/>
      <c r="AP175" s="1851"/>
      <c r="AQ175" s="1851"/>
      <c r="AR175" s="1851"/>
      <c r="AS175" s="1851"/>
      <c r="AT175" s="1851"/>
      <c r="AU175" s="1851"/>
      <c r="AV175" s="1851"/>
      <c r="AW175" s="1851"/>
      <c r="AX175" s="1851"/>
      <c r="AY175" s="1851"/>
      <c r="AZ175" s="1851"/>
      <c r="BA175" s="1851"/>
      <c r="BB175" s="1851"/>
    </row>
    <row r="176" spans="1:54" x14ac:dyDescent="0.25">
      <c r="A176" s="1851">
        <v>172</v>
      </c>
      <c r="B176" s="1851"/>
      <c r="C176" s="1856" t="s">
        <v>1000</v>
      </c>
      <c r="D176" s="1856"/>
      <c r="E176" s="1856"/>
      <c r="F176" s="1856"/>
      <c r="G176" s="1856"/>
      <c r="H176" s="1856"/>
      <c r="I176" s="1856"/>
      <c r="J176" s="1856"/>
      <c r="K176" s="1856"/>
      <c r="L176" s="1856"/>
      <c r="M176" s="1856"/>
      <c r="N176" s="1856"/>
      <c r="O176" s="1856"/>
      <c r="P176" s="1856"/>
      <c r="Q176" s="1856"/>
      <c r="R176" s="1856"/>
      <c r="S176" s="1856"/>
      <c r="T176" s="1856"/>
      <c r="U176" s="1856"/>
      <c r="V176" s="1856" t="s">
        <v>995</v>
      </c>
      <c r="W176" s="1856"/>
      <c r="X176" s="1856"/>
      <c r="Y176" s="1851"/>
      <c r="Z176" s="1851"/>
      <c r="AA176" s="1851"/>
      <c r="AB176" s="1851"/>
      <c r="AC176" s="1851"/>
      <c r="AD176" s="1851"/>
      <c r="AE176" s="1851"/>
      <c r="AF176" s="1851"/>
      <c r="AG176" s="1851"/>
      <c r="AH176" s="1851"/>
      <c r="AI176" s="1851"/>
      <c r="AJ176" s="1851"/>
      <c r="AK176" s="1851"/>
      <c r="AL176" s="1851"/>
      <c r="AM176" s="1851"/>
      <c r="AN176" s="1851"/>
      <c r="AO176" s="1851"/>
      <c r="AP176" s="1851"/>
      <c r="AQ176" s="1851"/>
      <c r="AR176" s="1851"/>
      <c r="AS176" s="1851"/>
      <c r="AT176" s="1851"/>
      <c r="AU176" s="1851"/>
      <c r="AV176" s="1851"/>
      <c r="AW176" s="1851"/>
      <c r="AX176" s="1851"/>
      <c r="AY176" s="1851"/>
      <c r="AZ176" s="1851"/>
      <c r="BA176" s="1851"/>
      <c r="BB176" s="1851"/>
    </row>
    <row r="177" spans="1:54" x14ac:dyDescent="0.25">
      <c r="A177" s="1851">
        <v>173</v>
      </c>
      <c r="B177" s="1851"/>
      <c r="C177" s="1856" t="s">
        <v>1001</v>
      </c>
      <c r="D177" s="1856"/>
      <c r="E177" s="1856"/>
      <c r="F177" s="1856"/>
      <c r="G177" s="1856"/>
      <c r="H177" s="1856"/>
      <c r="I177" s="1856"/>
      <c r="J177" s="1856"/>
      <c r="K177" s="1856"/>
      <c r="L177" s="1856"/>
      <c r="M177" s="1856"/>
      <c r="N177" s="1856"/>
      <c r="O177" s="1856"/>
      <c r="P177" s="1856"/>
      <c r="Q177" s="1856"/>
      <c r="R177" s="1856"/>
      <c r="S177" s="1856"/>
      <c r="T177" s="1856"/>
      <c r="U177" s="1856"/>
      <c r="V177" s="1856" t="s">
        <v>995</v>
      </c>
      <c r="W177" s="1856"/>
      <c r="X177" s="1856"/>
      <c r="Y177" s="1851"/>
      <c r="Z177" s="1851"/>
      <c r="AA177" s="1851"/>
      <c r="AB177" s="1851"/>
      <c r="AC177" s="1851"/>
      <c r="AD177" s="1851"/>
      <c r="AE177" s="1851"/>
      <c r="AF177" s="1851"/>
      <c r="AG177" s="1851"/>
      <c r="AH177" s="1851"/>
      <c r="AI177" s="1851"/>
      <c r="AJ177" s="1851"/>
      <c r="AK177" s="1851"/>
      <c r="AL177" s="1851"/>
      <c r="AM177" s="1851"/>
      <c r="AN177" s="1851"/>
      <c r="AO177" s="1851"/>
      <c r="AP177" s="1851"/>
      <c r="AQ177" s="1851"/>
      <c r="AR177" s="1851"/>
      <c r="AS177" s="1851"/>
      <c r="AT177" s="1851"/>
      <c r="AU177" s="1851"/>
      <c r="AV177" s="1851"/>
      <c r="AW177" s="1851"/>
      <c r="AX177" s="1851"/>
      <c r="AY177" s="1851"/>
      <c r="AZ177" s="1851"/>
      <c r="BA177" s="1851"/>
      <c r="BB177" s="1851"/>
    </row>
    <row r="178" spans="1:54" x14ac:dyDescent="0.25">
      <c r="A178" s="1851">
        <v>174</v>
      </c>
      <c r="B178" s="1851"/>
      <c r="C178" s="1856" t="s">
        <v>1002</v>
      </c>
      <c r="D178" s="1856"/>
      <c r="E178" s="1856"/>
      <c r="F178" s="1856"/>
      <c r="G178" s="1856"/>
      <c r="H178" s="1856"/>
      <c r="I178" s="1856"/>
      <c r="J178" s="1856"/>
      <c r="K178" s="1856"/>
      <c r="L178" s="1856"/>
      <c r="M178" s="1856"/>
      <c r="N178" s="1856"/>
      <c r="O178" s="1856"/>
      <c r="P178" s="1856"/>
      <c r="Q178" s="1856"/>
      <c r="R178" s="1856"/>
      <c r="S178" s="1856"/>
      <c r="T178" s="1856"/>
      <c r="U178" s="1856"/>
      <c r="V178" s="1856" t="s">
        <v>995</v>
      </c>
      <c r="W178" s="1856"/>
      <c r="X178" s="1856"/>
      <c r="Y178" s="1851"/>
      <c r="Z178" s="1851"/>
      <c r="AA178" s="1851"/>
      <c r="AB178" s="1851"/>
      <c r="AC178" s="1851"/>
      <c r="AD178" s="1851"/>
      <c r="AE178" s="1851"/>
      <c r="AF178" s="1851"/>
      <c r="AG178" s="1851"/>
      <c r="AH178" s="1851"/>
      <c r="AI178" s="1851"/>
      <c r="AJ178" s="1851"/>
      <c r="AK178" s="1851"/>
      <c r="AL178" s="1851"/>
      <c r="AM178" s="1851"/>
      <c r="AN178" s="1851"/>
      <c r="AO178" s="1851"/>
      <c r="AP178" s="1851"/>
      <c r="AQ178" s="1851"/>
      <c r="AR178" s="1851"/>
      <c r="AS178" s="1851"/>
      <c r="AT178" s="1851"/>
      <c r="AU178" s="1851"/>
      <c r="AV178" s="1851"/>
      <c r="AW178" s="1851"/>
      <c r="AX178" s="1851"/>
      <c r="AY178" s="1851"/>
      <c r="AZ178" s="1851"/>
      <c r="BA178" s="1851"/>
      <c r="BB178" s="1851"/>
    </row>
    <row r="179" spans="1:54" x14ac:dyDescent="0.25">
      <c r="A179" s="1851">
        <v>175</v>
      </c>
      <c r="B179" s="1851"/>
      <c r="C179" s="1856" t="s">
        <v>1003</v>
      </c>
      <c r="D179" s="1856"/>
      <c r="E179" s="1856"/>
      <c r="F179" s="1856"/>
      <c r="G179" s="1856"/>
      <c r="H179" s="1856"/>
      <c r="I179" s="1856"/>
      <c r="J179" s="1856"/>
      <c r="K179" s="1856"/>
      <c r="L179" s="1856"/>
      <c r="M179" s="1856"/>
      <c r="N179" s="1856"/>
      <c r="O179" s="1856"/>
      <c r="P179" s="1856"/>
      <c r="Q179" s="1856"/>
      <c r="R179" s="1856"/>
      <c r="S179" s="1856"/>
      <c r="T179" s="1856"/>
      <c r="U179" s="1856"/>
      <c r="V179" s="1856" t="s">
        <v>995</v>
      </c>
      <c r="W179" s="1856"/>
      <c r="X179" s="1856"/>
      <c r="Y179" s="1851"/>
      <c r="Z179" s="1851"/>
      <c r="AA179" s="1851"/>
      <c r="AB179" s="1851"/>
      <c r="AC179" s="1851"/>
      <c r="AD179" s="1851"/>
      <c r="AE179" s="1851"/>
      <c r="AF179" s="1851"/>
      <c r="AG179" s="1851"/>
      <c r="AH179" s="1851"/>
      <c r="AI179" s="1851"/>
      <c r="AJ179" s="1851"/>
      <c r="AK179" s="1851"/>
      <c r="AL179" s="1851"/>
      <c r="AM179" s="1851"/>
      <c r="AN179" s="1851"/>
      <c r="AO179" s="1851"/>
      <c r="AP179" s="1851"/>
      <c r="AQ179" s="1851"/>
      <c r="AR179" s="1851"/>
      <c r="AS179" s="1851"/>
      <c r="AT179" s="1851"/>
      <c r="AU179" s="1851"/>
      <c r="AV179" s="1851"/>
      <c r="AW179" s="1851"/>
      <c r="AX179" s="1851"/>
      <c r="AY179" s="1851"/>
      <c r="AZ179" s="1851"/>
      <c r="BA179" s="1851"/>
      <c r="BB179" s="1851"/>
    </row>
    <row r="180" spans="1:54" x14ac:dyDescent="0.25">
      <c r="A180" s="1851">
        <v>176</v>
      </c>
      <c r="B180" s="1851"/>
      <c r="C180" s="1856" t="s">
        <v>1004</v>
      </c>
      <c r="D180" s="1856"/>
      <c r="E180" s="1856"/>
      <c r="F180" s="1856"/>
      <c r="G180" s="1856"/>
      <c r="H180" s="1856"/>
      <c r="I180" s="1856"/>
      <c r="J180" s="1856"/>
      <c r="K180" s="1856"/>
      <c r="L180" s="1856"/>
      <c r="M180" s="1856"/>
      <c r="N180" s="1856"/>
      <c r="O180" s="1856"/>
      <c r="P180" s="1856"/>
      <c r="Q180" s="1856"/>
      <c r="R180" s="1856"/>
      <c r="S180" s="1856"/>
      <c r="T180" s="1856"/>
      <c r="U180" s="1856"/>
      <c r="V180" s="1856" t="s">
        <v>995</v>
      </c>
      <c r="W180" s="1856"/>
      <c r="X180" s="1856"/>
      <c r="Y180" s="1851"/>
      <c r="Z180" s="1851"/>
      <c r="AA180" s="1851"/>
      <c r="AB180" s="1851"/>
      <c r="AC180" s="1851"/>
      <c r="AD180" s="1851"/>
      <c r="AE180" s="1851"/>
      <c r="AF180" s="1851"/>
      <c r="AG180" s="1851"/>
      <c r="AH180" s="1851"/>
      <c r="AI180" s="1851"/>
      <c r="AJ180" s="1851"/>
      <c r="AK180" s="1851"/>
      <c r="AL180" s="1851"/>
      <c r="AM180" s="1851"/>
      <c r="AN180" s="1851"/>
      <c r="AO180" s="1851"/>
      <c r="AP180" s="1851"/>
      <c r="AQ180" s="1851"/>
      <c r="AR180" s="1851"/>
      <c r="AS180" s="1851"/>
      <c r="AT180" s="1851"/>
      <c r="AU180" s="1851"/>
      <c r="AV180" s="1851"/>
      <c r="AW180" s="1851"/>
      <c r="AX180" s="1851"/>
      <c r="AY180" s="1851"/>
      <c r="AZ180" s="1851"/>
      <c r="BA180" s="1851"/>
      <c r="BB180" s="1851"/>
    </row>
    <row r="181" spans="1:54" x14ac:dyDescent="0.25">
      <c r="A181" s="1851">
        <v>177</v>
      </c>
      <c r="B181" s="1851"/>
      <c r="C181" s="1856" t="s">
        <v>1005</v>
      </c>
      <c r="D181" s="1856"/>
      <c r="E181" s="1856"/>
      <c r="F181" s="1856"/>
      <c r="G181" s="1856"/>
      <c r="H181" s="1856"/>
      <c r="I181" s="1856"/>
      <c r="J181" s="1856"/>
      <c r="K181" s="1856"/>
      <c r="L181" s="1856"/>
      <c r="M181" s="1856"/>
      <c r="N181" s="1856"/>
      <c r="O181" s="1856"/>
      <c r="P181" s="1856"/>
      <c r="Q181" s="1856"/>
      <c r="R181" s="1856"/>
      <c r="S181" s="1856"/>
      <c r="T181" s="1856"/>
      <c r="U181" s="1856"/>
      <c r="V181" s="1856" t="s">
        <v>995</v>
      </c>
      <c r="W181" s="1856"/>
      <c r="X181" s="1856"/>
      <c r="Y181" s="1851"/>
      <c r="Z181" s="1851"/>
      <c r="AA181" s="1851"/>
      <c r="AB181" s="1851"/>
      <c r="AC181" s="1851"/>
      <c r="AD181" s="1851"/>
      <c r="AE181" s="1851"/>
      <c r="AF181" s="1851"/>
      <c r="AG181" s="1851"/>
      <c r="AH181" s="1851"/>
      <c r="AI181" s="1851"/>
      <c r="AJ181" s="1851"/>
      <c r="AK181" s="1851"/>
      <c r="AL181" s="1851"/>
      <c r="AM181" s="1851"/>
      <c r="AN181" s="1851"/>
      <c r="AO181" s="1851"/>
      <c r="AP181" s="1851"/>
      <c r="AQ181" s="1851"/>
      <c r="AR181" s="1851"/>
      <c r="AS181" s="1851"/>
      <c r="AT181" s="1851"/>
      <c r="AU181" s="1851"/>
      <c r="AV181" s="1851"/>
      <c r="AW181" s="1851"/>
      <c r="AX181" s="1851"/>
      <c r="AY181" s="1851"/>
      <c r="AZ181" s="1851"/>
      <c r="BA181" s="1851"/>
      <c r="BB181" s="1851"/>
    </row>
    <row r="182" spans="1:54" x14ac:dyDescent="0.25">
      <c r="A182" s="1851">
        <v>178</v>
      </c>
      <c r="B182" s="1851"/>
      <c r="C182" s="1856" t="s">
        <v>1006</v>
      </c>
      <c r="D182" s="1856"/>
      <c r="E182" s="1856"/>
      <c r="F182" s="1856"/>
      <c r="G182" s="1856"/>
      <c r="H182" s="1856"/>
      <c r="I182" s="1856"/>
      <c r="J182" s="1856"/>
      <c r="K182" s="1856"/>
      <c r="L182" s="1856"/>
      <c r="M182" s="1856"/>
      <c r="N182" s="1856"/>
      <c r="O182" s="1856"/>
      <c r="P182" s="1856"/>
      <c r="Q182" s="1856"/>
      <c r="R182" s="1856"/>
      <c r="S182" s="1856"/>
      <c r="T182" s="1856"/>
      <c r="U182" s="1856"/>
      <c r="V182" s="1856" t="s">
        <v>995</v>
      </c>
      <c r="W182" s="1856"/>
      <c r="X182" s="1856"/>
      <c r="Y182" s="1851"/>
      <c r="Z182" s="1851"/>
      <c r="AA182" s="1851"/>
      <c r="AB182" s="1851"/>
      <c r="AC182" s="1851"/>
      <c r="AD182" s="1851"/>
      <c r="AE182" s="1851"/>
      <c r="AF182" s="1851"/>
      <c r="AG182" s="1851"/>
      <c r="AH182" s="1851"/>
      <c r="AI182" s="1851"/>
      <c r="AJ182" s="1851"/>
      <c r="AK182" s="1851"/>
      <c r="AL182" s="1851"/>
      <c r="AM182" s="1851"/>
      <c r="AN182" s="1851"/>
      <c r="AO182" s="1851"/>
      <c r="AP182" s="1851"/>
      <c r="AQ182" s="1851"/>
      <c r="AR182" s="1851"/>
      <c r="AS182" s="1851"/>
      <c r="AT182" s="1851"/>
      <c r="AU182" s="1851"/>
      <c r="AV182" s="1851"/>
      <c r="AW182" s="1851"/>
      <c r="AX182" s="1851"/>
      <c r="AY182" s="1851"/>
      <c r="AZ182" s="1851"/>
      <c r="BA182" s="1851"/>
      <c r="BB182" s="1851"/>
    </row>
    <row r="183" spans="1:54" x14ac:dyDescent="0.25">
      <c r="A183" s="1851">
        <v>179</v>
      </c>
      <c r="B183" s="1851"/>
      <c r="C183" s="1862" t="s">
        <v>1007</v>
      </c>
      <c r="D183" s="1862"/>
      <c r="E183" s="1862"/>
      <c r="F183" s="1862"/>
      <c r="G183" s="1862"/>
      <c r="H183" s="1862"/>
      <c r="I183" s="1862"/>
      <c r="J183" s="1862"/>
      <c r="K183" s="1862"/>
      <c r="L183" s="1862"/>
      <c r="M183" s="1862"/>
      <c r="N183" s="1862"/>
      <c r="O183" s="1862"/>
      <c r="P183" s="1862"/>
      <c r="Q183" s="1862"/>
      <c r="R183" s="1862"/>
      <c r="S183" s="1862"/>
      <c r="T183" s="1862"/>
      <c r="U183" s="1862"/>
      <c r="V183" s="1865" t="s">
        <v>1008</v>
      </c>
      <c r="W183" s="1865"/>
      <c r="X183" s="1865"/>
      <c r="Y183" s="1851"/>
      <c r="Z183" s="1851"/>
      <c r="AA183" s="1851"/>
      <c r="AB183" s="1851"/>
      <c r="AC183" s="1851"/>
      <c r="AD183" s="1851"/>
      <c r="AE183" s="1851"/>
      <c r="AF183" s="1851"/>
      <c r="AG183" s="1851"/>
      <c r="AH183" s="1851"/>
      <c r="AI183" s="1851"/>
      <c r="AJ183" s="1851"/>
      <c r="AK183" s="1851"/>
      <c r="AL183" s="1851"/>
      <c r="AM183" s="1851"/>
      <c r="AN183" s="1851"/>
      <c r="AO183" s="1851"/>
      <c r="AP183" s="1851"/>
      <c r="AQ183" s="1851"/>
      <c r="AR183" s="1851"/>
      <c r="AS183" s="1851"/>
      <c r="AT183" s="1851"/>
      <c r="AU183" s="1851"/>
      <c r="AV183" s="1851"/>
      <c r="AW183" s="1851"/>
      <c r="AX183" s="1851"/>
      <c r="AY183" s="1851"/>
      <c r="AZ183" s="1851"/>
      <c r="BA183" s="1851"/>
      <c r="BB183" s="1851"/>
    </row>
    <row r="184" spans="1:54" x14ac:dyDescent="0.25">
      <c r="A184" s="1851">
        <v>180</v>
      </c>
      <c r="B184" s="1851"/>
      <c r="C184" s="1862" t="s">
        <v>1009</v>
      </c>
      <c r="D184" s="1862"/>
      <c r="E184" s="1862"/>
      <c r="F184" s="1862"/>
      <c r="G184" s="1862"/>
      <c r="H184" s="1862"/>
      <c r="I184" s="1862"/>
      <c r="J184" s="1862"/>
      <c r="K184" s="1862"/>
      <c r="L184" s="1862"/>
      <c r="M184" s="1862"/>
      <c r="N184" s="1862"/>
      <c r="O184" s="1862"/>
      <c r="P184" s="1862"/>
      <c r="Q184" s="1862"/>
      <c r="R184" s="1862"/>
      <c r="S184" s="1862"/>
      <c r="T184" s="1862"/>
      <c r="U184" s="1862"/>
      <c r="V184" s="1865" t="s">
        <v>1010</v>
      </c>
      <c r="W184" s="1865"/>
      <c r="X184" s="1865"/>
      <c r="Y184" s="1851"/>
      <c r="Z184" s="1851"/>
      <c r="AA184" s="1851"/>
      <c r="AB184" s="1851"/>
      <c r="AC184" s="1851"/>
      <c r="AD184" s="1851"/>
      <c r="AE184" s="1851"/>
      <c r="AF184" s="1851"/>
      <c r="AG184" s="1851"/>
      <c r="AH184" s="1851"/>
      <c r="AI184" s="1851"/>
      <c r="AJ184" s="1851"/>
      <c r="AK184" s="1851"/>
      <c r="AL184" s="1851"/>
      <c r="AM184" s="1851"/>
      <c r="AN184" s="1851"/>
      <c r="AO184" s="1851"/>
      <c r="AP184" s="1851"/>
      <c r="AQ184" s="1851"/>
      <c r="AR184" s="1851"/>
      <c r="AS184" s="1851"/>
      <c r="AT184" s="1851"/>
      <c r="AU184" s="1851"/>
      <c r="AV184" s="1851"/>
      <c r="AW184" s="1851"/>
      <c r="AX184" s="1851"/>
      <c r="AY184" s="1851"/>
      <c r="AZ184" s="1851"/>
      <c r="BA184" s="1851"/>
      <c r="BB184" s="1851"/>
    </row>
    <row r="185" spans="1:54" x14ac:dyDescent="0.25">
      <c r="A185" s="1851">
        <v>181</v>
      </c>
      <c r="B185" s="1851"/>
      <c r="C185" s="1856" t="s">
        <v>1011</v>
      </c>
      <c r="D185" s="1856"/>
      <c r="E185" s="1856"/>
      <c r="F185" s="1856"/>
      <c r="G185" s="1856"/>
      <c r="H185" s="1856"/>
      <c r="I185" s="1856"/>
      <c r="J185" s="1856"/>
      <c r="K185" s="1856"/>
      <c r="L185" s="1856"/>
      <c r="M185" s="1856"/>
      <c r="N185" s="1856"/>
      <c r="O185" s="1856"/>
      <c r="P185" s="1856"/>
      <c r="Q185" s="1856"/>
      <c r="R185" s="1856"/>
      <c r="S185" s="1856"/>
      <c r="T185" s="1856"/>
      <c r="U185" s="1856"/>
      <c r="V185" s="1865" t="s">
        <v>1012</v>
      </c>
      <c r="W185" s="1865"/>
      <c r="X185" s="1865"/>
      <c r="Y185" s="1857"/>
      <c r="Z185" s="1858"/>
      <c r="AA185" s="1858"/>
      <c r="AB185" s="1858"/>
      <c r="AC185" s="1859"/>
      <c r="AD185" s="1859"/>
      <c r="AE185" s="1857"/>
      <c r="AF185" s="1858"/>
      <c r="AG185" s="1858"/>
      <c r="AH185" s="1858"/>
      <c r="AI185" s="1859"/>
      <c r="AJ185" s="1859"/>
      <c r="AK185" s="1857"/>
      <c r="AL185" s="1858"/>
      <c r="AM185" s="1858"/>
      <c r="AN185" s="1858"/>
      <c r="AO185" s="1859"/>
      <c r="AP185" s="1859"/>
      <c r="AQ185" s="1857"/>
      <c r="AR185" s="1858"/>
      <c r="AS185" s="1858"/>
      <c r="AT185" s="1858"/>
      <c r="AU185" s="1859"/>
      <c r="AV185" s="1859"/>
      <c r="AW185" s="1857"/>
      <c r="AX185" s="1858"/>
      <c r="AY185" s="1858"/>
      <c r="AZ185" s="1858"/>
      <c r="BA185" s="1859"/>
      <c r="BB185" s="1859"/>
    </row>
    <row r="186" spans="1:54" x14ac:dyDescent="0.25">
      <c r="A186" s="1851">
        <v>182</v>
      </c>
      <c r="B186" s="1851"/>
      <c r="C186" s="1856" t="s">
        <v>996</v>
      </c>
      <c r="D186" s="1856"/>
      <c r="E186" s="1856"/>
      <c r="F186" s="1856"/>
      <c r="G186" s="1856"/>
      <c r="H186" s="1856"/>
      <c r="I186" s="1856"/>
      <c r="J186" s="1856"/>
      <c r="K186" s="1856"/>
      <c r="L186" s="1856"/>
      <c r="M186" s="1856"/>
      <c r="N186" s="1856"/>
      <c r="O186" s="1856"/>
      <c r="P186" s="1856"/>
      <c r="Q186" s="1856"/>
      <c r="R186" s="1856"/>
      <c r="S186" s="1856"/>
      <c r="T186" s="1856"/>
      <c r="U186" s="1856"/>
      <c r="V186" s="1856" t="s">
        <v>1012</v>
      </c>
      <c r="W186" s="1856"/>
      <c r="X186" s="1856"/>
      <c r="Y186" s="1851"/>
      <c r="Z186" s="1851"/>
      <c r="AA186" s="1851"/>
      <c r="AB186" s="1851"/>
      <c r="AC186" s="1851"/>
      <c r="AD186" s="1851"/>
      <c r="AE186" s="1851"/>
      <c r="AF186" s="1851"/>
      <c r="AG186" s="1851"/>
      <c r="AH186" s="1851"/>
      <c r="AI186" s="1851"/>
      <c r="AJ186" s="1851"/>
      <c r="AK186" s="1851"/>
      <c r="AL186" s="1851"/>
      <c r="AM186" s="1851"/>
      <c r="AN186" s="1851"/>
      <c r="AO186" s="1851"/>
      <c r="AP186" s="1851"/>
      <c r="AQ186" s="1851"/>
      <c r="AR186" s="1851"/>
      <c r="AS186" s="1851"/>
      <c r="AT186" s="1851"/>
      <c r="AU186" s="1851"/>
      <c r="AV186" s="1851"/>
      <c r="AW186" s="1851"/>
      <c r="AX186" s="1851"/>
      <c r="AY186" s="1851"/>
      <c r="AZ186" s="1851"/>
      <c r="BA186" s="1851"/>
      <c r="BB186" s="1851"/>
    </row>
    <row r="187" spans="1:54" x14ac:dyDescent="0.25">
      <c r="A187" s="1851">
        <v>183</v>
      </c>
      <c r="B187" s="1851"/>
      <c r="C187" s="1856" t="s">
        <v>997</v>
      </c>
      <c r="D187" s="1856"/>
      <c r="E187" s="1856"/>
      <c r="F187" s="1856"/>
      <c r="G187" s="1856"/>
      <c r="H187" s="1856"/>
      <c r="I187" s="1856"/>
      <c r="J187" s="1856"/>
      <c r="K187" s="1856"/>
      <c r="L187" s="1856"/>
      <c r="M187" s="1856"/>
      <c r="N187" s="1856"/>
      <c r="O187" s="1856"/>
      <c r="P187" s="1856"/>
      <c r="Q187" s="1856"/>
      <c r="R187" s="1856"/>
      <c r="S187" s="1856"/>
      <c r="T187" s="1856"/>
      <c r="U187" s="1856"/>
      <c r="V187" s="1856" t="s">
        <v>1012</v>
      </c>
      <c r="W187" s="1856"/>
      <c r="X187" s="1856"/>
      <c r="Y187" s="1851"/>
      <c r="Z187" s="1851"/>
      <c r="AA187" s="1851"/>
      <c r="AB187" s="1851"/>
      <c r="AC187" s="1851"/>
      <c r="AD187" s="1851"/>
      <c r="AE187" s="1851"/>
      <c r="AF187" s="1851"/>
      <c r="AG187" s="1851"/>
      <c r="AH187" s="1851"/>
      <c r="AI187" s="1851"/>
      <c r="AJ187" s="1851"/>
      <c r="AK187" s="1851"/>
      <c r="AL187" s="1851"/>
      <c r="AM187" s="1851"/>
      <c r="AN187" s="1851"/>
      <c r="AO187" s="1851"/>
      <c r="AP187" s="1851"/>
      <c r="AQ187" s="1851"/>
      <c r="AR187" s="1851"/>
      <c r="AS187" s="1851"/>
      <c r="AT187" s="1851"/>
      <c r="AU187" s="1851"/>
      <c r="AV187" s="1851"/>
      <c r="AW187" s="1851"/>
      <c r="AX187" s="1851"/>
      <c r="AY187" s="1851"/>
      <c r="AZ187" s="1851"/>
      <c r="BA187" s="1851"/>
      <c r="BB187" s="1851"/>
    </row>
    <row r="188" spans="1:54" x14ac:dyDescent="0.25">
      <c r="A188" s="1851">
        <v>184</v>
      </c>
      <c r="B188" s="1851"/>
      <c r="C188" s="1856" t="s">
        <v>998</v>
      </c>
      <c r="D188" s="1856"/>
      <c r="E188" s="1856"/>
      <c r="F188" s="1856"/>
      <c r="G188" s="1856"/>
      <c r="H188" s="1856"/>
      <c r="I188" s="1856"/>
      <c r="J188" s="1856"/>
      <c r="K188" s="1856"/>
      <c r="L188" s="1856"/>
      <c r="M188" s="1856"/>
      <c r="N188" s="1856"/>
      <c r="O188" s="1856"/>
      <c r="P188" s="1856"/>
      <c r="Q188" s="1856"/>
      <c r="R188" s="1856"/>
      <c r="S188" s="1856"/>
      <c r="T188" s="1856"/>
      <c r="U188" s="1856"/>
      <c r="V188" s="1856" t="s">
        <v>1012</v>
      </c>
      <c r="W188" s="1856"/>
      <c r="X188" s="1856"/>
      <c r="Y188" s="1851"/>
      <c r="Z188" s="1851"/>
      <c r="AA188" s="1851"/>
      <c r="AB188" s="1851"/>
      <c r="AC188" s="1851"/>
      <c r="AD188" s="1851"/>
      <c r="AE188" s="1851"/>
      <c r="AF188" s="1851"/>
      <c r="AG188" s="1851"/>
      <c r="AH188" s="1851"/>
      <c r="AI188" s="1851"/>
      <c r="AJ188" s="1851"/>
      <c r="AK188" s="1851"/>
      <c r="AL188" s="1851"/>
      <c r="AM188" s="1851"/>
      <c r="AN188" s="1851"/>
      <c r="AO188" s="1851"/>
      <c r="AP188" s="1851"/>
      <c r="AQ188" s="1851"/>
      <c r="AR188" s="1851"/>
      <c r="AS188" s="1851"/>
      <c r="AT188" s="1851"/>
      <c r="AU188" s="1851"/>
      <c r="AV188" s="1851"/>
      <c r="AW188" s="1851"/>
      <c r="AX188" s="1851"/>
      <c r="AY188" s="1851"/>
      <c r="AZ188" s="1851"/>
      <c r="BA188" s="1851"/>
      <c r="BB188" s="1851"/>
    </row>
    <row r="189" spans="1:54" x14ac:dyDescent="0.25">
      <c r="A189" s="1851">
        <v>185</v>
      </c>
      <c r="B189" s="1851"/>
      <c r="C189" s="1856" t="s">
        <v>999</v>
      </c>
      <c r="D189" s="1856"/>
      <c r="E189" s="1856"/>
      <c r="F189" s="1856"/>
      <c r="G189" s="1856"/>
      <c r="H189" s="1856"/>
      <c r="I189" s="1856"/>
      <c r="J189" s="1856"/>
      <c r="K189" s="1856"/>
      <c r="L189" s="1856"/>
      <c r="M189" s="1856"/>
      <c r="N189" s="1856"/>
      <c r="O189" s="1856"/>
      <c r="P189" s="1856"/>
      <c r="Q189" s="1856"/>
      <c r="R189" s="1856"/>
      <c r="S189" s="1856"/>
      <c r="T189" s="1856"/>
      <c r="U189" s="1856"/>
      <c r="V189" s="1856" t="s">
        <v>1012</v>
      </c>
      <c r="W189" s="1856"/>
      <c r="X189" s="1856"/>
      <c r="Y189" s="1851"/>
      <c r="Z189" s="1851"/>
      <c r="AA189" s="1851"/>
      <c r="AB189" s="1851"/>
      <c r="AC189" s="1851"/>
      <c r="AD189" s="1851"/>
      <c r="AE189" s="1851"/>
      <c r="AF189" s="1851"/>
      <c r="AG189" s="1851"/>
      <c r="AH189" s="1851"/>
      <c r="AI189" s="1851"/>
      <c r="AJ189" s="1851"/>
      <c r="AK189" s="1851"/>
      <c r="AL189" s="1851"/>
      <c r="AM189" s="1851"/>
      <c r="AN189" s="1851"/>
      <c r="AO189" s="1851"/>
      <c r="AP189" s="1851"/>
      <c r="AQ189" s="1851"/>
      <c r="AR189" s="1851"/>
      <c r="AS189" s="1851"/>
      <c r="AT189" s="1851"/>
      <c r="AU189" s="1851"/>
      <c r="AV189" s="1851"/>
      <c r="AW189" s="1851"/>
      <c r="AX189" s="1851"/>
      <c r="AY189" s="1851"/>
      <c r="AZ189" s="1851"/>
      <c r="BA189" s="1851"/>
      <c r="BB189" s="1851"/>
    </row>
    <row r="190" spans="1:54" x14ac:dyDescent="0.25">
      <c r="A190" s="1851">
        <v>186</v>
      </c>
      <c r="B190" s="1851"/>
      <c r="C190" s="1856" t="s">
        <v>1000</v>
      </c>
      <c r="D190" s="1856"/>
      <c r="E190" s="1856"/>
      <c r="F190" s="1856"/>
      <c r="G190" s="1856"/>
      <c r="H190" s="1856"/>
      <c r="I190" s="1856"/>
      <c r="J190" s="1856"/>
      <c r="K190" s="1856"/>
      <c r="L190" s="1856"/>
      <c r="M190" s="1856"/>
      <c r="N190" s="1856"/>
      <c r="O190" s="1856"/>
      <c r="P190" s="1856"/>
      <c r="Q190" s="1856"/>
      <c r="R190" s="1856"/>
      <c r="S190" s="1856"/>
      <c r="T190" s="1856"/>
      <c r="U190" s="1856"/>
      <c r="V190" s="1856" t="s">
        <v>1012</v>
      </c>
      <c r="W190" s="1856"/>
      <c r="X190" s="1856"/>
      <c r="Y190" s="1851"/>
      <c r="Z190" s="1851"/>
      <c r="AA190" s="1851"/>
      <c r="AB190" s="1851"/>
      <c r="AC190" s="1851"/>
      <c r="AD190" s="1851"/>
      <c r="AE190" s="1851"/>
      <c r="AF190" s="1851"/>
      <c r="AG190" s="1851"/>
      <c r="AH190" s="1851"/>
      <c r="AI190" s="1851"/>
      <c r="AJ190" s="1851"/>
      <c r="AK190" s="1851"/>
      <c r="AL190" s="1851"/>
      <c r="AM190" s="1851"/>
      <c r="AN190" s="1851"/>
      <c r="AO190" s="1851"/>
      <c r="AP190" s="1851"/>
      <c r="AQ190" s="1851"/>
      <c r="AR190" s="1851"/>
      <c r="AS190" s="1851"/>
      <c r="AT190" s="1851"/>
      <c r="AU190" s="1851"/>
      <c r="AV190" s="1851"/>
      <c r="AW190" s="1851"/>
      <c r="AX190" s="1851"/>
      <c r="AY190" s="1851"/>
      <c r="AZ190" s="1851"/>
      <c r="BA190" s="1851"/>
      <c r="BB190" s="1851"/>
    </row>
    <row r="191" spans="1:54" x14ac:dyDescent="0.25">
      <c r="A191" s="1851">
        <v>187</v>
      </c>
      <c r="B191" s="1851"/>
      <c r="C191" s="1856" t="s">
        <v>1001</v>
      </c>
      <c r="D191" s="1856"/>
      <c r="E191" s="1856"/>
      <c r="F191" s="1856"/>
      <c r="G191" s="1856"/>
      <c r="H191" s="1856"/>
      <c r="I191" s="1856"/>
      <c r="J191" s="1856"/>
      <c r="K191" s="1856"/>
      <c r="L191" s="1856"/>
      <c r="M191" s="1856"/>
      <c r="N191" s="1856"/>
      <c r="O191" s="1856"/>
      <c r="P191" s="1856"/>
      <c r="Q191" s="1856"/>
      <c r="R191" s="1856"/>
      <c r="S191" s="1856"/>
      <c r="T191" s="1856"/>
      <c r="U191" s="1856"/>
      <c r="V191" s="1856" t="s">
        <v>1012</v>
      </c>
      <c r="W191" s="1856"/>
      <c r="X191" s="1856"/>
      <c r="Y191" s="1851"/>
      <c r="Z191" s="1851"/>
      <c r="AA191" s="1851"/>
      <c r="AB191" s="1851"/>
      <c r="AC191" s="1851"/>
      <c r="AD191" s="1851"/>
      <c r="AE191" s="1851"/>
      <c r="AF191" s="1851"/>
      <c r="AG191" s="1851"/>
      <c r="AH191" s="1851"/>
      <c r="AI191" s="1851"/>
      <c r="AJ191" s="1851"/>
      <c r="AK191" s="1851"/>
      <c r="AL191" s="1851"/>
      <c r="AM191" s="1851"/>
      <c r="AN191" s="1851"/>
      <c r="AO191" s="1851"/>
      <c r="AP191" s="1851"/>
      <c r="AQ191" s="1851"/>
      <c r="AR191" s="1851"/>
      <c r="AS191" s="1851"/>
      <c r="AT191" s="1851"/>
      <c r="AU191" s="1851"/>
      <c r="AV191" s="1851"/>
      <c r="AW191" s="1851"/>
      <c r="AX191" s="1851"/>
      <c r="AY191" s="1851"/>
      <c r="AZ191" s="1851"/>
      <c r="BA191" s="1851"/>
      <c r="BB191" s="1851"/>
    </row>
    <row r="192" spans="1:54" x14ac:dyDescent="0.25">
      <c r="A192" s="1851">
        <v>188</v>
      </c>
      <c r="B192" s="1851"/>
      <c r="C192" s="1856" t="s">
        <v>1002</v>
      </c>
      <c r="D192" s="1856"/>
      <c r="E192" s="1856"/>
      <c r="F192" s="1856"/>
      <c r="G192" s="1856"/>
      <c r="H192" s="1856"/>
      <c r="I192" s="1856"/>
      <c r="J192" s="1856"/>
      <c r="K192" s="1856"/>
      <c r="L192" s="1856"/>
      <c r="M192" s="1856"/>
      <c r="N192" s="1856"/>
      <c r="O192" s="1856"/>
      <c r="P192" s="1856"/>
      <c r="Q192" s="1856"/>
      <c r="R192" s="1856"/>
      <c r="S192" s="1856"/>
      <c r="T192" s="1856"/>
      <c r="U192" s="1856"/>
      <c r="V192" s="1856" t="s">
        <v>1012</v>
      </c>
      <c r="W192" s="1856"/>
      <c r="X192" s="1856"/>
      <c r="Y192" s="1851"/>
      <c r="Z192" s="1851"/>
      <c r="AA192" s="1851"/>
      <c r="AB192" s="1851"/>
      <c r="AC192" s="1851"/>
      <c r="AD192" s="1851"/>
      <c r="AE192" s="1851"/>
      <c r="AF192" s="1851"/>
      <c r="AG192" s="1851"/>
      <c r="AH192" s="1851"/>
      <c r="AI192" s="1851"/>
      <c r="AJ192" s="1851"/>
      <c r="AK192" s="1851"/>
      <c r="AL192" s="1851"/>
      <c r="AM192" s="1851"/>
      <c r="AN192" s="1851"/>
      <c r="AO192" s="1851"/>
      <c r="AP192" s="1851"/>
      <c r="AQ192" s="1851"/>
      <c r="AR192" s="1851"/>
      <c r="AS192" s="1851"/>
      <c r="AT192" s="1851"/>
      <c r="AU192" s="1851"/>
      <c r="AV192" s="1851"/>
      <c r="AW192" s="1851"/>
      <c r="AX192" s="1851"/>
      <c r="AY192" s="1851"/>
      <c r="AZ192" s="1851"/>
      <c r="BA192" s="1851"/>
      <c r="BB192" s="1851"/>
    </row>
    <row r="193" spans="1:54" x14ac:dyDescent="0.25">
      <c r="A193" s="1851">
        <v>189</v>
      </c>
      <c r="B193" s="1851"/>
      <c r="C193" s="1856" t="s">
        <v>1003</v>
      </c>
      <c r="D193" s="1856"/>
      <c r="E193" s="1856"/>
      <c r="F193" s="1856"/>
      <c r="G193" s="1856"/>
      <c r="H193" s="1856"/>
      <c r="I193" s="1856"/>
      <c r="J193" s="1856"/>
      <c r="K193" s="1856"/>
      <c r="L193" s="1856"/>
      <c r="M193" s="1856"/>
      <c r="N193" s="1856"/>
      <c r="O193" s="1856"/>
      <c r="P193" s="1856"/>
      <c r="Q193" s="1856"/>
      <c r="R193" s="1856"/>
      <c r="S193" s="1856"/>
      <c r="T193" s="1856"/>
      <c r="U193" s="1856"/>
      <c r="V193" s="1856" t="s">
        <v>1012</v>
      </c>
      <c r="W193" s="1856"/>
      <c r="X193" s="1856"/>
      <c r="Y193" s="1851"/>
      <c r="Z193" s="1851"/>
      <c r="AA193" s="1851"/>
      <c r="AB193" s="1851"/>
      <c r="AC193" s="1851"/>
      <c r="AD193" s="1851"/>
      <c r="AE193" s="1851"/>
      <c r="AF193" s="1851"/>
      <c r="AG193" s="1851"/>
      <c r="AH193" s="1851"/>
      <c r="AI193" s="1851"/>
      <c r="AJ193" s="1851"/>
      <c r="AK193" s="1851"/>
      <c r="AL193" s="1851"/>
      <c r="AM193" s="1851"/>
      <c r="AN193" s="1851"/>
      <c r="AO193" s="1851"/>
      <c r="AP193" s="1851"/>
      <c r="AQ193" s="1851"/>
      <c r="AR193" s="1851"/>
      <c r="AS193" s="1851"/>
      <c r="AT193" s="1851"/>
      <c r="AU193" s="1851"/>
      <c r="AV193" s="1851"/>
      <c r="AW193" s="1851"/>
      <c r="AX193" s="1851"/>
      <c r="AY193" s="1851"/>
      <c r="AZ193" s="1851"/>
      <c r="BA193" s="1851"/>
      <c r="BB193" s="1851"/>
    </row>
    <row r="194" spans="1:54" x14ac:dyDescent="0.25">
      <c r="A194" s="1851">
        <v>190</v>
      </c>
      <c r="B194" s="1851"/>
      <c r="C194" s="1856" t="s">
        <v>1004</v>
      </c>
      <c r="D194" s="1856"/>
      <c r="E194" s="1856"/>
      <c r="F194" s="1856"/>
      <c r="G194" s="1856"/>
      <c r="H194" s="1856"/>
      <c r="I194" s="1856"/>
      <c r="J194" s="1856"/>
      <c r="K194" s="1856"/>
      <c r="L194" s="1856"/>
      <c r="M194" s="1856"/>
      <c r="N194" s="1856"/>
      <c r="O194" s="1856"/>
      <c r="P194" s="1856"/>
      <c r="Q194" s="1856"/>
      <c r="R194" s="1856"/>
      <c r="S194" s="1856"/>
      <c r="T194" s="1856"/>
      <c r="U194" s="1856"/>
      <c r="V194" s="1856" t="s">
        <v>1012</v>
      </c>
      <c r="W194" s="1856"/>
      <c r="X194" s="1856"/>
      <c r="Y194" s="1851"/>
      <c r="Z194" s="1851"/>
      <c r="AA194" s="1851"/>
      <c r="AB194" s="1851"/>
      <c r="AC194" s="1851"/>
      <c r="AD194" s="1851"/>
      <c r="AE194" s="1851"/>
      <c r="AF194" s="1851"/>
      <c r="AG194" s="1851"/>
      <c r="AH194" s="1851"/>
      <c r="AI194" s="1851"/>
      <c r="AJ194" s="1851"/>
      <c r="AK194" s="1851"/>
      <c r="AL194" s="1851"/>
      <c r="AM194" s="1851"/>
      <c r="AN194" s="1851"/>
      <c r="AO194" s="1851"/>
      <c r="AP194" s="1851"/>
      <c r="AQ194" s="1851"/>
      <c r="AR194" s="1851"/>
      <c r="AS194" s="1851"/>
      <c r="AT194" s="1851"/>
      <c r="AU194" s="1851"/>
      <c r="AV194" s="1851"/>
      <c r="AW194" s="1851"/>
      <c r="AX194" s="1851"/>
      <c r="AY194" s="1851"/>
      <c r="AZ194" s="1851"/>
      <c r="BA194" s="1851"/>
      <c r="BB194" s="1851"/>
    </row>
    <row r="195" spans="1:54" x14ac:dyDescent="0.25">
      <c r="A195" s="1851">
        <v>191</v>
      </c>
      <c r="B195" s="1851"/>
      <c r="C195" s="1856" t="s">
        <v>1005</v>
      </c>
      <c r="D195" s="1856"/>
      <c r="E195" s="1856"/>
      <c r="F195" s="1856"/>
      <c r="G195" s="1856"/>
      <c r="H195" s="1856"/>
      <c r="I195" s="1856"/>
      <c r="J195" s="1856"/>
      <c r="K195" s="1856"/>
      <c r="L195" s="1856"/>
      <c r="M195" s="1856"/>
      <c r="N195" s="1856"/>
      <c r="O195" s="1856"/>
      <c r="P195" s="1856"/>
      <c r="Q195" s="1856"/>
      <c r="R195" s="1856"/>
      <c r="S195" s="1856"/>
      <c r="T195" s="1856"/>
      <c r="U195" s="1856"/>
      <c r="V195" s="1856" t="s">
        <v>1012</v>
      </c>
      <c r="W195" s="1856"/>
      <c r="X195" s="1856"/>
      <c r="Y195" s="1851"/>
      <c r="Z195" s="1851"/>
      <c r="AA195" s="1851"/>
      <c r="AB195" s="1851"/>
      <c r="AC195" s="1851"/>
      <c r="AD195" s="1851"/>
      <c r="AE195" s="1851"/>
      <c r="AF195" s="1851"/>
      <c r="AG195" s="1851"/>
      <c r="AH195" s="1851"/>
      <c r="AI195" s="1851"/>
      <c r="AJ195" s="1851"/>
      <c r="AK195" s="1851"/>
      <c r="AL195" s="1851"/>
      <c r="AM195" s="1851"/>
      <c r="AN195" s="1851"/>
      <c r="AO195" s="1851"/>
      <c r="AP195" s="1851"/>
      <c r="AQ195" s="1851"/>
      <c r="AR195" s="1851"/>
      <c r="AS195" s="1851"/>
      <c r="AT195" s="1851"/>
      <c r="AU195" s="1851"/>
      <c r="AV195" s="1851"/>
      <c r="AW195" s="1851"/>
      <c r="AX195" s="1851"/>
      <c r="AY195" s="1851"/>
      <c r="AZ195" s="1851"/>
      <c r="BA195" s="1851"/>
      <c r="BB195" s="1851"/>
    </row>
    <row r="196" spans="1:54" x14ac:dyDescent="0.25">
      <c r="A196" s="1851">
        <v>192</v>
      </c>
      <c r="B196" s="1851"/>
      <c r="C196" s="1856" t="s">
        <v>1006</v>
      </c>
      <c r="D196" s="1856"/>
      <c r="E196" s="1856"/>
      <c r="F196" s="1856"/>
      <c r="G196" s="1856"/>
      <c r="H196" s="1856"/>
      <c r="I196" s="1856"/>
      <c r="J196" s="1856"/>
      <c r="K196" s="1856"/>
      <c r="L196" s="1856"/>
      <c r="M196" s="1856"/>
      <c r="N196" s="1856"/>
      <c r="O196" s="1856"/>
      <c r="P196" s="1856"/>
      <c r="Q196" s="1856"/>
      <c r="R196" s="1856"/>
      <c r="S196" s="1856"/>
      <c r="T196" s="1856"/>
      <c r="U196" s="1856"/>
      <c r="V196" s="1856" t="s">
        <v>1012</v>
      </c>
      <c r="W196" s="1856"/>
      <c r="X196" s="1856"/>
      <c r="Y196" s="1851"/>
      <c r="Z196" s="1851"/>
      <c r="AA196" s="1851"/>
      <c r="AB196" s="1851"/>
      <c r="AC196" s="1851"/>
      <c r="AD196" s="1851"/>
      <c r="AE196" s="1851"/>
      <c r="AF196" s="1851"/>
      <c r="AG196" s="1851"/>
      <c r="AH196" s="1851"/>
      <c r="AI196" s="1851"/>
      <c r="AJ196" s="1851"/>
      <c r="AK196" s="1851"/>
      <c r="AL196" s="1851"/>
      <c r="AM196" s="1851"/>
      <c r="AN196" s="1851"/>
      <c r="AO196" s="1851"/>
      <c r="AP196" s="1851"/>
      <c r="AQ196" s="1851"/>
      <c r="AR196" s="1851"/>
      <c r="AS196" s="1851"/>
      <c r="AT196" s="1851"/>
      <c r="AU196" s="1851"/>
      <c r="AV196" s="1851"/>
      <c r="AW196" s="1851"/>
      <c r="AX196" s="1851"/>
      <c r="AY196" s="1851"/>
      <c r="AZ196" s="1851"/>
      <c r="BA196" s="1851"/>
      <c r="BB196" s="1851"/>
    </row>
    <row r="197" spans="1:54" x14ac:dyDescent="0.25">
      <c r="A197" s="1851">
        <v>193</v>
      </c>
      <c r="B197" s="1851"/>
      <c r="C197" s="1856" t="s">
        <v>306</v>
      </c>
      <c r="D197" s="1856"/>
      <c r="E197" s="1856"/>
      <c r="F197" s="1856"/>
      <c r="G197" s="1856"/>
      <c r="H197" s="1856"/>
      <c r="I197" s="1856"/>
      <c r="J197" s="1856"/>
      <c r="K197" s="1856"/>
      <c r="L197" s="1856"/>
      <c r="M197" s="1856"/>
      <c r="N197" s="1856"/>
      <c r="O197" s="1856"/>
      <c r="P197" s="1856"/>
      <c r="Q197" s="1856"/>
      <c r="R197" s="1856"/>
      <c r="S197" s="1856"/>
      <c r="T197" s="1856"/>
      <c r="U197" s="1856"/>
      <c r="V197" s="1865" t="s">
        <v>1013</v>
      </c>
      <c r="W197" s="1865"/>
      <c r="X197" s="1865"/>
      <c r="Y197" s="1866"/>
      <c r="Z197" s="1866"/>
      <c r="AA197" s="1866"/>
      <c r="AB197" s="1866"/>
      <c r="AC197" s="1866"/>
      <c r="AD197" s="1866"/>
      <c r="AE197" s="1866"/>
      <c r="AF197" s="1866"/>
      <c r="AG197" s="1866"/>
      <c r="AH197" s="1866"/>
      <c r="AI197" s="1866"/>
      <c r="AJ197" s="1866"/>
      <c r="AK197" s="1866"/>
      <c r="AL197" s="1866"/>
      <c r="AM197" s="1866"/>
      <c r="AN197" s="1866"/>
      <c r="AO197" s="1866"/>
      <c r="AP197" s="1866"/>
      <c r="AQ197" s="1866"/>
      <c r="AR197" s="1866"/>
      <c r="AS197" s="1866"/>
      <c r="AT197" s="1866"/>
      <c r="AU197" s="1866"/>
      <c r="AV197" s="1866"/>
      <c r="AW197" s="1866"/>
      <c r="AX197" s="1866"/>
      <c r="AY197" s="1866"/>
      <c r="AZ197" s="1866"/>
      <c r="BA197" s="1866"/>
      <c r="BB197" s="1866"/>
    </row>
    <row r="198" spans="1:54" x14ac:dyDescent="0.25">
      <c r="A198" s="1854">
        <v>194</v>
      </c>
      <c r="B198" s="1854"/>
      <c r="C198" s="1863" t="s">
        <v>1014</v>
      </c>
      <c r="D198" s="1863"/>
      <c r="E198" s="1863"/>
      <c r="F198" s="1863"/>
      <c r="G198" s="1863"/>
      <c r="H198" s="1863"/>
      <c r="I198" s="1863"/>
      <c r="J198" s="1863"/>
      <c r="K198" s="1863"/>
      <c r="L198" s="1863"/>
      <c r="M198" s="1863"/>
      <c r="N198" s="1863"/>
      <c r="O198" s="1863"/>
      <c r="P198" s="1863"/>
      <c r="Q198" s="1863"/>
      <c r="R198" s="1863"/>
      <c r="S198" s="1863"/>
      <c r="T198" s="1863"/>
      <c r="U198" s="1863"/>
      <c r="V198" s="1864" t="s">
        <v>1015</v>
      </c>
      <c r="W198" s="1864"/>
      <c r="X198" s="1864"/>
      <c r="Y198" s="1857"/>
      <c r="Z198" s="1858"/>
      <c r="AA198" s="1858"/>
      <c r="AB198" s="1858"/>
      <c r="AC198" s="1859"/>
      <c r="AD198" s="1859"/>
      <c r="AE198" s="1857"/>
      <c r="AF198" s="1858"/>
      <c r="AG198" s="1858"/>
      <c r="AH198" s="1858"/>
      <c r="AI198" s="1859"/>
      <c r="AJ198" s="1859"/>
      <c r="AK198" s="1857"/>
      <c r="AL198" s="1858"/>
      <c r="AM198" s="1858"/>
      <c r="AN198" s="1858"/>
      <c r="AO198" s="1859"/>
      <c r="AP198" s="1859"/>
      <c r="AQ198" s="1857"/>
      <c r="AR198" s="1858"/>
      <c r="AS198" s="1858"/>
      <c r="AT198" s="1858"/>
      <c r="AU198" s="1859"/>
      <c r="AV198" s="1859"/>
      <c r="AW198" s="1857"/>
      <c r="AX198" s="1858"/>
      <c r="AY198" s="1858"/>
      <c r="AZ198" s="1858"/>
      <c r="BA198" s="1859"/>
      <c r="BB198" s="1859"/>
    </row>
    <row r="199" spans="1:54" x14ac:dyDescent="0.25">
      <c r="A199" s="1851">
        <v>195</v>
      </c>
      <c r="B199" s="1851"/>
      <c r="C199" s="1856" t="s">
        <v>1016</v>
      </c>
      <c r="D199" s="1856"/>
      <c r="E199" s="1856"/>
      <c r="F199" s="1856"/>
      <c r="G199" s="1856"/>
      <c r="H199" s="1856"/>
      <c r="I199" s="1856"/>
      <c r="J199" s="1856"/>
      <c r="K199" s="1856"/>
      <c r="L199" s="1856"/>
      <c r="M199" s="1856"/>
      <c r="N199" s="1856"/>
      <c r="O199" s="1856"/>
      <c r="P199" s="1856"/>
      <c r="Q199" s="1856"/>
      <c r="R199" s="1856"/>
      <c r="S199" s="1856"/>
      <c r="T199" s="1856"/>
      <c r="U199" s="1856"/>
      <c r="V199" s="1865" t="s">
        <v>1017</v>
      </c>
      <c r="W199" s="1865"/>
      <c r="X199" s="1865"/>
      <c r="Y199" s="1851"/>
      <c r="Z199" s="1851"/>
      <c r="AA199" s="1851"/>
      <c r="AB199" s="1851"/>
      <c r="AC199" s="1851"/>
      <c r="AD199" s="1851"/>
      <c r="AE199" s="1851"/>
      <c r="AF199" s="1851"/>
      <c r="AG199" s="1851"/>
      <c r="AH199" s="1851"/>
      <c r="AI199" s="1851"/>
      <c r="AJ199" s="1851"/>
      <c r="AK199" s="1851"/>
      <c r="AL199" s="1851"/>
      <c r="AM199" s="1851"/>
      <c r="AN199" s="1851"/>
      <c r="AO199" s="1851"/>
      <c r="AP199" s="1851"/>
      <c r="AQ199" s="1851"/>
      <c r="AR199" s="1851"/>
      <c r="AS199" s="1851"/>
      <c r="AT199" s="1851"/>
      <c r="AU199" s="1851"/>
      <c r="AV199" s="1851"/>
      <c r="AW199" s="1851"/>
      <c r="AX199" s="1851"/>
      <c r="AY199" s="1851"/>
      <c r="AZ199" s="1851"/>
      <c r="BA199" s="1851"/>
      <c r="BB199" s="1851"/>
    </row>
    <row r="200" spans="1:54" x14ac:dyDescent="0.25">
      <c r="A200" s="1851">
        <v>196</v>
      </c>
      <c r="B200" s="1851"/>
      <c r="C200" s="1856" t="s">
        <v>1018</v>
      </c>
      <c r="D200" s="1856"/>
      <c r="E200" s="1856"/>
      <c r="F200" s="1856"/>
      <c r="G200" s="1856"/>
      <c r="H200" s="1856"/>
      <c r="I200" s="1856"/>
      <c r="J200" s="1856"/>
      <c r="K200" s="1856"/>
      <c r="L200" s="1856"/>
      <c r="M200" s="1856"/>
      <c r="N200" s="1856"/>
      <c r="O200" s="1856"/>
      <c r="P200" s="1856"/>
      <c r="Q200" s="1856"/>
      <c r="R200" s="1856"/>
      <c r="S200" s="1856"/>
      <c r="T200" s="1856"/>
      <c r="U200" s="1856"/>
      <c r="V200" s="1865" t="s">
        <v>1019</v>
      </c>
      <c r="W200" s="1865"/>
      <c r="X200" s="1865"/>
      <c r="Y200" s="1851"/>
      <c r="Z200" s="1851"/>
      <c r="AA200" s="1851"/>
      <c r="AB200" s="1851"/>
      <c r="AC200" s="1851"/>
      <c r="AD200" s="1851"/>
      <c r="AE200" s="1851"/>
      <c r="AF200" s="1851"/>
      <c r="AG200" s="1851"/>
      <c r="AH200" s="1851"/>
      <c r="AI200" s="1851"/>
      <c r="AJ200" s="1851"/>
      <c r="AK200" s="1851"/>
      <c r="AL200" s="1851"/>
      <c r="AM200" s="1851"/>
      <c r="AN200" s="1851"/>
      <c r="AO200" s="1851"/>
      <c r="AP200" s="1851"/>
      <c r="AQ200" s="1851"/>
      <c r="AR200" s="1851"/>
      <c r="AS200" s="1851"/>
      <c r="AT200" s="1851"/>
      <c r="AU200" s="1851"/>
      <c r="AV200" s="1851"/>
      <c r="AW200" s="1851"/>
      <c r="AX200" s="1851"/>
      <c r="AY200" s="1851"/>
      <c r="AZ200" s="1851"/>
      <c r="BA200" s="1851"/>
      <c r="BB200" s="1851"/>
    </row>
    <row r="201" spans="1:54" x14ac:dyDescent="0.25">
      <c r="A201" s="1851">
        <v>197</v>
      </c>
      <c r="B201" s="1851"/>
      <c r="C201" s="1856" t="s">
        <v>1020</v>
      </c>
      <c r="D201" s="1856"/>
      <c r="E201" s="1856"/>
      <c r="F201" s="1856"/>
      <c r="G201" s="1856"/>
      <c r="H201" s="1856"/>
      <c r="I201" s="1856"/>
      <c r="J201" s="1856"/>
      <c r="K201" s="1856"/>
      <c r="L201" s="1856"/>
      <c r="M201" s="1856"/>
      <c r="N201" s="1856"/>
      <c r="O201" s="1856"/>
      <c r="P201" s="1856"/>
      <c r="Q201" s="1856"/>
      <c r="R201" s="1856"/>
      <c r="S201" s="1856"/>
      <c r="T201" s="1856"/>
      <c r="U201" s="1856"/>
      <c r="V201" s="1865" t="s">
        <v>1019</v>
      </c>
      <c r="W201" s="1865"/>
      <c r="X201" s="1865"/>
      <c r="Y201" s="1851"/>
      <c r="Z201" s="1851"/>
      <c r="AA201" s="1851"/>
      <c r="AB201" s="1851"/>
      <c r="AC201" s="1851"/>
      <c r="AD201" s="1851"/>
      <c r="AE201" s="1851"/>
      <c r="AF201" s="1851"/>
      <c r="AG201" s="1851"/>
      <c r="AH201" s="1851"/>
      <c r="AI201" s="1851"/>
      <c r="AJ201" s="1851"/>
      <c r="AK201" s="1851"/>
      <c r="AL201" s="1851"/>
      <c r="AM201" s="1851"/>
      <c r="AN201" s="1851"/>
      <c r="AO201" s="1851"/>
      <c r="AP201" s="1851"/>
      <c r="AQ201" s="1851"/>
      <c r="AR201" s="1851"/>
      <c r="AS201" s="1851"/>
      <c r="AT201" s="1851"/>
      <c r="AU201" s="1851"/>
      <c r="AV201" s="1851"/>
      <c r="AW201" s="1851"/>
      <c r="AX201" s="1851"/>
      <c r="AY201" s="1851"/>
      <c r="AZ201" s="1851"/>
      <c r="BA201" s="1851"/>
      <c r="BB201" s="1851"/>
    </row>
    <row r="202" spans="1:54" x14ac:dyDescent="0.25">
      <c r="A202" s="1851">
        <v>198</v>
      </c>
      <c r="B202" s="1851"/>
      <c r="C202" s="1856" t="s">
        <v>1021</v>
      </c>
      <c r="D202" s="1856"/>
      <c r="E202" s="1856"/>
      <c r="F202" s="1856"/>
      <c r="G202" s="1856"/>
      <c r="H202" s="1856"/>
      <c r="I202" s="1856"/>
      <c r="J202" s="1856"/>
      <c r="K202" s="1856"/>
      <c r="L202" s="1856"/>
      <c r="M202" s="1856"/>
      <c r="N202" s="1856"/>
      <c r="O202" s="1856"/>
      <c r="P202" s="1856"/>
      <c r="Q202" s="1856"/>
      <c r="R202" s="1856"/>
      <c r="S202" s="1856"/>
      <c r="T202" s="1856"/>
      <c r="U202" s="1856"/>
      <c r="V202" s="1865" t="s">
        <v>1022</v>
      </c>
      <c r="W202" s="1865"/>
      <c r="X202" s="1865"/>
      <c r="Y202" s="1851"/>
      <c r="Z202" s="1851"/>
      <c r="AA202" s="1851"/>
      <c r="AB202" s="1851"/>
      <c r="AC202" s="1851"/>
      <c r="AD202" s="1851"/>
      <c r="AE202" s="1851"/>
      <c r="AF202" s="1851"/>
      <c r="AG202" s="1851"/>
      <c r="AH202" s="1851"/>
      <c r="AI202" s="1851"/>
      <c r="AJ202" s="1851"/>
      <c r="AK202" s="1851"/>
      <c r="AL202" s="1851"/>
      <c r="AM202" s="1851"/>
      <c r="AN202" s="1851"/>
      <c r="AO202" s="1851"/>
      <c r="AP202" s="1851"/>
      <c r="AQ202" s="1851"/>
      <c r="AR202" s="1851"/>
      <c r="AS202" s="1851"/>
      <c r="AT202" s="1851"/>
      <c r="AU202" s="1851"/>
      <c r="AV202" s="1851"/>
      <c r="AW202" s="1851"/>
      <c r="AX202" s="1851"/>
      <c r="AY202" s="1851"/>
      <c r="AZ202" s="1851"/>
      <c r="BA202" s="1851"/>
      <c r="BB202" s="1851"/>
    </row>
    <row r="203" spans="1:54" x14ac:dyDescent="0.25">
      <c r="A203" s="1851">
        <v>199</v>
      </c>
      <c r="B203" s="1851"/>
      <c r="C203" s="1856" t="s">
        <v>1023</v>
      </c>
      <c r="D203" s="1856"/>
      <c r="E203" s="1856"/>
      <c r="F203" s="1856"/>
      <c r="G203" s="1856"/>
      <c r="H203" s="1856"/>
      <c r="I203" s="1856"/>
      <c r="J203" s="1856"/>
      <c r="K203" s="1856"/>
      <c r="L203" s="1856"/>
      <c r="M203" s="1856"/>
      <c r="N203" s="1856"/>
      <c r="O203" s="1856"/>
      <c r="P203" s="1856"/>
      <c r="Q203" s="1856"/>
      <c r="R203" s="1856"/>
      <c r="S203" s="1856"/>
      <c r="T203" s="1856"/>
      <c r="U203" s="1856"/>
      <c r="V203" s="1865" t="s">
        <v>1024</v>
      </c>
      <c r="W203" s="1865"/>
      <c r="X203" s="1865"/>
      <c r="Y203" s="1851"/>
      <c r="Z203" s="1851"/>
      <c r="AA203" s="1851"/>
      <c r="AB203" s="1851"/>
      <c r="AC203" s="1851"/>
      <c r="AD203" s="1851"/>
      <c r="AE203" s="1851"/>
      <c r="AF203" s="1851"/>
      <c r="AG203" s="1851"/>
      <c r="AH203" s="1851"/>
      <c r="AI203" s="1851"/>
      <c r="AJ203" s="1851"/>
      <c r="AK203" s="1851"/>
      <c r="AL203" s="1851"/>
      <c r="AM203" s="1851"/>
      <c r="AN203" s="1851"/>
      <c r="AO203" s="1851"/>
      <c r="AP203" s="1851"/>
      <c r="AQ203" s="1851"/>
      <c r="AR203" s="1851"/>
      <c r="AS203" s="1851"/>
      <c r="AT203" s="1851"/>
      <c r="AU203" s="1851"/>
      <c r="AV203" s="1851"/>
      <c r="AW203" s="1851"/>
      <c r="AX203" s="1851"/>
      <c r="AY203" s="1851"/>
      <c r="AZ203" s="1851"/>
      <c r="BA203" s="1851"/>
      <c r="BB203" s="1851"/>
    </row>
    <row r="204" spans="1:54" x14ac:dyDescent="0.25">
      <c r="A204" s="1851">
        <v>200</v>
      </c>
      <c r="B204" s="1851"/>
      <c r="C204" s="1856" t="s">
        <v>1025</v>
      </c>
      <c r="D204" s="1862"/>
      <c r="E204" s="1862"/>
      <c r="F204" s="1862"/>
      <c r="G204" s="1862"/>
      <c r="H204" s="1862"/>
      <c r="I204" s="1862"/>
      <c r="J204" s="1862"/>
      <c r="K204" s="1862"/>
      <c r="L204" s="1862"/>
      <c r="M204" s="1862"/>
      <c r="N204" s="1862"/>
      <c r="O204" s="1862"/>
      <c r="P204" s="1862"/>
      <c r="Q204" s="1862"/>
      <c r="R204" s="1862"/>
      <c r="S204" s="1862"/>
      <c r="T204" s="1862"/>
      <c r="U204" s="1862"/>
      <c r="V204" s="1865" t="s">
        <v>1026</v>
      </c>
      <c r="W204" s="1865"/>
      <c r="X204" s="1865"/>
      <c r="Y204" s="1851"/>
      <c r="Z204" s="1851"/>
      <c r="AA204" s="1851"/>
      <c r="AB204" s="1851"/>
      <c r="AC204" s="1851"/>
      <c r="AD204" s="1851"/>
      <c r="AE204" s="1851"/>
      <c r="AF204" s="1851"/>
      <c r="AG204" s="1851"/>
      <c r="AH204" s="1851"/>
      <c r="AI204" s="1851"/>
      <c r="AJ204" s="1851"/>
      <c r="AK204" s="1851"/>
      <c r="AL204" s="1851"/>
      <c r="AM204" s="1851"/>
      <c r="AN204" s="1851"/>
      <c r="AO204" s="1851"/>
      <c r="AP204" s="1851"/>
      <c r="AQ204" s="1851"/>
      <c r="AR204" s="1851"/>
      <c r="AS204" s="1851"/>
      <c r="AT204" s="1851"/>
      <c r="AU204" s="1851"/>
      <c r="AV204" s="1851"/>
      <c r="AW204" s="1851"/>
      <c r="AX204" s="1851"/>
      <c r="AY204" s="1851"/>
      <c r="AZ204" s="1851"/>
      <c r="BA204" s="1851"/>
      <c r="BB204" s="1851"/>
    </row>
    <row r="205" spans="1:54" x14ac:dyDescent="0.25">
      <c r="A205" s="1851">
        <v>201</v>
      </c>
      <c r="B205" s="1851"/>
      <c r="C205" s="1856" t="s">
        <v>1027</v>
      </c>
      <c r="D205" s="1856"/>
      <c r="E205" s="1856"/>
      <c r="F205" s="1856"/>
      <c r="G205" s="1856"/>
      <c r="H205" s="1856"/>
      <c r="I205" s="1856"/>
      <c r="J205" s="1856"/>
      <c r="K205" s="1856"/>
      <c r="L205" s="1856"/>
      <c r="M205" s="1856"/>
      <c r="N205" s="1856"/>
      <c r="O205" s="1856"/>
      <c r="P205" s="1856"/>
      <c r="Q205" s="1856"/>
      <c r="R205" s="1856"/>
      <c r="S205" s="1856"/>
      <c r="T205" s="1856"/>
      <c r="U205" s="1856"/>
      <c r="V205" s="1865" t="s">
        <v>1028</v>
      </c>
      <c r="W205" s="1865"/>
      <c r="X205" s="1865"/>
      <c r="Y205" s="1851"/>
      <c r="Z205" s="1851"/>
      <c r="AA205" s="1851"/>
      <c r="AB205" s="1851"/>
      <c r="AC205" s="1851"/>
      <c r="AD205" s="1851"/>
      <c r="AE205" s="1851"/>
      <c r="AF205" s="1851"/>
      <c r="AG205" s="1851"/>
      <c r="AH205" s="1851"/>
      <c r="AI205" s="1851"/>
      <c r="AJ205" s="1851"/>
      <c r="AK205" s="1851"/>
      <c r="AL205" s="1851"/>
      <c r="AM205" s="1851"/>
      <c r="AN205" s="1851"/>
      <c r="AO205" s="1851"/>
      <c r="AP205" s="1851"/>
      <c r="AQ205" s="1851"/>
      <c r="AR205" s="1851"/>
      <c r="AS205" s="1851"/>
      <c r="AT205" s="1851"/>
      <c r="AU205" s="1851"/>
      <c r="AV205" s="1851"/>
      <c r="AW205" s="1851"/>
      <c r="AX205" s="1851"/>
      <c r="AY205" s="1851"/>
      <c r="AZ205" s="1851"/>
      <c r="BA205" s="1851"/>
      <c r="BB205" s="1851"/>
    </row>
    <row r="206" spans="1:54" x14ac:dyDescent="0.25">
      <c r="A206" s="1851">
        <v>202</v>
      </c>
      <c r="B206" s="1851"/>
      <c r="C206" s="1856" t="s">
        <v>1029</v>
      </c>
      <c r="D206" s="1856"/>
      <c r="E206" s="1856"/>
      <c r="F206" s="1856"/>
      <c r="G206" s="1856"/>
      <c r="H206" s="1856"/>
      <c r="I206" s="1856"/>
      <c r="J206" s="1856"/>
      <c r="K206" s="1856"/>
      <c r="L206" s="1856"/>
      <c r="M206" s="1856"/>
      <c r="N206" s="1856"/>
      <c r="O206" s="1856"/>
      <c r="P206" s="1856"/>
      <c r="Q206" s="1856"/>
      <c r="R206" s="1856"/>
      <c r="S206" s="1856"/>
      <c r="T206" s="1856"/>
      <c r="U206" s="1856"/>
      <c r="V206" s="1865" t="s">
        <v>1030</v>
      </c>
      <c r="W206" s="1865"/>
      <c r="X206" s="1865"/>
      <c r="Y206" s="1851"/>
      <c r="Z206" s="1851"/>
      <c r="AA206" s="1851"/>
      <c r="AB206" s="1851"/>
      <c r="AC206" s="1851"/>
      <c r="AD206" s="1851"/>
      <c r="AE206" s="1851"/>
      <c r="AF206" s="1851"/>
      <c r="AG206" s="1851"/>
      <c r="AH206" s="1851"/>
      <c r="AI206" s="1851"/>
      <c r="AJ206" s="1851"/>
      <c r="AK206" s="1851"/>
      <c r="AL206" s="1851"/>
      <c r="AM206" s="1851"/>
      <c r="AN206" s="1851"/>
      <c r="AO206" s="1851"/>
      <c r="AP206" s="1851"/>
      <c r="AQ206" s="1851"/>
      <c r="AR206" s="1851"/>
      <c r="AS206" s="1851"/>
      <c r="AT206" s="1851"/>
      <c r="AU206" s="1851"/>
      <c r="AV206" s="1851"/>
      <c r="AW206" s="1851"/>
      <c r="AX206" s="1851"/>
      <c r="AY206" s="1851"/>
      <c r="AZ206" s="1851"/>
      <c r="BA206" s="1851"/>
      <c r="BB206" s="1851"/>
    </row>
    <row r="207" spans="1:54" x14ac:dyDescent="0.25">
      <c r="A207" s="1854">
        <v>203</v>
      </c>
      <c r="B207" s="1854"/>
      <c r="C207" s="1855" t="s">
        <v>1031</v>
      </c>
      <c r="D207" s="1855"/>
      <c r="E207" s="1855"/>
      <c r="F207" s="1855"/>
      <c r="G207" s="1855"/>
      <c r="H207" s="1855"/>
      <c r="I207" s="1855"/>
      <c r="J207" s="1855"/>
      <c r="K207" s="1855"/>
      <c r="L207" s="1855"/>
      <c r="M207" s="1855"/>
      <c r="N207" s="1855"/>
      <c r="O207" s="1855"/>
      <c r="P207" s="1855"/>
      <c r="Q207" s="1855"/>
      <c r="R207" s="1855"/>
      <c r="S207" s="1855"/>
      <c r="T207" s="1855"/>
      <c r="U207" s="1855"/>
      <c r="V207" s="1864" t="s">
        <v>1032</v>
      </c>
      <c r="W207" s="1864"/>
      <c r="X207" s="1864"/>
      <c r="Y207" s="1857"/>
      <c r="Z207" s="1858"/>
      <c r="AA207" s="1858"/>
      <c r="AB207" s="1858"/>
      <c r="AC207" s="1859"/>
      <c r="AD207" s="1859"/>
      <c r="AE207" s="1857"/>
      <c r="AF207" s="1858"/>
      <c r="AG207" s="1858"/>
      <c r="AH207" s="1858"/>
      <c r="AI207" s="1859"/>
      <c r="AJ207" s="1859"/>
      <c r="AK207" s="1857"/>
      <c r="AL207" s="1858"/>
      <c r="AM207" s="1858"/>
      <c r="AN207" s="1858"/>
      <c r="AO207" s="1859"/>
      <c r="AP207" s="1859"/>
      <c r="AQ207" s="1857"/>
      <c r="AR207" s="1858"/>
      <c r="AS207" s="1858"/>
      <c r="AT207" s="1858"/>
      <c r="AU207" s="1859"/>
      <c r="AV207" s="1859"/>
      <c r="AW207" s="1857"/>
      <c r="AX207" s="1858"/>
      <c r="AY207" s="1858"/>
      <c r="AZ207" s="1858"/>
      <c r="BA207" s="1859"/>
      <c r="BB207" s="1859"/>
    </row>
    <row r="208" spans="1:54" x14ac:dyDescent="0.25">
      <c r="A208" s="1851">
        <v>204</v>
      </c>
      <c r="B208" s="1851"/>
      <c r="C208" s="1856" t="s">
        <v>1033</v>
      </c>
      <c r="D208" s="1856"/>
      <c r="E208" s="1856"/>
      <c r="F208" s="1856"/>
      <c r="G208" s="1856"/>
      <c r="H208" s="1856"/>
      <c r="I208" s="1856"/>
      <c r="J208" s="1856"/>
      <c r="K208" s="1856"/>
      <c r="L208" s="1856"/>
      <c r="M208" s="1856"/>
      <c r="N208" s="1856"/>
      <c r="O208" s="1856"/>
      <c r="P208" s="1856"/>
      <c r="Q208" s="1856"/>
      <c r="R208" s="1856"/>
      <c r="S208" s="1856"/>
      <c r="T208" s="1856"/>
      <c r="U208" s="1856"/>
      <c r="V208" s="1865" t="s">
        <v>1034</v>
      </c>
      <c r="W208" s="1865"/>
      <c r="X208" s="1865"/>
      <c r="Y208" s="1851"/>
      <c r="Z208" s="1851"/>
      <c r="AA208" s="1851"/>
      <c r="AB208" s="1851"/>
      <c r="AC208" s="1851"/>
      <c r="AD208" s="1851"/>
      <c r="AE208" s="1851"/>
      <c r="AF208" s="1851"/>
      <c r="AG208" s="1851"/>
      <c r="AH208" s="1851"/>
      <c r="AI208" s="1851"/>
      <c r="AJ208" s="1851"/>
      <c r="AK208" s="1851"/>
      <c r="AL208" s="1851"/>
      <c r="AM208" s="1851"/>
      <c r="AN208" s="1851"/>
      <c r="AO208" s="1851"/>
      <c r="AP208" s="1851"/>
      <c r="AQ208" s="1851"/>
      <c r="AR208" s="1851"/>
      <c r="AS208" s="1851"/>
      <c r="AT208" s="1851"/>
      <c r="AU208" s="1851"/>
      <c r="AV208" s="1851"/>
      <c r="AW208" s="1851"/>
      <c r="AX208" s="1851"/>
      <c r="AY208" s="1851"/>
      <c r="AZ208" s="1851"/>
      <c r="BA208" s="1851"/>
      <c r="BB208" s="1851"/>
    </row>
    <row r="209" spans="1:54" x14ac:dyDescent="0.25">
      <c r="A209" s="1851">
        <v>205</v>
      </c>
      <c r="B209" s="1851"/>
      <c r="C209" s="1856" t="s">
        <v>1035</v>
      </c>
      <c r="D209" s="1856"/>
      <c r="E209" s="1856"/>
      <c r="F209" s="1856"/>
      <c r="G209" s="1856"/>
      <c r="H209" s="1856"/>
      <c r="I209" s="1856"/>
      <c r="J209" s="1856"/>
      <c r="K209" s="1856"/>
      <c r="L209" s="1856"/>
      <c r="M209" s="1856"/>
      <c r="N209" s="1856"/>
      <c r="O209" s="1856"/>
      <c r="P209" s="1856"/>
      <c r="Q209" s="1856"/>
      <c r="R209" s="1856"/>
      <c r="S209" s="1856"/>
      <c r="T209" s="1856"/>
      <c r="U209" s="1856"/>
      <c r="V209" s="1865" t="s">
        <v>1036</v>
      </c>
      <c r="W209" s="1865"/>
      <c r="X209" s="1865"/>
      <c r="Y209" s="1851"/>
      <c r="Z209" s="1851"/>
      <c r="AA209" s="1851"/>
      <c r="AB209" s="1851"/>
      <c r="AC209" s="1851"/>
      <c r="AD209" s="1851"/>
      <c r="AE209" s="1851"/>
      <c r="AF209" s="1851"/>
      <c r="AG209" s="1851"/>
      <c r="AH209" s="1851"/>
      <c r="AI209" s="1851"/>
      <c r="AJ209" s="1851"/>
      <c r="AK209" s="1851"/>
      <c r="AL209" s="1851"/>
      <c r="AM209" s="1851"/>
      <c r="AN209" s="1851"/>
      <c r="AO209" s="1851"/>
      <c r="AP209" s="1851"/>
      <c r="AQ209" s="1851"/>
      <c r="AR209" s="1851"/>
      <c r="AS209" s="1851"/>
      <c r="AT209" s="1851"/>
      <c r="AU209" s="1851"/>
      <c r="AV209" s="1851"/>
      <c r="AW209" s="1851"/>
      <c r="AX209" s="1851"/>
      <c r="AY209" s="1851"/>
      <c r="AZ209" s="1851"/>
      <c r="BA209" s="1851"/>
      <c r="BB209" s="1851"/>
    </row>
    <row r="210" spans="1:54" x14ac:dyDescent="0.25">
      <c r="A210" s="1851">
        <v>206</v>
      </c>
      <c r="B210" s="1851"/>
      <c r="C210" s="1856" t="s">
        <v>1037</v>
      </c>
      <c r="D210" s="1856"/>
      <c r="E210" s="1856"/>
      <c r="F210" s="1856"/>
      <c r="G210" s="1856"/>
      <c r="H210" s="1856"/>
      <c r="I210" s="1856"/>
      <c r="J210" s="1856"/>
      <c r="K210" s="1856"/>
      <c r="L210" s="1856"/>
      <c r="M210" s="1856"/>
      <c r="N210" s="1856"/>
      <c r="O210" s="1856"/>
      <c r="P210" s="1856"/>
      <c r="Q210" s="1856"/>
      <c r="R210" s="1856"/>
      <c r="S210" s="1856"/>
      <c r="T210" s="1856"/>
      <c r="U210" s="1856"/>
      <c r="V210" s="1865" t="s">
        <v>1038</v>
      </c>
      <c r="W210" s="1865"/>
      <c r="X210" s="1865"/>
      <c r="Y210" s="1851"/>
      <c r="Z210" s="1851"/>
      <c r="AA210" s="1851"/>
      <c r="AB210" s="1851"/>
      <c r="AC210" s="1851"/>
      <c r="AD210" s="1851"/>
      <c r="AE210" s="1851"/>
      <c r="AF210" s="1851"/>
      <c r="AG210" s="1851"/>
      <c r="AH210" s="1851"/>
      <c r="AI210" s="1851"/>
      <c r="AJ210" s="1851"/>
      <c r="AK210" s="1851"/>
      <c r="AL210" s="1851"/>
      <c r="AM210" s="1851"/>
      <c r="AN210" s="1851"/>
      <c r="AO210" s="1851"/>
      <c r="AP210" s="1851"/>
      <c r="AQ210" s="1851"/>
      <c r="AR210" s="1851"/>
      <c r="AS210" s="1851"/>
      <c r="AT210" s="1851"/>
      <c r="AU210" s="1851"/>
      <c r="AV210" s="1851"/>
      <c r="AW210" s="1851"/>
      <c r="AX210" s="1851"/>
      <c r="AY210" s="1851"/>
      <c r="AZ210" s="1851"/>
      <c r="BA210" s="1851"/>
      <c r="BB210" s="1851"/>
    </row>
    <row r="211" spans="1:54" x14ac:dyDescent="0.25">
      <c r="A211" s="1851">
        <v>207</v>
      </c>
      <c r="B211" s="1851"/>
      <c r="C211" s="1856" t="s">
        <v>1039</v>
      </c>
      <c r="D211" s="1856"/>
      <c r="E211" s="1856"/>
      <c r="F211" s="1856"/>
      <c r="G211" s="1856"/>
      <c r="H211" s="1856"/>
      <c r="I211" s="1856"/>
      <c r="J211" s="1856"/>
      <c r="K211" s="1856"/>
      <c r="L211" s="1856"/>
      <c r="M211" s="1856"/>
      <c r="N211" s="1856"/>
      <c r="O211" s="1856"/>
      <c r="P211" s="1856"/>
      <c r="Q211" s="1856"/>
      <c r="R211" s="1856"/>
      <c r="S211" s="1856"/>
      <c r="T211" s="1856"/>
      <c r="U211" s="1856"/>
      <c r="V211" s="1865" t="s">
        <v>1040</v>
      </c>
      <c r="W211" s="1865"/>
      <c r="X211" s="1865"/>
      <c r="Y211" s="1851"/>
      <c r="Z211" s="1851"/>
      <c r="AA211" s="1851"/>
      <c r="AB211" s="1851"/>
      <c r="AC211" s="1851"/>
      <c r="AD211" s="1851"/>
      <c r="AE211" s="1851"/>
      <c r="AF211" s="1851"/>
      <c r="AG211" s="1851"/>
      <c r="AH211" s="1851"/>
      <c r="AI211" s="1851"/>
      <c r="AJ211" s="1851"/>
      <c r="AK211" s="1851"/>
      <c r="AL211" s="1851"/>
      <c r="AM211" s="1851"/>
      <c r="AN211" s="1851"/>
      <c r="AO211" s="1851"/>
      <c r="AP211" s="1851"/>
      <c r="AQ211" s="1851"/>
      <c r="AR211" s="1851"/>
      <c r="AS211" s="1851"/>
      <c r="AT211" s="1851"/>
      <c r="AU211" s="1851"/>
      <c r="AV211" s="1851"/>
      <c r="AW211" s="1851"/>
      <c r="AX211" s="1851"/>
      <c r="AY211" s="1851"/>
      <c r="AZ211" s="1851"/>
      <c r="BA211" s="1851"/>
      <c r="BB211" s="1851"/>
    </row>
    <row r="212" spans="1:54" x14ac:dyDescent="0.25">
      <c r="A212" s="1854">
        <v>208</v>
      </c>
      <c r="B212" s="1854"/>
      <c r="C212" s="1855" t="s">
        <v>1041</v>
      </c>
      <c r="D212" s="1855"/>
      <c r="E212" s="1855"/>
      <c r="F212" s="1855"/>
      <c r="G212" s="1855"/>
      <c r="H212" s="1855"/>
      <c r="I212" s="1855"/>
      <c r="J212" s="1855"/>
      <c r="K212" s="1855"/>
      <c r="L212" s="1855"/>
      <c r="M212" s="1855"/>
      <c r="N212" s="1855"/>
      <c r="O212" s="1855"/>
      <c r="P212" s="1855"/>
      <c r="Q212" s="1855"/>
      <c r="R212" s="1855"/>
      <c r="S212" s="1855"/>
      <c r="T212" s="1855"/>
      <c r="U212" s="1855"/>
      <c r="V212" s="1864" t="s">
        <v>1042</v>
      </c>
      <c r="W212" s="1864"/>
      <c r="X212" s="1864"/>
      <c r="Y212" s="1857"/>
      <c r="Z212" s="1858"/>
      <c r="AA212" s="1858"/>
      <c r="AB212" s="1858"/>
      <c r="AC212" s="1859"/>
      <c r="AD212" s="1859"/>
      <c r="AE212" s="1857"/>
      <c r="AF212" s="1858"/>
      <c r="AG212" s="1858"/>
      <c r="AH212" s="1858"/>
      <c r="AI212" s="1859"/>
      <c r="AJ212" s="1859"/>
      <c r="AK212" s="1857"/>
      <c r="AL212" s="1858"/>
      <c r="AM212" s="1858"/>
      <c r="AN212" s="1858"/>
      <c r="AO212" s="1859"/>
      <c r="AP212" s="1859"/>
      <c r="AQ212" s="1857"/>
      <c r="AR212" s="1858"/>
      <c r="AS212" s="1858"/>
      <c r="AT212" s="1858"/>
      <c r="AU212" s="1859"/>
      <c r="AV212" s="1859"/>
      <c r="AW212" s="1857"/>
      <c r="AX212" s="1858"/>
      <c r="AY212" s="1858"/>
      <c r="AZ212" s="1858"/>
      <c r="BA212" s="1859"/>
      <c r="BB212" s="1859"/>
    </row>
    <row r="213" spans="1:54" x14ac:dyDescent="0.25">
      <c r="A213" s="1851">
        <v>209</v>
      </c>
      <c r="B213" s="1851"/>
      <c r="C213" s="1862" t="s">
        <v>1043</v>
      </c>
      <c r="D213" s="1862"/>
      <c r="E213" s="1862"/>
      <c r="F213" s="1862"/>
      <c r="G213" s="1862"/>
      <c r="H213" s="1862"/>
      <c r="I213" s="1862"/>
      <c r="J213" s="1862"/>
      <c r="K213" s="1862"/>
      <c r="L213" s="1862"/>
      <c r="M213" s="1862"/>
      <c r="N213" s="1862"/>
      <c r="O213" s="1862"/>
      <c r="P213" s="1862"/>
      <c r="Q213" s="1862"/>
      <c r="R213" s="1862"/>
      <c r="S213" s="1862"/>
      <c r="T213" s="1862"/>
      <c r="U213" s="1862"/>
      <c r="V213" s="1865" t="s">
        <v>1044</v>
      </c>
      <c r="W213" s="1865"/>
      <c r="X213" s="1865"/>
      <c r="Y213" s="1851"/>
      <c r="Z213" s="1851"/>
      <c r="AA213" s="1851"/>
      <c r="AB213" s="1851"/>
      <c r="AC213" s="1851"/>
      <c r="AD213" s="1851"/>
      <c r="AE213" s="1851"/>
      <c r="AF213" s="1851"/>
      <c r="AG213" s="1851"/>
      <c r="AH213" s="1851"/>
      <c r="AI213" s="1851"/>
      <c r="AJ213" s="1851"/>
      <c r="AK213" s="1851"/>
      <c r="AL213" s="1851"/>
      <c r="AM213" s="1851"/>
      <c r="AN213" s="1851"/>
      <c r="AO213" s="1851"/>
      <c r="AP213" s="1851"/>
      <c r="AQ213" s="1851"/>
      <c r="AR213" s="1851"/>
      <c r="AS213" s="1851"/>
      <c r="AT213" s="1851"/>
      <c r="AU213" s="1851"/>
      <c r="AV213" s="1851"/>
      <c r="AW213" s="1851"/>
      <c r="AX213" s="1851"/>
      <c r="AY213" s="1851"/>
      <c r="AZ213" s="1851"/>
      <c r="BA213" s="1851"/>
      <c r="BB213" s="1851"/>
    </row>
    <row r="214" spans="1:54" x14ac:dyDescent="0.25">
      <c r="A214" s="1851">
        <v>210</v>
      </c>
      <c r="B214" s="1851"/>
      <c r="C214" s="1862" t="s">
        <v>1045</v>
      </c>
      <c r="D214" s="1862"/>
      <c r="E214" s="1862"/>
      <c r="F214" s="1862"/>
      <c r="G214" s="1862"/>
      <c r="H214" s="1862"/>
      <c r="I214" s="1862"/>
      <c r="J214" s="1862"/>
      <c r="K214" s="1862"/>
      <c r="L214" s="1862"/>
      <c r="M214" s="1862"/>
      <c r="N214" s="1862"/>
      <c r="O214" s="1862"/>
      <c r="P214" s="1862"/>
      <c r="Q214" s="1862"/>
      <c r="R214" s="1862"/>
      <c r="S214" s="1862"/>
      <c r="T214" s="1862"/>
      <c r="U214" s="1862"/>
      <c r="V214" s="1865" t="s">
        <v>1046</v>
      </c>
      <c r="W214" s="1865"/>
      <c r="X214" s="1865"/>
      <c r="Y214" s="1857"/>
      <c r="Z214" s="1858"/>
      <c r="AA214" s="1858"/>
      <c r="AB214" s="1858"/>
      <c r="AC214" s="1859"/>
      <c r="AD214" s="1859"/>
      <c r="AE214" s="1857"/>
      <c r="AF214" s="1858"/>
      <c r="AG214" s="1858"/>
      <c r="AH214" s="1858"/>
      <c r="AI214" s="1859"/>
      <c r="AJ214" s="1859"/>
      <c r="AK214" s="1857"/>
      <c r="AL214" s="1858"/>
      <c r="AM214" s="1858"/>
      <c r="AN214" s="1858"/>
      <c r="AO214" s="1859"/>
      <c r="AP214" s="1859"/>
      <c r="AQ214" s="1857"/>
      <c r="AR214" s="1858"/>
      <c r="AS214" s="1858"/>
      <c r="AT214" s="1858"/>
      <c r="AU214" s="1859"/>
      <c r="AV214" s="1859"/>
      <c r="AW214" s="1857"/>
      <c r="AX214" s="1858"/>
      <c r="AY214" s="1858"/>
      <c r="AZ214" s="1858"/>
      <c r="BA214" s="1859"/>
      <c r="BB214" s="1859"/>
    </row>
    <row r="215" spans="1:54" x14ac:dyDescent="0.25">
      <c r="A215" s="1851">
        <v>211</v>
      </c>
      <c r="B215" s="1851"/>
      <c r="C215" s="1856" t="s">
        <v>977</v>
      </c>
      <c r="D215" s="1856"/>
      <c r="E215" s="1856"/>
      <c r="F215" s="1856"/>
      <c r="G215" s="1856"/>
      <c r="H215" s="1856"/>
      <c r="I215" s="1856"/>
      <c r="J215" s="1856"/>
      <c r="K215" s="1856"/>
      <c r="L215" s="1856"/>
      <c r="M215" s="1856"/>
      <c r="N215" s="1856"/>
      <c r="O215" s="1856"/>
      <c r="P215" s="1856"/>
      <c r="Q215" s="1856"/>
      <c r="R215" s="1856"/>
      <c r="S215" s="1856"/>
      <c r="T215" s="1856"/>
      <c r="U215" s="1856"/>
      <c r="V215" s="1865" t="s">
        <v>1046</v>
      </c>
      <c r="W215" s="1865"/>
      <c r="X215" s="1865"/>
      <c r="Y215" s="1851"/>
      <c r="Z215" s="1851"/>
      <c r="AA215" s="1851"/>
      <c r="AB215" s="1851"/>
      <c r="AC215" s="1851"/>
      <c r="AD215" s="1851"/>
      <c r="AE215" s="1851"/>
      <c r="AF215" s="1851"/>
      <c r="AG215" s="1851"/>
      <c r="AH215" s="1851"/>
      <c r="AI215" s="1851"/>
      <c r="AJ215" s="1851"/>
      <c r="AK215" s="1851"/>
      <c r="AL215" s="1851"/>
      <c r="AM215" s="1851"/>
      <c r="AN215" s="1851"/>
      <c r="AO215" s="1851"/>
      <c r="AP215" s="1851"/>
      <c r="AQ215" s="1851"/>
      <c r="AR215" s="1851"/>
      <c r="AS215" s="1851"/>
      <c r="AT215" s="1851"/>
      <c r="AU215" s="1851"/>
      <c r="AV215" s="1851"/>
      <c r="AW215" s="1851"/>
      <c r="AX215" s="1851"/>
      <c r="AY215" s="1851"/>
      <c r="AZ215" s="1851"/>
      <c r="BA215" s="1851"/>
      <c r="BB215" s="1851"/>
    </row>
    <row r="216" spans="1:54" x14ac:dyDescent="0.25">
      <c r="A216" s="1851">
        <v>212</v>
      </c>
      <c r="B216" s="1851"/>
      <c r="C216" s="1856" t="s">
        <v>978</v>
      </c>
      <c r="D216" s="1856"/>
      <c r="E216" s="1856"/>
      <c r="F216" s="1856"/>
      <c r="G216" s="1856"/>
      <c r="H216" s="1856"/>
      <c r="I216" s="1856"/>
      <c r="J216" s="1856"/>
      <c r="K216" s="1856"/>
      <c r="L216" s="1856"/>
      <c r="M216" s="1856"/>
      <c r="N216" s="1856"/>
      <c r="O216" s="1856"/>
      <c r="P216" s="1856"/>
      <c r="Q216" s="1856"/>
      <c r="R216" s="1856"/>
      <c r="S216" s="1856"/>
      <c r="T216" s="1856"/>
      <c r="U216" s="1856"/>
      <c r="V216" s="1865" t="s">
        <v>1046</v>
      </c>
      <c r="W216" s="1865"/>
      <c r="X216" s="1865"/>
      <c r="Y216" s="1851"/>
      <c r="Z216" s="1851"/>
      <c r="AA216" s="1851"/>
      <c r="AB216" s="1851"/>
      <c r="AC216" s="1851"/>
      <c r="AD216" s="1851"/>
      <c r="AE216" s="1851"/>
      <c r="AF216" s="1851"/>
      <c r="AG216" s="1851"/>
      <c r="AH216" s="1851"/>
      <c r="AI216" s="1851"/>
      <c r="AJ216" s="1851"/>
      <c r="AK216" s="1851"/>
      <c r="AL216" s="1851"/>
      <c r="AM216" s="1851"/>
      <c r="AN216" s="1851"/>
      <c r="AO216" s="1851"/>
      <c r="AP216" s="1851"/>
      <c r="AQ216" s="1851"/>
      <c r="AR216" s="1851"/>
      <c r="AS216" s="1851"/>
      <c r="AT216" s="1851"/>
      <c r="AU216" s="1851"/>
      <c r="AV216" s="1851"/>
      <c r="AW216" s="1851"/>
      <c r="AX216" s="1851"/>
      <c r="AY216" s="1851"/>
      <c r="AZ216" s="1851"/>
      <c r="BA216" s="1851"/>
      <c r="BB216" s="1851"/>
    </row>
    <row r="217" spans="1:54" x14ac:dyDescent="0.25">
      <c r="A217" s="1851">
        <v>213</v>
      </c>
      <c r="B217" s="1851"/>
      <c r="C217" s="1856" t="s">
        <v>979</v>
      </c>
      <c r="D217" s="1856"/>
      <c r="E217" s="1856"/>
      <c r="F217" s="1856"/>
      <c r="G217" s="1856"/>
      <c r="H217" s="1856"/>
      <c r="I217" s="1856"/>
      <c r="J217" s="1856"/>
      <c r="K217" s="1856"/>
      <c r="L217" s="1856"/>
      <c r="M217" s="1856"/>
      <c r="N217" s="1856"/>
      <c r="O217" s="1856"/>
      <c r="P217" s="1856"/>
      <c r="Q217" s="1856"/>
      <c r="R217" s="1856"/>
      <c r="S217" s="1856"/>
      <c r="T217" s="1856"/>
      <c r="U217" s="1856"/>
      <c r="V217" s="1865" t="s">
        <v>1046</v>
      </c>
      <c r="W217" s="1865"/>
      <c r="X217" s="1865"/>
      <c r="Y217" s="1851"/>
      <c r="Z217" s="1851"/>
      <c r="AA217" s="1851"/>
      <c r="AB217" s="1851"/>
      <c r="AC217" s="1851"/>
      <c r="AD217" s="1851"/>
      <c r="AE217" s="1851"/>
      <c r="AF217" s="1851"/>
      <c r="AG217" s="1851"/>
      <c r="AH217" s="1851"/>
      <c r="AI217" s="1851"/>
      <c r="AJ217" s="1851"/>
      <c r="AK217" s="1851"/>
      <c r="AL217" s="1851"/>
      <c r="AM217" s="1851"/>
      <c r="AN217" s="1851"/>
      <c r="AO217" s="1851"/>
      <c r="AP217" s="1851"/>
      <c r="AQ217" s="1851"/>
      <c r="AR217" s="1851"/>
      <c r="AS217" s="1851"/>
      <c r="AT217" s="1851"/>
      <c r="AU217" s="1851"/>
      <c r="AV217" s="1851"/>
      <c r="AW217" s="1851"/>
      <c r="AX217" s="1851"/>
      <c r="AY217" s="1851"/>
      <c r="AZ217" s="1851"/>
      <c r="BA217" s="1851"/>
      <c r="BB217" s="1851"/>
    </row>
    <row r="218" spans="1:54" x14ac:dyDescent="0.25">
      <c r="A218" s="1851">
        <v>214</v>
      </c>
      <c r="B218" s="1851"/>
      <c r="C218" s="1856" t="s">
        <v>980</v>
      </c>
      <c r="D218" s="1856"/>
      <c r="E218" s="1856"/>
      <c r="F218" s="1856"/>
      <c r="G218" s="1856"/>
      <c r="H218" s="1856"/>
      <c r="I218" s="1856"/>
      <c r="J218" s="1856"/>
      <c r="K218" s="1856"/>
      <c r="L218" s="1856"/>
      <c r="M218" s="1856"/>
      <c r="N218" s="1856"/>
      <c r="O218" s="1856"/>
      <c r="P218" s="1856"/>
      <c r="Q218" s="1856"/>
      <c r="R218" s="1856"/>
      <c r="S218" s="1856"/>
      <c r="T218" s="1856"/>
      <c r="U218" s="1856"/>
      <c r="V218" s="1865" t="s">
        <v>1046</v>
      </c>
      <c r="W218" s="1865"/>
      <c r="X218" s="1865"/>
      <c r="Y218" s="1851"/>
      <c r="Z218" s="1851"/>
      <c r="AA218" s="1851"/>
      <c r="AB218" s="1851"/>
      <c r="AC218" s="1851"/>
      <c r="AD218" s="1851"/>
      <c r="AE218" s="1851"/>
      <c r="AF218" s="1851"/>
      <c r="AG218" s="1851"/>
      <c r="AH218" s="1851"/>
      <c r="AI218" s="1851"/>
      <c r="AJ218" s="1851"/>
      <c r="AK218" s="1851"/>
      <c r="AL218" s="1851"/>
      <c r="AM218" s="1851"/>
      <c r="AN218" s="1851"/>
      <c r="AO218" s="1851"/>
      <c r="AP218" s="1851"/>
      <c r="AQ218" s="1851"/>
      <c r="AR218" s="1851"/>
      <c r="AS218" s="1851"/>
      <c r="AT218" s="1851"/>
      <c r="AU218" s="1851"/>
      <c r="AV218" s="1851"/>
      <c r="AW218" s="1851"/>
      <c r="AX218" s="1851"/>
      <c r="AY218" s="1851"/>
      <c r="AZ218" s="1851"/>
      <c r="BA218" s="1851"/>
      <c r="BB218" s="1851"/>
    </row>
    <row r="219" spans="1:54" x14ac:dyDescent="0.25">
      <c r="A219" s="1851">
        <v>215</v>
      </c>
      <c r="B219" s="1851"/>
      <c r="C219" s="1856" t="s">
        <v>981</v>
      </c>
      <c r="D219" s="1856"/>
      <c r="E219" s="1856"/>
      <c r="F219" s="1856"/>
      <c r="G219" s="1856"/>
      <c r="H219" s="1856"/>
      <c r="I219" s="1856"/>
      <c r="J219" s="1856"/>
      <c r="K219" s="1856"/>
      <c r="L219" s="1856"/>
      <c r="M219" s="1856"/>
      <c r="N219" s="1856"/>
      <c r="O219" s="1856"/>
      <c r="P219" s="1856"/>
      <c r="Q219" s="1856"/>
      <c r="R219" s="1856"/>
      <c r="S219" s="1856"/>
      <c r="T219" s="1856"/>
      <c r="U219" s="1856"/>
      <c r="V219" s="1865" t="s">
        <v>1046</v>
      </c>
      <c r="W219" s="1865"/>
      <c r="X219" s="1865"/>
      <c r="Y219" s="1851"/>
      <c r="Z219" s="1851"/>
      <c r="AA219" s="1851"/>
      <c r="AB219" s="1851"/>
      <c r="AC219" s="1851"/>
      <c r="AD219" s="1851"/>
      <c r="AE219" s="1851"/>
      <c r="AF219" s="1851"/>
      <c r="AG219" s="1851"/>
      <c r="AH219" s="1851"/>
      <c r="AI219" s="1851"/>
      <c r="AJ219" s="1851"/>
      <c r="AK219" s="1851"/>
      <c r="AL219" s="1851"/>
      <c r="AM219" s="1851"/>
      <c r="AN219" s="1851"/>
      <c r="AO219" s="1851"/>
      <c r="AP219" s="1851"/>
      <c r="AQ219" s="1851"/>
      <c r="AR219" s="1851"/>
      <c r="AS219" s="1851"/>
      <c r="AT219" s="1851"/>
      <c r="AU219" s="1851"/>
      <c r="AV219" s="1851"/>
      <c r="AW219" s="1851"/>
      <c r="AX219" s="1851"/>
      <c r="AY219" s="1851"/>
      <c r="AZ219" s="1851"/>
      <c r="BA219" s="1851"/>
      <c r="BB219" s="1851"/>
    </row>
    <row r="220" spans="1:54" x14ac:dyDescent="0.25">
      <c r="A220" s="1851">
        <v>216</v>
      </c>
      <c r="B220" s="1851"/>
      <c r="C220" s="1856" t="s">
        <v>982</v>
      </c>
      <c r="D220" s="1856"/>
      <c r="E220" s="1856"/>
      <c r="F220" s="1856"/>
      <c r="G220" s="1856"/>
      <c r="H220" s="1856"/>
      <c r="I220" s="1856"/>
      <c r="J220" s="1856"/>
      <c r="K220" s="1856"/>
      <c r="L220" s="1856"/>
      <c r="M220" s="1856"/>
      <c r="N220" s="1856"/>
      <c r="O220" s="1856"/>
      <c r="P220" s="1856"/>
      <c r="Q220" s="1856"/>
      <c r="R220" s="1856"/>
      <c r="S220" s="1856"/>
      <c r="T220" s="1856"/>
      <c r="U220" s="1856"/>
      <c r="V220" s="1865" t="s">
        <v>1046</v>
      </c>
      <c r="W220" s="1865"/>
      <c r="X220" s="1865"/>
      <c r="Y220" s="1851"/>
      <c r="Z220" s="1851"/>
      <c r="AA220" s="1851"/>
      <c r="AB220" s="1851"/>
      <c r="AC220" s="1851"/>
      <c r="AD220" s="1851"/>
      <c r="AE220" s="1851"/>
      <c r="AF220" s="1851"/>
      <c r="AG220" s="1851"/>
      <c r="AH220" s="1851"/>
      <c r="AI220" s="1851"/>
      <c r="AJ220" s="1851"/>
      <c r="AK220" s="1851"/>
      <c r="AL220" s="1851"/>
      <c r="AM220" s="1851"/>
      <c r="AN220" s="1851"/>
      <c r="AO220" s="1851"/>
      <c r="AP220" s="1851"/>
      <c r="AQ220" s="1851"/>
      <c r="AR220" s="1851"/>
      <c r="AS220" s="1851"/>
      <c r="AT220" s="1851"/>
      <c r="AU220" s="1851"/>
      <c r="AV220" s="1851"/>
      <c r="AW220" s="1851"/>
      <c r="AX220" s="1851"/>
      <c r="AY220" s="1851"/>
      <c r="AZ220" s="1851"/>
      <c r="BA220" s="1851"/>
      <c r="BB220" s="1851"/>
    </row>
    <row r="221" spans="1:54" x14ac:dyDescent="0.25">
      <c r="A221" s="1851">
        <v>217</v>
      </c>
      <c r="B221" s="1851"/>
      <c r="C221" s="1856" t="s">
        <v>983</v>
      </c>
      <c r="D221" s="1856"/>
      <c r="E221" s="1856"/>
      <c r="F221" s="1856"/>
      <c r="G221" s="1856"/>
      <c r="H221" s="1856"/>
      <c r="I221" s="1856"/>
      <c r="J221" s="1856"/>
      <c r="K221" s="1856"/>
      <c r="L221" s="1856"/>
      <c r="M221" s="1856"/>
      <c r="N221" s="1856"/>
      <c r="O221" s="1856"/>
      <c r="P221" s="1856"/>
      <c r="Q221" s="1856"/>
      <c r="R221" s="1856"/>
      <c r="S221" s="1856"/>
      <c r="T221" s="1856"/>
      <c r="U221" s="1856"/>
      <c r="V221" s="1865" t="s">
        <v>1046</v>
      </c>
      <c r="W221" s="1865"/>
      <c r="X221" s="1865"/>
      <c r="Y221" s="1851"/>
      <c r="Z221" s="1851"/>
      <c r="AA221" s="1851"/>
      <c r="AB221" s="1851"/>
      <c r="AC221" s="1851"/>
      <c r="AD221" s="1851"/>
      <c r="AE221" s="1851"/>
      <c r="AF221" s="1851"/>
      <c r="AG221" s="1851"/>
      <c r="AH221" s="1851"/>
      <c r="AI221" s="1851"/>
      <c r="AJ221" s="1851"/>
      <c r="AK221" s="1851"/>
      <c r="AL221" s="1851"/>
      <c r="AM221" s="1851"/>
      <c r="AN221" s="1851"/>
      <c r="AO221" s="1851"/>
      <c r="AP221" s="1851"/>
      <c r="AQ221" s="1851"/>
      <c r="AR221" s="1851"/>
      <c r="AS221" s="1851"/>
      <c r="AT221" s="1851"/>
      <c r="AU221" s="1851"/>
      <c r="AV221" s="1851"/>
      <c r="AW221" s="1851"/>
      <c r="AX221" s="1851"/>
      <c r="AY221" s="1851"/>
      <c r="AZ221" s="1851"/>
      <c r="BA221" s="1851"/>
      <c r="BB221" s="1851"/>
    </row>
    <row r="222" spans="1:54" x14ac:dyDescent="0.25">
      <c r="A222" s="1851">
        <v>218</v>
      </c>
      <c r="B222" s="1851"/>
      <c r="C222" s="1856" t="s">
        <v>984</v>
      </c>
      <c r="D222" s="1856"/>
      <c r="E222" s="1856"/>
      <c r="F222" s="1856"/>
      <c r="G222" s="1856"/>
      <c r="H222" s="1856"/>
      <c r="I222" s="1856"/>
      <c r="J222" s="1856"/>
      <c r="K222" s="1856"/>
      <c r="L222" s="1856"/>
      <c r="M222" s="1856"/>
      <c r="N222" s="1856"/>
      <c r="O222" s="1856"/>
      <c r="P222" s="1856"/>
      <c r="Q222" s="1856"/>
      <c r="R222" s="1856"/>
      <c r="S222" s="1856"/>
      <c r="T222" s="1856"/>
      <c r="U222" s="1856"/>
      <c r="V222" s="1865" t="s">
        <v>1046</v>
      </c>
      <c r="W222" s="1865"/>
      <c r="X222" s="1865"/>
      <c r="Y222" s="1851"/>
      <c r="Z222" s="1851"/>
      <c r="AA222" s="1851"/>
      <c r="AB222" s="1851"/>
      <c r="AC222" s="1851"/>
      <c r="AD222" s="1851"/>
      <c r="AE222" s="1851"/>
      <c r="AF222" s="1851"/>
      <c r="AG222" s="1851"/>
      <c r="AH222" s="1851"/>
      <c r="AI222" s="1851"/>
      <c r="AJ222" s="1851"/>
      <c r="AK222" s="1851"/>
      <c r="AL222" s="1851"/>
      <c r="AM222" s="1851"/>
      <c r="AN222" s="1851"/>
      <c r="AO222" s="1851"/>
      <c r="AP222" s="1851"/>
      <c r="AQ222" s="1851"/>
      <c r="AR222" s="1851"/>
      <c r="AS222" s="1851"/>
      <c r="AT222" s="1851"/>
      <c r="AU222" s="1851"/>
      <c r="AV222" s="1851"/>
      <c r="AW222" s="1851"/>
      <c r="AX222" s="1851"/>
      <c r="AY222" s="1851"/>
      <c r="AZ222" s="1851"/>
      <c r="BA222" s="1851"/>
      <c r="BB222" s="1851"/>
    </row>
    <row r="223" spans="1:54" x14ac:dyDescent="0.25">
      <c r="A223" s="1851">
        <v>219</v>
      </c>
      <c r="B223" s="1851"/>
      <c r="C223" s="1856" t="s">
        <v>985</v>
      </c>
      <c r="D223" s="1856"/>
      <c r="E223" s="1856"/>
      <c r="F223" s="1856"/>
      <c r="G223" s="1856"/>
      <c r="H223" s="1856"/>
      <c r="I223" s="1856"/>
      <c r="J223" s="1856"/>
      <c r="K223" s="1856"/>
      <c r="L223" s="1856"/>
      <c r="M223" s="1856"/>
      <c r="N223" s="1856"/>
      <c r="O223" s="1856"/>
      <c r="P223" s="1856"/>
      <c r="Q223" s="1856"/>
      <c r="R223" s="1856"/>
      <c r="S223" s="1856"/>
      <c r="T223" s="1856"/>
      <c r="U223" s="1856"/>
      <c r="V223" s="1865" t="s">
        <v>1046</v>
      </c>
      <c r="W223" s="1865"/>
      <c r="X223" s="1865"/>
      <c r="Y223" s="1851"/>
      <c r="Z223" s="1851"/>
      <c r="AA223" s="1851"/>
      <c r="AB223" s="1851"/>
      <c r="AC223" s="1851"/>
      <c r="AD223" s="1851"/>
      <c r="AE223" s="1851"/>
      <c r="AF223" s="1851"/>
      <c r="AG223" s="1851"/>
      <c r="AH223" s="1851"/>
      <c r="AI223" s="1851"/>
      <c r="AJ223" s="1851"/>
      <c r="AK223" s="1851"/>
      <c r="AL223" s="1851"/>
      <c r="AM223" s="1851"/>
      <c r="AN223" s="1851"/>
      <c r="AO223" s="1851"/>
      <c r="AP223" s="1851"/>
      <c r="AQ223" s="1851"/>
      <c r="AR223" s="1851"/>
      <c r="AS223" s="1851"/>
      <c r="AT223" s="1851"/>
      <c r="AU223" s="1851"/>
      <c r="AV223" s="1851"/>
      <c r="AW223" s="1851"/>
      <c r="AX223" s="1851"/>
      <c r="AY223" s="1851"/>
      <c r="AZ223" s="1851"/>
      <c r="BA223" s="1851"/>
      <c r="BB223" s="1851"/>
    </row>
    <row r="224" spans="1:54" x14ac:dyDescent="0.25">
      <c r="A224" s="1851">
        <v>220</v>
      </c>
      <c r="B224" s="1851"/>
      <c r="C224" s="1856" t="s">
        <v>986</v>
      </c>
      <c r="D224" s="1856"/>
      <c r="E224" s="1856"/>
      <c r="F224" s="1856"/>
      <c r="G224" s="1856"/>
      <c r="H224" s="1856"/>
      <c r="I224" s="1856"/>
      <c r="J224" s="1856"/>
      <c r="K224" s="1856"/>
      <c r="L224" s="1856"/>
      <c r="M224" s="1856"/>
      <c r="N224" s="1856"/>
      <c r="O224" s="1856"/>
      <c r="P224" s="1856"/>
      <c r="Q224" s="1856"/>
      <c r="R224" s="1856"/>
      <c r="S224" s="1856"/>
      <c r="T224" s="1856"/>
      <c r="U224" s="1856"/>
      <c r="V224" s="1865" t="s">
        <v>1046</v>
      </c>
      <c r="W224" s="1865"/>
      <c r="X224" s="1865"/>
      <c r="Y224" s="1851"/>
      <c r="Z224" s="1851"/>
      <c r="AA224" s="1851"/>
      <c r="AB224" s="1851"/>
      <c r="AC224" s="1851"/>
      <c r="AD224" s="1851"/>
      <c r="AE224" s="1851"/>
      <c r="AF224" s="1851"/>
      <c r="AG224" s="1851"/>
      <c r="AH224" s="1851"/>
      <c r="AI224" s="1851"/>
      <c r="AJ224" s="1851"/>
      <c r="AK224" s="1851"/>
      <c r="AL224" s="1851"/>
      <c r="AM224" s="1851"/>
      <c r="AN224" s="1851"/>
      <c r="AO224" s="1851"/>
      <c r="AP224" s="1851"/>
      <c r="AQ224" s="1851"/>
      <c r="AR224" s="1851"/>
      <c r="AS224" s="1851"/>
      <c r="AT224" s="1851"/>
      <c r="AU224" s="1851"/>
      <c r="AV224" s="1851"/>
      <c r="AW224" s="1851"/>
      <c r="AX224" s="1851"/>
      <c r="AY224" s="1851"/>
      <c r="AZ224" s="1851"/>
      <c r="BA224" s="1851"/>
      <c r="BB224" s="1851"/>
    </row>
    <row r="225" spans="1:54" x14ac:dyDescent="0.25">
      <c r="A225" s="1851">
        <v>221</v>
      </c>
      <c r="B225" s="1851"/>
      <c r="C225" s="1862" t="s">
        <v>1047</v>
      </c>
      <c r="D225" s="1862"/>
      <c r="E225" s="1862"/>
      <c r="F225" s="1862"/>
      <c r="G225" s="1862"/>
      <c r="H225" s="1862"/>
      <c r="I225" s="1862"/>
      <c r="J225" s="1862"/>
      <c r="K225" s="1862"/>
      <c r="L225" s="1862"/>
      <c r="M225" s="1862"/>
      <c r="N225" s="1862"/>
      <c r="O225" s="1862"/>
      <c r="P225" s="1862"/>
      <c r="Q225" s="1862"/>
      <c r="R225" s="1862"/>
      <c r="S225" s="1862"/>
      <c r="T225" s="1862"/>
      <c r="U225" s="1862"/>
      <c r="V225" s="1865" t="s">
        <v>1048</v>
      </c>
      <c r="W225" s="1865"/>
      <c r="X225" s="1865"/>
      <c r="Y225" s="1857"/>
      <c r="Z225" s="1858"/>
      <c r="AA225" s="1858"/>
      <c r="AB225" s="1858"/>
      <c r="AC225" s="1859"/>
      <c r="AD225" s="1859"/>
      <c r="AE225" s="1857"/>
      <c r="AF225" s="1858"/>
      <c r="AG225" s="1858"/>
      <c r="AH225" s="1858"/>
      <c r="AI225" s="1859"/>
      <c r="AJ225" s="1859"/>
      <c r="AK225" s="1857"/>
      <c r="AL225" s="1858"/>
      <c r="AM225" s="1858"/>
      <c r="AN225" s="1858"/>
      <c r="AO225" s="1859"/>
      <c r="AP225" s="1859"/>
      <c r="AQ225" s="1857"/>
      <c r="AR225" s="1858"/>
      <c r="AS225" s="1858"/>
      <c r="AT225" s="1858"/>
      <c r="AU225" s="1859"/>
      <c r="AV225" s="1859"/>
      <c r="AW225" s="1857"/>
      <c r="AX225" s="1858"/>
      <c r="AY225" s="1858"/>
      <c r="AZ225" s="1858"/>
      <c r="BA225" s="1859"/>
      <c r="BB225" s="1859"/>
    </row>
    <row r="226" spans="1:54" x14ac:dyDescent="0.25">
      <c r="A226" s="1851">
        <v>222</v>
      </c>
      <c r="B226" s="1851"/>
      <c r="C226" s="1856" t="s">
        <v>977</v>
      </c>
      <c r="D226" s="1856"/>
      <c r="E226" s="1856"/>
      <c r="F226" s="1856"/>
      <c r="G226" s="1856"/>
      <c r="H226" s="1856"/>
      <c r="I226" s="1856"/>
      <c r="J226" s="1856"/>
      <c r="K226" s="1856"/>
      <c r="L226" s="1856"/>
      <c r="M226" s="1856"/>
      <c r="N226" s="1856"/>
      <c r="O226" s="1856"/>
      <c r="P226" s="1856"/>
      <c r="Q226" s="1856"/>
      <c r="R226" s="1856"/>
      <c r="S226" s="1856"/>
      <c r="T226" s="1856"/>
      <c r="U226" s="1856"/>
      <c r="V226" s="1865" t="s">
        <v>1048</v>
      </c>
      <c r="W226" s="1865"/>
      <c r="X226" s="1865"/>
      <c r="Y226" s="1851"/>
      <c r="Z226" s="1851"/>
      <c r="AA226" s="1851"/>
      <c r="AB226" s="1851"/>
      <c r="AC226" s="1851"/>
      <c r="AD226" s="1851"/>
      <c r="AE226" s="1851"/>
      <c r="AF226" s="1851"/>
      <c r="AG226" s="1851"/>
      <c r="AH226" s="1851"/>
      <c r="AI226" s="1851"/>
      <c r="AJ226" s="1851"/>
      <c r="AK226" s="1851"/>
      <c r="AL226" s="1851"/>
      <c r="AM226" s="1851"/>
      <c r="AN226" s="1851"/>
      <c r="AO226" s="1851"/>
      <c r="AP226" s="1851"/>
      <c r="AQ226" s="1851"/>
      <c r="AR226" s="1851"/>
      <c r="AS226" s="1851"/>
      <c r="AT226" s="1851"/>
      <c r="AU226" s="1851"/>
      <c r="AV226" s="1851"/>
      <c r="AW226" s="1851"/>
      <c r="AX226" s="1851"/>
      <c r="AY226" s="1851"/>
      <c r="AZ226" s="1851"/>
      <c r="BA226" s="1851"/>
      <c r="BB226" s="1851"/>
    </row>
    <row r="227" spans="1:54" x14ac:dyDescent="0.25">
      <c r="A227" s="1851">
        <v>223</v>
      </c>
      <c r="B227" s="1851"/>
      <c r="C227" s="1856" t="s">
        <v>978</v>
      </c>
      <c r="D227" s="1856"/>
      <c r="E227" s="1856"/>
      <c r="F227" s="1856"/>
      <c r="G227" s="1856"/>
      <c r="H227" s="1856"/>
      <c r="I227" s="1856"/>
      <c r="J227" s="1856"/>
      <c r="K227" s="1856"/>
      <c r="L227" s="1856"/>
      <c r="M227" s="1856"/>
      <c r="N227" s="1856"/>
      <c r="O227" s="1856"/>
      <c r="P227" s="1856"/>
      <c r="Q227" s="1856"/>
      <c r="R227" s="1856"/>
      <c r="S227" s="1856"/>
      <c r="T227" s="1856"/>
      <c r="U227" s="1856"/>
      <c r="V227" s="1865" t="s">
        <v>1048</v>
      </c>
      <c r="W227" s="1865"/>
      <c r="X227" s="1865"/>
      <c r="Y227" s="1851"/>
      <c r="Z227" s="1851"/>
      <c r="AA227" s="1851"/>
      <c r="AB227" s="1851"/>
      <c r="AC227" s="1851"/>
      <c r="AD227" s="1851"/>
      <c r="AE227" s="1851"/>
      <c r="AF227" s="1851"/>
      <c r="AG227" s="1851"/>
      <c r="AH227" s="1851"/>
      <c r="AI227" s="1851"/>
      <c r="AJ227" s="1851"/>
      <c r="AK227" s="1851"/>
      <c r="AL227" s="1851"/>
      <c r="AM227" s="1851"/>
      <c r="AN227" s="1851"/>
      <c r="AO227" s="1851"/>
      <c r="AP227" s="1851"/>
      <c r="AQ227" s="1851"/>
      <c r="AR227" s="1851"/>
      <c r="AS227" s="1851"/>
      <c r="AT227" s="1851"/>
      <c r="AU227" s="1851"/>
      <c r="AV227" s="1851"/>
      <c r="AW227" s="1851"/>
      <c r="AX227" s="1851"/>
      <c r="AY227" s="1851"/>
      <c r="AZ227" s="1851"/>
      <c r="BA227" s="1851"/>
      <c r="BB227" s="1851"/>
    </row>
    <row r="228" spans="1:54" x14ac:dyDescent="0.25">
      <c r="A228" s="1851">
        <v>224</v>
      </c>
      <c r="B228" s="1851"/>
      <c r="C228" s="1856" t="s">
        <v>979</v>
      </c>
      <c r="D228" s="1856"/>
      <c r="E228" s="1856"/>
      <c r="F228" s="1856"/>
      <c r="G228" s="1856"/>
      <c r="H228" s="1856"/>
      <c r="I228" s="1856"/>
      <c r="J228" s="1856"/>
      <c r="K228" s="1856"/>
      <c r="L228" s="1856"/>
      <c r="M228" s="1856"/>
      <c r="N228" s="1856"/>
      <c r="O228" s="1856"/>
      <c r="P228" s="1856"/>
      <c r="Q228" s="1856"/>
      <c r="R228" s="1856"/>
      <c r="S228" s="1856"/>
      <c r="T228" s="1856"/>
      <c r="U228" s="1856"/>
      <c r="V228" s="1865" t="s">
        <v>1048</v>
      </c>
      <c r="W228" s="1865"/>
      <c r="X228" s="1865"/>
      <c r="Y228" s="1851"/>
      <c r="Z228" s="1851"/>
      <c r="AA228" s="1851"/>
      <c r="AB228" s="1851"/>
      <c r="AC228" s="1851"/>
      <c r="AD228" s="1851"/>
      <c r="AE228" s="1851"/>
      <c r="AF228" s="1851"/>
      <c r="AG228" s="1851"/>
      <c r="AH228" s="1851"/>
      <c r="AI228" s="1851"/>
      <c r="AJ228" s="1851"/>
      <c r="AK228" s="1851"/>
      <c r="AL228" s="1851"/>
      <c r="AM228" s="1851"/>
      <c r="AN228" s="1851"/>
      <c r="AO228" s="1851"/>
      <c r="AP228" s="1851"/>
      <c r="AQ228" s="1851"/>
      <c r="AR228" s="1851"/>
      <c r="AS228" s="1851"/>
      <c r="AT228" s="1851"/>
      <c r="AU228" s="1851"/>
      <c r="AV228" s="1851"/>
      <c r="AW228" s="1851"/>
      <c r="AX228" s="1851"/>
      <c r="AY228" s="1851"/>
      <c r="AZ228" s="1851"/>
      <c r="BA228" s="1851"/>
      <c r="BB228" s="1851"/>
    </row>
    <row r="229" spans="1:54" x14ac:dyDescent="0.25">
      <c r="A229" s="1851">
        <v>225</v>
      </c>
      <c r="B229" s="1851"/>
      <c r="C229" s="1856" t="s">
        <v>980</v>
      </c>
      <c r="D229" s="1856"/>
      <c r="E229" s="1856"/>
      <c r="F229" s="1856"/>
      <c r="G229" s="1856"/>
      <c r="H229" s="1856"/>
      <c r="I229" s="1856"/>
      <c r="J229" s="1856"/>
      <c r="K229" s="1856"/>
      <c r="L229" s="1856"/>
      <c r="M229" s="1856"/>
      <c r="N229" s="1856"/>
      <c r="O229" s="1856"/>
      <c r="P229" s="1856"/>
      <c r="Q229" s="1856"/>
      <c r="R229" s="1856"/>
      <c r="S229" s="1856"/>
      <c r="T229" s="1856"/>
      <c r="U229" s="1856"/>
      <c r="V229" s="1865" t="s">
        <v>1048</v>
      </c>
      <c r="W229" s="1865"/>
      <c r="X229" s="1865"/>
      <c r="Y229" s="1851"/>
      <c r="Z229" s="1851"/>
      <c r="AA229" s="1851"/>
      <c r="AB229" s="1851"/>
      <c r="AC229" s="1851"/>
      <c r="AD229" s="1851"/>
      <c r="AE229" s="1851"/>
      <c r="AF229" s="1851"/>
      <c r="AG229" s="1851"/>
      <c r="AH229" s="1851"/>
      <c r="AI229" s="1851"/>
      <c r="AJ229" s="1851"/>
      <c r="AK229" s="1851"/>
      <c r="AL229" s="1851"/>
      <c r="AM229" s="1851"/>
      <c r="AN229" s="1851"/>
      <c r="AO229" s="1851"/>
      <c r="AP229" s="1851"/>
      <c r="AQ229" s="1851"/>
      <c r="AR229" s="1851"/>
      <c r="AS229" s="1851"/>
      <c r="AT229" s="1851"/>
      <c r="AU229" s="1851"/>
      <c r="AV229" s="1851"/>
      <c r="AW229" s="1851"/>
      <c r="AX229" s="1851"/>
      <c r="AY229" s="1851"/>
      <c r="AZ229" s="1851"/>
      <c r="BA229" s="1851"/>
      <c r="BB229" s="1851"/>
    </row>
    <row r="230" spans="1:54" x14ac:dyDescent="0.25">
      <c r="A230" s="1851">
        <v>226</v>
      </c>
      <c r="B230" s="1851"/>
      <c r="C230" s="1856" t="s">
        <v>981</v>
      </c>
      <c r="D230" s="1856"/>
      <c r="E230" s="1856"/>
      <c r="F230" s="1856"/>
      <c r="G230" s="1856"/>
      <c r="H230" s="1856"/>
      <c r="I230" s="1856"/>
      <c r="J230" s="1856"/>
      <c r="K230" s="1856"/>
      <c r="L230" s="1856"/>
      <c r="M230" s="1856"/>
      <c r="N230" s="1856"/>
      <c r="O230" s="1856"/>
      <c r="P230" s="1856"/>
      <c r="Q230" s="1856"/>
      <c r="R230" s="1856"/>
      <c r="S230" s="1856"/>
      <c r="T230" s="1856"/>
      <c r="U230" s="1856"/>
      <c r="V230" s="1865" t="s">
        <v>1048</v>
      </c>
      <c r="W230" s="1865"/>
      <c r="X230" s="1865"/>
      <c r="Y230" s="1851"/>
      <c r="Z230" s="1851"/>
      <c r="AA230" s="1851"/>
      <c r="AB230" s="1851"/>
      <c r="AC230" s="1851"/>
      <c r="AD230" s="1851"/>
      <c r="AE230" s="1851"/>
      <c r="AF230" s="1851"/>
      <c r="AG230" s="1851"/>
      <c r="AH230" s="1851"/>
      <c r="AI230" s="1851"/>
      <c r="AJ230" s="1851"/>
      <c r="AK230" s="1851"/>
      <c r="AL230" s="1851"/>
      <c r="AM230" s="1851"/>
      <c r="AN230" s="1851"/>
      <c r="AO230" s="1851"/>
      <c r="AP230" s="1851"/>
      <c r="AQ230" s="1851"/>
      <c r="AR230" s="1851"/>
      <c r="AS230" s="1851"/>
      <c r="AT230" s="1851"/>
      <c r="AU230" s="1851"/>
      <c r="AV230" s="1851"/>
      <c r="AW230" s="1851"/>
      <c r="AX230" s="1851"/>
      <c r="AY230" s="1851"/>
      <c r="AZ230" s="1851"/>
      <c r="BA230" s="1851"/>
      <c r="BB230" s="1851"/>
    </row>
    <row r="231" spans="1:54" x14ac:dyDescent="0.25">
      <c r="A231" s="1851">
        <v>227</v>
      </c>
      <c r="B231" s="1851"/>
      <c r="C231" s="1856" t="s">
        <v>982</v>
      </c>
      <c r="D231" s="1856"/>
      <c r="E231" s="1856"/>
      <c r="F231" s="1856"/>
      <c r="G231" s="1856"/>
      <c r="H231" s="1856"/>
      <c r="I231" s="1856"/>
      <c r="J231" s="1856"/>
      <c r="K231" s="1856"/>
      <c r="L231" s="1856"/>
      <c r="M231" s="1856"/>
      <c r="N231" s="1856"/>
      <c r="O231" s="1856"/>
      <c r="P231" s="1856"/>
      <c r="Q231" s="1856"/>
      <c r="R231" s="1856"/>
      <c r="S231" s="1856"/>
      <c r="T231" s="1856"/>
      <c r="U231" s="1856"/>
      <c r="V231" s="1865" t="s">
        <v>1048</v>
      </c>
      <c r="W231" s="1865"/>
      <c r="X231" s="1865"/>
      <c r="Y231" s="1851"/>
      <c r="Z231" s="1851"/>
      <c r="AA231" s="1851"/>
      <c r="AB231" s="1851"/>
      <c r="AC231" s="1851"/>
      <c r="AD231" s="1851"/>
      <c r="AE231" s="1851"/>
      <c r="AF231" s="1851"/>
      <c r="AG231" s="1851"/>
      <c r="AH231" s="1851"/>
      <c r="AI231" s="1851"/>
      <c r="AJ231" s="1851"/>
      <c r="AK231" s="1851"/>
      <c r="AL231" s="1851"/>
      <c r="AM231" s="1851"/>
      <c r="AN231" s="1851"/>
      <c r="AO231" s="1851"/>
      <c r="AP231" s="1851"/>
      <c r="AQ231" s="1851"/>
      <c r="AR231" s="1851"/>
      <c r="AS231" s="1851"/>
      <c r="AT231" s="1851"/>
      <c r="AU231" s="1851"/>
      <c r="AV231" s="1851"/>
      <c r="AW231" s="1851"/>
      <c r="AX231" s="1851"/>
      <c r="AY231" s="1851"/>
      <c r="AZ231" s="1851"/>
      <c r="BA231" s="1851"/>
      <c r="BB231" s="1851"/>
    </row>
    <row r="232" spans="1:54" x14ac:dyDescent="0.25">
      <c r="A232" s="1851">
        <v>228</v>
      </c>
      <c r="B232" s="1851"/>
      <c r="C232" s="1856" t="s">
        <v>983</v>
      </c>
      <c r="D232" s="1856"/>
      <c r="E232" s="1856"/>
      <c r="F232" s="1856"/>
      <c r="G232" s="1856"/>
      <c r="H232" s="1856"/>
      <c r="I232" s="1856"/>
      <c r="J232" s="1856"/>
      <c r="K232" s="1856"/>
      <c r="L232" s="1856"/>
      <c r="M232" s="1856"/>
      <c r="N232" s="1856"/>
      <c r="O232" s="1856"/>
      <c r="P232" s="1856"/>
      <c r="Q232" s="1856"/>
      <c r="R232" s="1856"/>
      <c r="S232" s="1856"/>
      <c r="T232" s="1856"/>
      <c r="U232" s="1856"/>
      <c r="V232" s="1865" t="s">
        <v>1048</v>
      </c>
      <c r="W232" s="1865"/>
      <c r="X232" s="1865"/>
      <c r="Y232" s="1851"/>
      <c r="Z232" s="1851"/>
      <c r="AA232" s="1851"/>
      <c r="AB232" s="1851"/>
      <c r="AC232" s="1851"/>
      <c r="AD232" s="1851"/>
      <c r="AE232" s="1851"/>
      <c r="AF232" s="1851"/>
      <c r="AG232" s="1851"/>
      <c r="AH232" s="1851"/>
      <c r="AI232" s="1851"/>
      <c r="AJ232" s="1851"/>
      <c r="AK232" s="1851"/>
      <c r="AL232" s="1851"/>
      <c r="AM232" s="1851"/>
      <c r="AN232" s="1851"/>
      <c r="AO232" s="1851"/>
      <c r="AP232" s="1851"/>
      <c r="AQ232" s="1851"/>
      <c r="AR232" s="1851"/>
      <c r="AS232" s="1851"/>
      <c r="AT232" s="1851"/>
      <c r="AU232" s="1851"/>
      <c r="AV232" s="1851"/>
      <c r="AW232" s="1851"/>
      <c r="AX232" s="1851"/>
      <c r="AY232" s="1851"/>
      <c r="AZ232" s="1851"/>
      <c r="BA232" s="1851"/>
      <c r="BB232" s="1851"/>
    </row>
    <row r="233" spans="1:54" x14ac:dyDescent="0.25">
      <c r="A233" s="1851">
        <v>229</v>
      </c>
      <c r="B233" s="1851"/>
      <c r="C233" s="1856" t="s">
        <v>984</v>
      </c>
      <c r="D233" s="1856"/>
      <c r="E233" s="1856"/>
      <c r="F233" s="1856"/>
      <c r="G233" s="1856"/>
      <c r="H233" s="1856"/>
      <c r="I233" s="1856"/>
      <c r="J233" s="1856"/>
      <c r="K233" s="1856"/>
      <c r="L233" s="1856"/>
      <c r="M233" s="1856"/>
      <c r="N233" s="1856"/>
      <c r="O233" s="1856"/>
      <c r="P233" s="1856"/>
      <c r="Q233" s="1856"/>
      <c r="R233" s="1856"/>
      <c r="S233" s="1856"/>
      <c r="T233" s="1856"/>
      <c r="U233" s="1856"/>
      <c r="V233" s="1865" t="s">
        <v>1048</v>
      </c>
      <c r="W233" s="1865"/>
      <c r="X233" s="1865"/>
      <c r="Y233" s="1851"/>
      <c r="Z233" s="1851"/>
      <c r="AA233" s="1851"/>
      <c r="AB233" s="1851"/>
      <c r="AC233" s="1851"/>
      <c r="AD233" s="1851"/>
      <c r="AE233" s="1851"/>
      <c r="AF233" s="1851"/>
      <c r="AG233" s="1851"/>
      <c r="AH233" s="1851"/>
      <c r="AI233" s="1851"/>
      <c r="AJ233" s="1851"/>
      <c r="AK233" s="1851"/>
      <c r="AL233" s="1851"/>
      <c r="AM233" s="1851"/>
      <c r="AN233" s="1851"/>
      <c r="AO233" s="1851"/>
      <c r="AP233" s="1851"/>
      <c r="AQ233" s="1851"/>
      <c r="AR233" s="1851"/>
      <c r="AS233" s="1851"/>
      <c r="AT233" s="1851"/>
      <c r="AU233" s="1851"/>
      <c r="AV233" s="1851"/>
      <c r="AW233" s="1851"/>
      <c r="AX233" s="1851"/>
      <c r="AY233" s="1851"/>
      <c r="AZ233" s="1851"/>
      <c r="BA233" s="1851"/>
      <c r="BB233" s="1851"/>
    </row>
    <row r="234" spans="1:54" x14ac:dyDescent="0.25">
      <c r="A234" s="1851">
        <v>230</v>
      </c>
      <c r="B234" s="1851"/>
      <c r="C234" s="1856" t="s">
        <v>985</v>
      </c>
      <c r="D234" s="1856"/>
      <c r="E234" s="1856"/>
      <c r="F234" s="1856"/>
      <c r="G234" s="1856"/>
      <c r="H234" s="1856"/>
      <c r="I234" s="1856"/>
      <c r="J234" s="1856"/>
      <c r="K234" s="1856"/>
      <c r="L234" s="1856"/>
      <c r="M234" s="1856"/>
      <c r="N234" s="1856"/>
      <c r="O234" s="1856"/>
      <c r="P234" s="1856"/>
      <c r="Q234" s="1856"/>
      <c r="R234" s="1856"/>
      <c r="S234" s="1856"/>
      <c r="T234" s="1856"/>
      <c r="U234" s="1856"/>
      <c r="V234" s="1865" t="s">
        <v>1048</v>
      </c>
      <c r="W234" s="1865"/>
      <c r="X234" s="1865"/>
      <c r="Y234" s="1851"/>
      <c r="Z234" s="1851"/>
      <c r="AA234" s="1851"/>
      <c r="AB234" s="1851"/>
      <c r="AC234" s="1851"/>
      <c r="AD234" s="1851"/>
      <c r="AE234" s="1851"/>
      <c r="AF234" s="1851"/>
      <c r="AG234" s="1851"/>
      <c r="AH234" s="1851"/>
      <c r="AI234" s="1851"/>
      <c r="AJ234" s="1851"/>
      <c r="AK234" s="1851"/>
      <c r="AL234" s="1851"/>
      <c r="AM234" s="1851"/>
      <c r="AN234" s="1851"/>
      <c r="AO234" s="1851"/>
      <c r="AP234" s="1851"/>
      <c r="AQ234" s="1851"/>
      <c r="AR234" s="1851"/>
      <c r="AS234" s="1851"/>
      <c r="AT234" s="1851"/>
      <c r="AU234" s="1851"/>
      <c r="AV234" s="1851"/>
      <c r="AW234" s="1851"/>
      <c r="AX234" s="1851"/>
      <c r="AY234" s="1851"/>
      <c r="AZ234" s="1851"/>
      <c r="BA234" s="1851"/>
      <c r="BB234" s="1851"/>
    </row>
    <row r="235" spans="1:54" x14ac:dyDescent="0.25">
      <c r="A235" s="1851">
        <v>231</v>
      </c>
      <c r="B235" s="1851"/>
      <c r="C235" s="1856" t="s">
        <v>986</v>
      </c>
      <c r="D235" s="1856"/>
      <c r="E235" s="1856"/>
      <c r="F235" s="1856"/>
      <c r="G235" s="1856"/>
      <c r="H235" s="1856"/>
      <c r="I235" s="1856"/>
      <c r="J235" s="1856"/>
      <c r="K235" s="1856"/>
      <c r="L235" s="1856"/>
      <c r="M235" s="1856"/>
      <c r="N235" s="1856"/>
      <c r="O235" s="1856"/>
      <c r="P235" s="1856"/>
      <c r="Q235" s="1856"/>
      <c r="R235" s="1856"/>
      <c r="S235" s="1856"/>
      <c r="T235" s="1856"/>
      <c r="U235" s="1856"/>
      <c r="V235" s="1865" t="s">
        <v>1048</v>
      </c>
      <c r="W235" s="1865"/>
      <c r="X235" s="1865"/>
      <c r="Y235" s="1851"/>
      <c r="Z235" s="1851"/>
      <c r="AA235" s="1851"/>
      <c r="AB235" s="1851"/>
      <c r="AC235" s="1851"/>
      <c r="AD235" s="1851"/>
      <c r="AE235" s="1851"/>
      <c r="AF235" s="1851"/>
      <c r="AG235" s="1851"/>
      <c r="AH235" s="1851"/>
      <c r="AI235" s="1851"/>
      <c r="AJ235" s="1851"/>
      <c r="AK235" s="1851"/>
      <c r="AL235" s="1851"/>
      <c r="AM235" s="1851"/>
      <c r="AN235" s="1851"/>
      <c r="AO235" s="1851"/>
      <c r="AP235" s="1851"/>
      <c r="AQ235" s="1851"/>
      <c r="AR235" s="1851"/>
      <c r="AS235" s="1851"/>
      <c r="AT235" s="1851"/>
      <c r="AU235" s="1851"/>
      <c r="AV235" s="1851"/>
      <c r="AW235" s="1851"/>
      <c r="AX235" s="1851"/>
      <c r="AY235" s="1851"/>
      <c r="AZ235" s="1851"/>
      <c r="BA235" s="1851"/>
      <c r="BB235" s="1851"/>
    </row>
    <row r="236" spans="1:54" x14ac:dyDescent="0.25">
      <c r="A236" s="1851">
        <v>232</v>
      </c>
      <c r="B236" s="1851"/>
      <c r="C236" s="1862" t="s">
        <v>1049</v>
      </c>
      <c r="D236" s="1862"/>
      <c r="E236" s="1862"/>
      <c r="F236" s="1862"/>
      <c r="G236" s="1862"/>
      <c r="H236" s="1862"/>
      <c r="I236" s="1862"/>
      <c r="J236" s="1862"/>
      <c r="K236" s="1862"/>
      <c r="L236" s="1862"/>
      <c r="M236" s="1862"/>
      <c r="N236" s="1862"/>
      <c r="O236" s="1862"/>
      <c r="P236" s="1862"/>
      <c r="Q236" s="1862"/>
      <c r="R236" s="1862"/>
      <c r="S236" s="1862"/>
      <c r="T236" s="1862"/>
      <c r="U236" s="1862"/>
      <c r="V236" s="1865" t="s">
        <v>1050</v>
      </c>
      <c r="W236" s="1865"/>
      <c r="X236" s="1865"/>
      <c r="Y236" s="1857"/>
      <c r="Z236" s="1858"/>
      <c r="AA236" s="1858"/>
      <c r="AB236" s="1858"/>
      <c r="AC236" s="1859"/>
      <c r="AD236" s="1859"/>
      <c r="AE236" s="1857"/>
      <c r="AF236" s="1858"/>
      <c r="AG236" s="1858"/>
      <c r="AH236" s="1858"/>
      <c r="AI236" s="1859"/>
      <c r="AJ236" s="1859"/>
      <c r="AK236" s="1857"/>
      <c r="AL236" s="1858"/>
      <c r="AM236" s="1858"/>
      <c r="AN236" s="1858"/>
      <c r="AO236" s="1859"/>
      <c r="AP236" s="1859"/>
      <c r="AQ236" s="1857"/>
      <c r="AR236" s="1858"/>
      <c r="AS236" s="1858"/>
      <c r="AT236" s="1858"/>
      <c r="AU236" s="1859"/>
      <c r="AV236" s="1859"/>
      <c r="AW236" s="1857"/>
      <c r="AX236" s="1858"/>
      <c r="AY236" s="1858"/>
      <c r="AZ236" s="1858"/>
      <c r="BA236" s="1859"/>
      <c r="BB236" s="1859"/>
    </row>
    <row r="237" spans="1:54" x14ac:dyDescent="0.25">
      <c r="A237" s="1851">
        <v>233</v>
      </c>
      <c r="B237" s="1851"/>
      <c r="C237" s="1856" t="s">
        <v>977</v>
      </c>
      <c r="D237" s="1856"/>
      <c r="E237" s="1856"/>
      <c r="F237" s="1856"/>
      <c r="G237" s="1856"/>
      <c r="H237" s="1856"/>
      <c r="I237" s="1856"/>
      <c r="J237" s="1856"/>
      <c r="K237" s="1856"/>
      <c r="L237" s="1856"/>
      <c r="M237" s="1856"/>
      <c r="N237" s="1856"/>
      <c r="O237" s="1856"/>
      <c r="P237" s="1856"/>
      <c r="Q237" s="1856"/>
      <c r="R237" s="1856"/>
      <c r="S237" s="1856"/>
      <c r="T237" s="1856"/>
      <c r="U237" s="1856"/>
      <c r="V237" s="1865" t="s">
        <v>1050</v>
      </c>
      <c r="W237" s="1865"/>
      <c r="X237" s="1865"/>
      <c r="Y237" s="1851"/>
      <c r="Z237" s="1851"/>
      <c r="AA237" s="1851"/>
      <c r="AB237" s="1851"/>
      <c r="AC237" s="1851"/>
      <c r="AD237" s="1851"/>
      <c r="AE237" s="1851"/>
      <c r="AF237" s="1851"/>
      <c r="AG237" s="1851"/>
      <c r="AH237" s="1851"/>
      <c r="AI237" s="1851"/>
      <c r="AJ237" s="1851"/>
      <c r="AK237" s="1851"/>
      <c r="AL237" s="1851"/>
      <c r="AM237" s="1851"/>
      <c r="AN237" s="1851"/>
      <c r="AO237" s="1851"/>
      <c r="AP237" s="1851"/>
      <c r="AQ237" s="1851"/>
      <c r="AR237" s="1851"/>
      <c r="AS237" s="1851"/>
      <c r="AT237" s="1851"/>
      <c r="AU237" s="1851"/>
      <c r="AV237" s="1851"/>
      <c r="AW237" s="1851"/>
      <c r="AX237" s="1851"/>
      <c r="AY237" s="1851"/>
      <c r="AZ237" s="1851"/>
      <c r="BA237" s="1851"/>
      <c r="BB237" s="1851"/>
    </row>
    <row r="238" spans="1:54" x14ac:dyDescent="0.25">
      <c r="A238" s="1851">
        <v>234</v>
      </c>
      <c r="B238" s="1851"/>
      <c r="C238" s="1856" t="s">
        <v>978</v>
      </c>
      <c r="D238" s="1856"/>
      <c r="E238" s="1856"/>
      <c r="F238" s="1856"/>
      <c r="G238" s="1856"/>
      <c r="H238" s="1856"/>
      <c r="I238" s="1856"/>
      <c r="J238" s="1856"/>
      <c r="K238" s="1856"/>
      <c r="L238" s="1856"/>
      <c r="M238" s="1856"/>
      <c r="N238" s="1856"/>
      <c r="O238" s="1856"/>
      <c r="P238" s="1856"/>
      <c r="Q238" s="1856"/>
      <c r="R238" s="1856"/>
      <c r="S238" s="1856"/>
      <c r="T238" s="1856"/>
      <c r="U238" s="1856"/>
      <c r="V238" s="1865" t="s">
        <v>1050</v>
      </c>
      <c r="W238" s="1865"/>
      <c r="X238" s="1865"/>
      <c r="Y238" s="1851"/>
      <c r="Z238" s="1851"/>
      <c r="AA238" s="1851"/>
      <c r="AB238" s="1851"/>
      <c r="AC238" s="1851"/>
      <c r="AD238" s="1851"/>
      <c r="AE238" s="1851"/>
      <c r="AF238" s="1851"/>
      <c r="AG238" s="1851"/>
      <c r="AH238" s="1851"/>
      <c r="AI238" s="1851"/>
      <c r="AJ238" s="1851"/>
      <c r="AK238" s="1851"/>
      <c r="AL238" s="1851"/>
      <c r="AM238" s="1851"/>
      <c r="AN238" s="1851"/>
      <c r="AO238" s="1851"/>
      <c r="AP238" s="1851"/>
      <c r="AQ238" s="1851"/>
      <c r="AR238" s="1851"/>
      <c r="AS238" s="1851"/>
      <c r="AT238" s="1851"/>
      <c r="AU238" s="1851"/>
      <c r="AV238" s="1851"/>
      <c r="AW238" s="1851"/>
      <c r="AX238" s="1851"/>
      <c r="AY238" s="1851"/>
      <c r="AZ238" s="1851"/>
      <c r="BA238" s="1851"/>
      <c r="BB238" s="1851"/>
    </row>
    <row r="239" spans="1:54" x14ac:dyDescent="0.25">
      <c r="A239" s="1851">
        <v>235</v>
      </c>
      <c r="B239" s="1851"/>
      <c r="C239" s="1856" t="s">
        <v>979</v>
      </c>
      <c r="D239" s="1856"/>
      <c r="E239" s="1856"/>
      <c r="F239" s="1856"/>
      <c r="G239" s="1856"/>
      <c r="H239" s="1856"/>
      <c r="I239" s="1856"/>
      <c r="J239" s="1856"/>
      <c r="K239" s="1856"/>
      <c r="L239" s="1856"/>
      <c r="M239" s="1856"/>
      <c r="N239" s="1856"/>
      <c r="O239" s="1856"/>
      <c r="P239" s="1856"/>
      <c r="Q239" s="1856"/>
      <c r="R239" s="1856"/>
      <c r="S239" s="1856"/>
      <c r="T239" s="1856"/>
      <c r="U239" s="1856"/>
      <c r="V239" s="1865" t="s">
        <v>1050</v>
      </c>
      <c r="W239" s="1865"/>
      <c r="X239" s="1865"/>
      <c r="Y239" s="1851"/>
      <c r="Z239" s="1851"/>
      <c r="AA239" s="1851"/>
      <c r="AB239" s="1851"/>
      <c r="AC239" s="1851"/>
      <c r="AD239" s="1851"/>
      <c r="AE239" s="1851"/>
      <c r="AF239" s="1851"/>
      <c r="AG239" s="1851"/>
      <c r="AH239" s="1851"/>
      <c r="AI239" s="1851"/>
      <c r="AJ239" s="1851"/>
      <c r="AK239" s="1851"/>
      <c r="AL239" s="1851"/>
      <c r="AM239" s="1851"/>
      <c r="AN239" s="1851"/>
      <c r="AO239" s="1851"/>
      <c r="AP239" s="1851"/>
      <c r="AQ239" s="1851"/>
      <c r="AR239" s="1851"/>
      <c r="AS239" s="1851"/>
      <c r="AT239" s="1851"/>
      <c r="AU239" s="1851"/>
      <c r="AV239" s="1851"/>
      <c r="AW239" s="1851"/>
      <c r="AX239" s="1851"/>
      <c r="AY239" s="1851"/>
      <c r="AZ239" s="1851"/>
      <c r="BA239" s="1851"/>
      <c r="BB239" s="1851"/>
    </row>
    <row r="240" spans="1:54" x14ac:dyDescent="0.25">
      <c r="A240" s="1851">
        <v>236</v>
      </c>
      <c r="B240" s="1851"/>
      <c r="C240" s="1856" t="s">
        <v>980</v>
      </c>
      <c r="D240" s="1856"/>
      <c r="E240" s="1856"/>
      <c r="F240" s="1856"/>
      <c r="G240" s="1856"/>
      <c r="H240" s="1856"/>
      <c r="I240" s="1856"/>
      <c r="J240" s="1856"/>
      <c r="K240" s="1856"/>
      <c r="L240" s="1856"/>
      <c r="M240" s="1856"/>
      <c r="N240" s="1856"/>
      <c r="O240" s="1856"/>
      <c r="P240" s="1856"/>
      <c r="Q240" s="1856"/>
      <c r="R240" s="1856"/>
      <c r="S240" s="1856"/>
      <c r="T240" s="1856"/>
      <c r="U240" s="1856"/>
      <c r="V240" s="1865" t="s">
        <v>1050</v>
      </c>
      <c r="W240" s="1865"/>
      <c r="X240" s="1865"/>
      <c r="Y240" s="1851"/>
      <c r="Z240" s="1851"/>
      <c r="AA240" s="1851"/>
      <c r="AB240" s="1851"/>
      <c r="AC240" s="1851"/>
      <c r="AD240" s="1851"/>
      <c r="AE240" s="1851"/>
      <c r="AF240" s="1851"/>
      <c r="AG240" s="1851"/>
      <c r="AH240" s="1851"/>
      <c r="AI240" s="1851"/>
      <c r="AJ240" s="1851"/>
      <c r="AK240" s="1851"/>
      <c r="AL240" s="1851"/>
      <c r="AM240" s="1851"/>
      <c r="AN240" s="1851"/>
      <c r="AO240" s="1851"/>
      <c r="AP240" s="1851"/>
      <c r="AQ240" s="1851"/>
      <c r="AR240" s="1851"/>
      <c r="AS240" s="1851"/>
      <c r="AT240" s="1851"/>
      <c r="AU240" s="1851"/>
      <c r="AV240" s="1851"/>
      <c r="AW240" s="1851"/>
      <c r="AX240" s="1851"/>
      <c r="AY240" s="1851"/>
      <c r="AZ240" s="1851"/>
      <c r="BA240" s="1851"/>
      <c r="BB240" s="1851"/>
    </row>
    <row r="241" spans="1:54" x14ac:dyDescent="0.25">
      <c r="A241" s="1851">
        <v>237</v>
      </c>
      <c r="B241" s="1851"/>
      <c r="C241" s="1856" t="s">
        <v>981</v>
      </c>
      <c r="D241" s="1856"/>
      <c r="E241" s="1856"/>
      <c r="F241" s="1856"/>
      <c r="G241" s="1856"/>
      <c r="H241" s="1856"/>
      <c r="I241" s="1856"/>
      <c r="J241" s="1856"/>
      <c r="K241" s="1856"/>
      <c r="L241" s="1856"/>
      <c r="M241" s="1856"/>
      <c r="N241" s="1856"/>
      <c r="O241" s="1856"/>
      <c r="P241" s="1856"/>
      <c r="Q241" s="1856"/>
      <c r="R241" s="1856"/>
      <c r="S241" s="1856"/>
      <c r="T241" s="1856"/>
      <c r="U241" s="1856"/>
      <c r="V241" s="1865" t="s">
        <v>1050</v>
      </c>
      <c r="W241" s="1865"/>
      <c r="X241" s="1865"/>
      <c r="Y241" s="1851"/>
      <c r="Z241" s="1851"/>
      <c r="AA241" s="1851"/>
      <c r="AB241" s="1851"/>
      <c r="AC241" s="1851"/>
      <c r="AD241" s="1851"/>
      <c r="AE241" s="1851"/>
      <c r="AF241" s="1851"/>
      <c r="AG241" s="1851"/>
      <c r="AH241" s="1851"/>
      <c r="AI241" s="1851"/>
      <c r="AJ241" s="1851"/>
      <c r="AK241" s="1851"/>
      <c r="AL241" s="1851"/>
      <c r="AM241" s="1851"/>
      <c r="AN241" s="1851"/>
      <c r="AO241" s="1851"/>
      <c r="AP241" s="1851"/>
      <c r="AQ241" s="1851"/>
      <c r="AR241" s="1851"/>
      <c r="AS241" s="1851"/>
      <c r="AT241" s="1851"/>
      <c r="AU241" s="1851"/>
      <c r="AV241" s="1851"/>
      <c r="AW241" s="1851"/>
      <c r="AX241" s="1851"/>
      <c r="AY241" s="1851"/>
      <c r="AZ241" s="1851"/>
      <c r="BA241" s="1851"/>
      <c r="BB241" s="1851"/>
    </row>
    <row r="242" spans="1:54" x14ac:dyDescent="0.25">
      <c r="A242" s="1851">
        <v>238</v>
      </c>
      <c r="B242" s="1851"/>
      <c r="C242" s="1856" t="s">
        <v>982</v>
      </c>
      <c r="D242" s="1856"/>
      <c r="E242" s="1856"/>
      <c r="F242" s="1856"/>
      <c r="G242" s="1856"/>
      <c r="H242" s="1856"/>
      <c r="I242" s="1856"/>
      <c r="J242" s="1856"/>
      <c r="K242" s="1856"/>
      <c r="L242" s="1856"/>
      <c r="M242" s="1856"/>
      <c r="N242" s="1856"/>
      <c r="O242" s="1856"/>
      <c r="P242" s="1856"/>
      <c r="Q242" s="1856"/>
      <c r="R242" s="1856"/>
      <c r="S242" s="1856"/>
      <c r="T242" s="1856"/>
      <c r="U242" s="1856"/>
      <c r="V242" s="1865" t="s">
        <v>1050</v>
      </c>
      <c r="W242" s="1865"/>
      <c r="X242" s="1865"/>
      <c r="Y242" s="1851"/>
      <c r="Z242" s="1851"/>
      <c r="AA242" s="1851"/>
      <c r="AB242" s="1851"/>
      <c r="AC242" s="1851"/>
      <c r="AD242" s="1851"/>
      <c r="AE242" s="1851"/>
      <c r="AF242" s="1851"/>
      <c r="AG242" s="1851"/>
      <c r="AH242" s="1851"/>
      <c r="AI242" s="1851"/>
      <c r="AJ242" s="1851"/>
      <c r="AK242" s="1851"/>
      <c r="AL242" s="1851"/>
      <c r="AM242" s="1851"/>
      <c r="AN242" s="1851"/>
      <c r="AO242" s="1851"/>
      <c r="AP242" s="1851"/>
      <c r="AQ242" s="1851"/>
      <c r="AR242" s="1851"/>
      <c r="AS242" s="1851"/>
      <c r="AT242" s="1851"/>
      <c r="AU242" s="1851"/>
      <c r="AV242" s="1851"/>
      <c r="AW242" s="1851"/>
      <c r="AX242" s="1851"/>
      <c r="AY242" s="1851"/>
      <c r="AZ242" s="1851"/>
      <c r="BA242" s="1851"/>
      <c r="BB242" s="1851"/>
    </row>
    <row r="243" spans="1:54" x14ac:dyDescent="0.25">
      <c r="A243" s="1851">
        <v>239</v>
      </c>
      <c r="B243" s="1851"/>
      <c r="C243" s="1856" t="s">
        <v>983</v>
      </c>
      <c r="D243" s="1856"/>
      <c r="E243" s="1856"/>
      <c r="F243" s="1856"/>
      <c r="G243" s="1856"/>
      <c r="H243" s="1856"/>
      <c r="I243" s="1856"/>
      <c r="J243" s="1856"/>
      <c r="K243" s="1856"/>
      <c r="L243" s="1856"/>
      <c r="M243" s="1856"/>
      <c r="N243" s="1856"/>
      <c r="O243" s="1856"/>
      <c r="P243" s="1856"/>
      <c r="Q243" s="1856"/>
      <c r="R243" s="1856"/>
      <c r="S243" s="1856"/>
      <c r="T243" s="1856"/>
      <c r="U243" s="1856"/>
      <c r="V243" s="1865" t="s">
        <v>1050</v>
      </c>
      <c r="W243" s="1865"/>
      <c r="X243" s="1865"/>
      <c r="Y243" s="1851"/>
      <c r="Z243" s="1851"/>
      <c r="AA243" s="1851"/>
      <c r="AB243" s="1851"/>
      <c r="AC243" s="1851"/>
      <c r="AD243" s="1851"/>
      <c r="AE243" s="1851"/>
      <c r="AF243" s="1851"/>
      <c r="AG243" s="1851"/>
      <c r="AH243" s="1851"/>
      <c r="AI243" s="1851"/>
      <c r="AJ243" s="1851"/>
      <c r="AK243" s="1851"/>
      <c r="AL243" s="1851"/>
      <c r="AM243" s="1851"/>
      <c r="AN243" s="1851"/>
      <c r="AO243" s="1851"/>
      <c r="AP243" s="1851"/>
      <c r="AQ243" s="1851"/>
      <c r="AR243" s="1851"/>
      <c r="AS243" s="1851"/>
      <c r="AT243" s="1851"/>
      <c r="AU243" s="1851"/>
      <c r="AV243" s="1851"/>
      <c r="AW243" s="1851"/>
      <c r="AX243" s="1851"/>
      <c r="AY243" s="1851"/>
      <c r="AZ243" s="1851"/>
      <c r="BA243" s="1851"/>
      <c r="BB243" s="1851"/>
    </row>
    <row r="244" spans="1:54" x14ac:dyDescent="0.25">
      <c r="A244" s="1851">
        <v>240</v>
      </c>
      <c r="B244" s="1851"/>
      <c r="C244" s="1856" t="s">
        <v>984</v>
      </c>
      <c r="D244" s="1856"/>
      <c r="E244" s="1856"/>
      <c r="F244" s="1856"/>
      <c r="G244" s="1856"/>
      <c r="H244" s="1856"/>
      <c r="I244" s="1856"/>
      <c r="J244" s="1856"/>
      <c r="K244" s="1856"/>
      <c r="L244" s="1856"/>
      <c r="M244" s="1856"/>
      <c r="N244" s="1856"/>
      <c r="O244" s="1856"/>
      <c r="P244" s="1856"/>
      <c r="Q244" s="1856"/>
      <c r="R244" s="1856"/>
      <c r="S244" s="1856"/>
      <c r="T244" s="1856"/>
      <c r="U244" s="1856"/>
      <c r="V244" s="1865" t="s">
        <v>1050</v>
      </c>
      <c r="W244" s="1865"/>
      <c r="X244" s="1865"/>
      <c r="Y244" s="1851"/>
      <c r="Z244" s="1851"/>
      <c r="AA244" s="1851"/>
      <c r="AB244" s="1851"/>
      <c r="AC244" s="1851"/>
      <c r="AD244" s="1851"/>
      <c r="AE244" s="1851"/>
      <c r="AF244" s="1851"/>
      <c r="AG244" s="1851"/>
      <c r="AH244" s="1851"/>
      <c r="AI244" s="1851"/>
      <c r="AJ244" s="1851"/>
      <c r="AK244" s="1851"/>
      <c r="AL244" s="1851"/>
      <c r="AM244" s="1851"/>
      <c r="AN244" s="1851"/>
      <c r="AO244" s="1851"/>
      <c r="AP244" s="1851"/>
      <c r="AQ244" s="1851"/>
      <c r="AR244" s="1851"/>
      <c r="AS244" s="1851"/>
      <c r="AT244" s="1851"/>
      <c r="AU244" s="1851"/>
      <c r="AV244" s="1851"/>
      <c r="AW244" s="1851"/>
      <c r="AX244" s="1851"/>
      <c r="AY244" s="1851"/>
      <c r="AZ244" s="1851"/>
      <c r="BA244" s="1851"/>
      <c r="BB244" s="1851"/>
    </row>
    <row r="245" spans="1:54" x14ac:dyDescent="0.25">
      <c r="A245" s="1851">
        <v>241</v>
      </c>
      <c r="B245" s="1851"/>
      <c r="C245" s="1856" t="s">
        <v>985</v>
      </c>
      <c r="D245" s="1856"/>
      <c r="E245" s="1856"/>
      <c r="F245" s="1856"/>
      <c r="G245" s="1856"/>
      <c r="H245" s="1856"/>
      <c r="I245" s="1856"/>
      <c r="J245" s="1856"/>
      <c r="K245" s="1856"/>
      <c r="L245" s="1856"/>
      <c r="M245" s="1856"/>
      <c r="N245" s="1856"/>
      <c r="O245" s="1856"/>
      <c r="P245" s="1856"/>
      <c r="Q245" s="1856"/>
      <c r="R245" s="1856"/>
      <c r="S245" s="1856"/>
      <c r="T245" s="1856"/>
      <c r="U245" s="1856"/>
      <c r="V245" s="1865" t="s">
        <v>1050</v>
      </c>
      <c r="W245" s="1865"/>
      <c r="X245" s="1865"/>
      <c r="Y245" s="1851"/>
      <c r="Z245" s="1851"/>
      <c r="AA245" s="1851"/>
      <c r="AB245" s="1851"/>
      <c r="AC245" s="1851"/>
      <c r="AD245" s="1851"/>
      <c r="AE245" s="1851"/>
      <c r="AF245" s="1851"/>
      <c r="AG245" s="1851"/>
      <c r="AH245" s="1851"/>
      <c r="AI245" s="1851"/>
      <c r="AJ245" s="1851"/>
      <c r="AK245" s="1851"/>
      <c r="AL245" s="1851"/>
      <c r="AM245" s="1851"/>
      <c r="AN245" s="1851"/>
      <c r="AO245" s="1851"/>
      <c r="AP245" s="1851"/>
      <c r="AQ245" s="1851"/>
      <c r="AR245" s="1851"/>
      <c r="AS245" s="1851"/>
      <c r="AT245" s="1851"/>
      <c r="AU245" s="1851"/>
      <c r="AV245" s="1851"/>
      <c r="AW245" s="1851"/>
      <c r="AX245" s="1851"/>
      <c r="AY245" s="1851"/>
      <c r="AZ245" s="1851"/>
      <c r="BA245" s="1851"/>
      <c r="BB245" s="1851"/>
    </row>
    <row r="246" spans="1:54" x14ac:dyDescent="0.25">
      <c r="A246" s="1851">
        <v>242</v>
      </c>
      <c r="B246" s="1851"/>
      <c r="C246" s="1856" t="s">
        <v>986</v>
      </c>
      <c r="D246" s="1856"/>
      <c r="E246" s="1856"/>
      <c r="F246" s="1856"/>
      <c r="G246" s="1856"/>
      <c r="H246" s="1856"/>
      <c r="I246" s="1856"/>
      <c r="J246" s="1856"/>
      <c r="K246" s="1856"/>
      <c r="L246" s="1856"/>
      <c r="M246" s="1856"/>
      <c r="N246" s="1856"/>
      <c r="O246" s="1856"/>
      <c r="P246" s="1856"/>
      <c r="Q246" s="1856"/>
      <c r="R246" s="1856"/>
      <c r="S246" s="1856"/>
      <c r="T246" s="1856"/>
      <c r="U246" s="1856"/>
      <c r="V246" s="1865" t="s">
        <v>1050</v>
      </c>
      <c r="W246" s="1865"/>
      <c r="X246" s="1865"/>
      <c r="Y246" s="1851"/>
      <c r="Z246" s="1851"/>
      <c r="AA246" s="1851"/>
      <c r="AB246" s="1851"/>
      <c r="AC246" s="1851"/>
      <c r="AD246" s="1851"/>
      <c r="AE246" s="1851"/>
      <c r="AF246" s="1851"/>
      <c r="AG246" s="1851"/>
      <c r="AH246" s="1851"/>
      <c r="AI246" s="1851"/>
      <c r="AJ246" s="1851"/>
      <c r="AK246" s="1851"/>
      <c r="AL246" s="1851"/>
      <c r="AM246" s="1851"/>
      <c r="AN246" s="1851"/>
      <c r="AO246" s="1851"/>
      <c r="AP246" s="1851"/>
      <c r="AQ246" s="1851"/>
      <c r="AR246" s="1851"/>
      <c r="AS246" s="1851"/>
      <c r="AT246" s="1851"/>
      <c r="AU246" s="1851"/>
      <c r="AV246" s="1851"/>
      <c r="AW246" s="1851"/>
      <c r="AX246" s="1851"/>
      <c r="AY246" s="1851"/>
      <c r="AZ246" s="1851"/>
      <c r="BA246" s="1851"/>
      <c r="BB246" s="1851"/>
    </row>
    <row r="247" spans="1:54" x14ac:dyDescent="0.25">
      <c r="A247" s="1851">
        <v>243</v>
      </c>
      <c r="B247" s="1851"/>
      <c r="C247" s="1862" t="s">
        <v>1051</v>
      </c>
      <c r="D247" s="1862"/>
      <c r="E247" s="1862"/>
      <c r="F247" s="1862"/>
      <c r="G247" s="1862"/>
      <c r="H247" s="1862"/>
      <c r="I247" s="1862"/>
      <c r="J247" s="1862"/>
      <c r="K247" s="1862"/>
      <c r="L247" s="1862"/>
      <c r="M247" s="1862"/>
      <c r="N247" s="1862"/>
      <c r="O247" s="1862"/>
      <c r="P247" s="1862"/>
      <c r="Q247" s="1862"/>
      <c r="R247" s="1862"/>
      <c r="S247" s="1862"/>
      <c r="T247" s="1862"/>
      <c r="U247" s="1862"/>
      <c r="V247" s="1865" t="s">
        <v>1052</v>
      </c>
      <c r="W247" s="1865"/>
      <c r="X247" s="1865"/>
      <c r="Y247" s="1851"/>
      <c r="Z247" s="1851"/>
      <c r="AA247" s="1851"/>
      <c r="AB247" s="1851"/>
      <c r="AC247" s="1851"/>
      <c r="AD247" s="1851"/>
      <c r="AE247" s="1851"/>
      <c r="AF247" s="1851"/>
      <c r="AG247" s="1851"/>
      <c r="AH247" s="1851"/>
      <c r="AI247" s="1851"/>
      <c r="AJ247" s="1851"/>
      <c r="AK247" s="1851"/>
      <c r="AL247" s="1851"/>
      <c r="AM247" s="1851"/>
      <c r="AN247" s="1851"/>
      <c r="AO247" s="1851"/>
      <c r="AP247" s="1851"/>
      <c r="AQ247" s="1851"/>
      <c r="AR247" s="1851"/>
      <c r="AS247" s="1851"/>
      <c r="AT247" s="1851"/>
      <c r="AU247" s="1851"/>
      <c r="AV247" s="1851"/>
      <c r="AW247" s="1851"/>
      <c r="AX247" s="1851"/>
      <c r="AY247" s="1851"/>
      <c r="AZ247" s="1851"/>
      <c r="BA247" s="1851"/>
      <c r="BB247" s="1851"/>
    </row>
    <row r="248" spans="1:54" x14ac:dyDescent="0.25">
      <c r="A248" s="1851">
        <v>244</v>
      </c>
      <c r="B248" s="1851"/>
      <c r="C248" s="1856" t="s">
        <v>993</v>
      </c>
      <c r="D248" s="1856"/>
      <c r="E248" s="1856"/>
      <c r="F248" s="1856"/>
      <c r="G248" s="1856"/>
      <c r="H248" s="1856"/>
      <c r="I248" s="1856"/>
      <c r="J248" s="1856"/>
      <c r="K248" s="1856"/>
      <c r="L248" s="1856"/>
      <c r="M248" s="1856"/>
      <c r="N248" s="1856"/>
      <c r="O248" s="1856"/>
      <c r="P248" s="1856"/>
      <c r="Q248" s="1856"/>
      <c r="R248" s="1856"/>
      <c r="S248" s="1856"/>
      <c r="T248" s="1856"/>
      <c r="U248" s="1856"/>
      <c r="V248" s="1865" t="s">
        <v>1052</v>
      </c>
      <c r="W248" s="1865"/>
      <c r="X248" s="1865"/>
      <c r="Y248" s="1851"/>
      <c r="Z248" s="1851"/>
      <c r="AA248" s="1851"/>
      <c r="AB248" s="1851"/>
      <c r="AC248" s="1851"/>
      <c r="AD248" s="1851"/>
      <c r="AE248" s="1851"/>
      <c r="AF248" s="1851"/>
      <c r="AG248" s="1851"/>
      <c r="AH248" s="1851"/>
      <c r="AI248" s="1851"/>
      <c r="AJ248" s="1851"/>
      <c r="AK248" s="1851"/>
      <c r="AL248" s="1851"/>
      <c r="AM248" s="1851"/>
      <c r="AN248" s="1851"/>
      <c r="AO248" s="1851"/>
      <c r="AP248" s="1851"/>
      <c r="AQ248" s="1851"/>
      <c r="AR248" s="1851"/>
      <c r="AS248" s="1851"/>
      <c r="AT248" s="1851"/>
      <c r="AU248" s="1851"/>
      <c r="AV248" s="1851"/>
      <c r="AW248" s="1851"/>
      <c r="AX248" s="1851"/>
      <c r="AY248" s="1851"/>
      <c r="AZ248" s="1851"/>
      <c r="BA248" s="1851"/>
      <c r="BB248" s="1851"/>
    </row>
    <row r="249" spans="1:54" x14ac:dyDescent="0.25">
      <c r="A249" s="1851">
        <v>245</v>
      </c>
      <c r="B249" s="1851"/>
      <c r="C249" s="1862" t="s">
        <v>1053</v>
      </c>
      <c r="D249" s="1862"/>
      <c r="E249" s="1862"/>
      <c r="F249" s="1862"/>
      <c r="G249" s="1862"/>
      <c r="H249" s="1862"/>
      <c r="I249" s="1862"/>
      <c r="J249" s="1862"/>
      <c r="K249" s="1862"/>
      <c r="L249" s="1862"/>
      <c r="M249" s="1862"/>
      <c r="N249" s="1862"/>
      <c r="O249" s="1862"/>
      <c r="P249" s="1862"/>
      <c r="Q249" s="1862"/>
      <c r="R249" s="1862"/>
      <c r="S249" s="1862"/>
      <c r="T249" s="1862"/>
      <c r="U249" s="1862"/>
      <c r="V249" s="1865" t="s">
        <v>1054</v>
      </c>
      <c r="W249" s="1865"/>
      <c r="X249" s="1865"/>
      <c r="Y249" s="1857"/>
      <c r="Z249" s="1858"/>
      <c r="AA249" s="1858"/>
      <c r="AB249" s="1858"/>
      <c r="AC249" s="1859"/>
      <c r="AD249" s="1859"/>
      <c r="AE249" s="1857"/>
      <c r="AF249" s="1858"/>
      <c r="AG249" s="1858"/>
      <c r="AH249" s="1858"/>
      <c r="AI249" s="1859"/>
      <c r="AJ249" s="1859"/>
      <c r="AK249" s="1857"/>
      <c r="AL249" s="1858"/>
      <c r="AM249" s="1858"/>
      <c r="AN249" s="1858"/>
      <c r="AO249" s="1859"/>
      <c r="AP249" s="1859"/>
      <c r="AQ249" s="1857"/>
      <c r="AR249" s="1858"/>
      <c r="AS249" s="1858"/>
      <c r="AT249" s="1858"/>
      <c r="AU249" s="1859"/>
      <c r="AV249" s="1859"/>
      <c r="AW249" s="1857"/>
      <c r="AX249" s="1858"/>
      <c r="AY249" s="1858"/>
      <c r="AZ249" s="1858"/>
      <c r="BA249" s="1859"/>
      <c r="BB249" s="1859"/>
    </row>
    <row r="250" spans="1:54" x14ac:dyDescent="0.25">
      <c r="A250" s="1851">
        <v>246</v>
      </c>
      <c r="B250" s="1851"/>
      <c r="C250" s="1856" t="s">
        <v>996</v>
      </c>
      <c r="D250" s="1856"/>
      <c r="E250" s="1856"/>
      <c r="F250" s="1856"/>
      <c r="G250" s="1856"/>
      <c r="H250" s="1856"/>
      <c r="I250" s="1856"/>
      <c r="J250" s="1856"/>
      <c r="K250" s="1856"/>
      <c r="L250" s="1856"/>
      <c r="M250" s="1856"/>
      <c r="N250" s="1856"/>
      <c r="O250" s="1856"/>
      <c r="P250" s="1856"/>
      <c r="Q250" s="1856"/>
      <c r="R250" s="1856"/>
      <c r="S250" s="1856"/>
      <c r="T250" s="1856"/>
      <c r="U250" s="1856"/>
      <c r="V250" s="1856" t="s">
        <v>1054</v>
      </c>
      <c r="W250" s="1856"/>
      <c r="X250" s="1856"/>
      <c r="Y250" s="1851"/>
      <c r="Z250" s="1851"/>
      <c r="AA250" s="1851"/>
      <c r="AB250" s="1851"/>
      <c r="AC250" s="1851"/>
      <c r="AD250" s="1851"/>
      <c r="AE250" s="1851"/>
      <c r="AF250" s="1851"/>
      <c r="AG250" s="1851"/>
      <c r="AH250" s="1851"/>
      <c r="AI250" s="1851"/>
      <c r="AJ250" s="1851"/>
      <c r="AK250" s="1851"/>
      <c r="AL250" s="1851"/>
      <c r="AM250" s="1851"/>
      <c r="AN250" s="1851"/>
      <c r="AO250" s="1851"/>
      <c r="AP250" s="1851"/>
      <c r="AQ250" s="1851"/>
      <c r="AR250" s="1851"/>
      <c r="AS250" s="1851"/>
      <c r="AT250" s="1851"/>
      <c r="AU250" s="1851"/>
      <c r="AV250" s="1851"/>
      <c r="AW250" s="1851"/>
      <c r="AX250" s="1851"/>
      <c r="AY250" s="1851"/>
      <c r="AZ250" s="1851"/>
      <c r="BA250" s="1851"/>
      <c r="BB250" s="1851"/>
    </row>
    <row r="251" spans="1:54" x14ac:dyDescent="0.25">
      <c r="A251" s="1851">
        <v>247</v>
      </c>
      <c r="B251" s="1851"/>
      <c r="C251" s="1856" t="s">
        <v>997</v>
      </c>
      <c r="D251" s="1856"/>
      <c r="E251" s="1856"/>
      <c r="F251" s="1856"/>
      <c r="G251" s="1856"/>
      <c r="H251" s="1856"/>
      <c r="I251" s="1856"/>
      <c r="J251" s="1856"/>
      <c r="K251" s="1856"/>
      <c r="L251" s="1856"/>
      <c r="M251" s="1856"/>
      <c r="N251" s="1856"/>
      <c r="O251" s="1856"/>
      <c r="P251" s="1856"/>
      <c r="Q251" s="1856"/>
      <c r="R251" s="1856"/>
      <c r="S251" s="1856"/>
      <c r="T251" s="1856"/>
      <c r="U251" s="1856"/>
      <c r="V251" s="1856" t="s">
        <v>1054</v>
      </c>
      <c r="W251" s="1856"/>
      <c r="X251" s="1856"/>
      <c r="Y251" s="1851"/>
      <c r="Z251" s="1851"/>
      <c r="AA251" s="1851"/>
      <c r="AB251" s="1851"/>
      <c r="AC251" s="1851"/>
      <c r="AD251" s="1851"/>
      <c r="AE251" s="1851"/>
      <c r="AF251" s="1851"/>
      <c r="AG251" s="1851"/>
      <c r="AH251" s="1851"/>
      <c r="AI251" s="1851"/>
      <c r="AJ251" s="1851"/>
      <c r="AK251" s="1851"/>
      <c r="AL251" s="1851"/>
      <c r="AM251" s="1851"/>
      <c r="AN251" s="1851"/>
      <c r="AO251" s="1851"/>
      <c r="AP251" s="1851"/>
      <c r="AQ251" s="1851"/>
      <c r="AR251" s="1851"/>
      <c r="AS251" s="1851"/>
      <c r="AT251" s="1851"/>
      <c r="AU251" s="1851"/>
      <c r="AV251" s="1851"/>
      <c r="AW251" s="1851"/>
      <c r="AX251" s="1851"/>
      <c r="AY251" s="1851"/>
      <c r="AZ251" s="1851"/>
      <c r="BA251" s="1851"/>
      <c r="BB251" s="1851"/>
    </row>
    <row r="252" spans="1:54" x14ac:dyDescent="0.25">
      <c r="A252" s="1851">
        <v>248</v>
      </c>
      <c r="B252" s="1851"/>
      <c r="C252" s="1856" t="s">
        <v>998</v>
      </c>
      <c r="D252" s="1856"/>
      <c r="E252" s="1856"/>
      <c r="F252" s="1856"/>
      <c r="G252" s="1856"/>
      <c r="H252" s="1856"/>
      <c r="I252" s="1856"/>
      <c r="J252" s="1856"/>
      <c r="K252" s="1856"/>
      <c r="L252" s="1856"/>
      <c r="M252" s="1856"/>
      <c r="N252" s="1856"/>
      <c r="O252" s="1856"/>
      <c r="P252" s="1856"/>
      <c r="Q252" s="1856"/>
      <c r="R252" s="1856"/>
      <c r="S252" s="1856"/>
      <c r="T252" s="1856"/>
      <c r="U252" s="1856"/>
      <c r="V252" s="1865" t="s">
        <v>1054</v>
      </c>
      <c r="W252" s="1865"/>
      <c r="X252" s="1865"/>
      <c r="Y252" s="1851"/>
      <c r="Z252" s="1851"/>
      <c r="AA252" s="1851"/>
      <c r="AB252" s="1851"/>
      <c r="AC252" s="1851"/>
      <c r="AD252" s="1851"/>
      <c r="AE252" s="1851"/>
      <c r="AF252" s="1851"/>
      <c r="AG252" s="1851"/>
      <c r="AH252" s="1851"/>
      <c r="AI252" s="1851"/>
      <c r="AJ252" s="1851"/>
      <c r="AK252" s="1851"/>
      <c r="AL252" s="1851"/>
      <c r="AM252" s="1851"/>
      <c r="AN252" s="1851"/>
      <c r="AO252" s="1851"/>
      <c r="AP252" s="1851"/>
      <c r="AQ252" s="1851"/>
      <c r="AR252" s="1851"/>
      <c r="AS252" s="1851"/>
      <c r="AT252" s="1851"/>
      <c r="AU252" s="1851"/>
      <c r="AV252" s="1851"/>
      <c r="AW252" s="1851"/>
      <c r="AX252" s="1851"/>
      <c r="AY252" s="1851"/>
      <c r="AZ252" s="1851"/>
      <c r="BA252" s="1851"/>
      <c r="BB252" s="1851"/>
    </row>
    <row r="253" spans="1:54" x14ac:dyDescent="0.25">
      <c r="A253" s="1851">
        <v>249</v>
      </c>
      <c r="B253" s="1851"/>
      <c r="C253" s="1856" t="s">
        <v>999</v>
      </c>
      <c r="D253" s="1856"/>
      <c r="E253" s="1856"/>
      <c r="F253" s="1856"/>
      <c r="G253" s="1856"/>
      <c r="H253" s="1856"/>
      <c r="I253" s="1856"/>
      <c r="J253" s="1856"/>
      <c r="K253" s="1856"/>
      <c r="L253" s="1856"/>
      <c r="M253" s="1856"/>
      <c r="N253" s="1856"/>
      <c r="O253" s="1856"/>
      <c r="P253" s="1856"/>
      <c r="Q253" s="1856"/>
      <c r="R253" s="1856"/>
      <c r="S253" s="1856"/>
      <c r="T253" s="1856"/>
      <c r="U253" s="1856"/>
      <c r="V253" s="1856" t="s">
        <v>1054</v>
      </c>
      <c r="W253" s="1856"/>
      <c r="X253" s="1856"/>
      <c r="Y253" s="1851"/>
      <c r="Z253" s="1851"/>
      <c r="AA253" s="1851"/>
      <c r="AB253" s="1851"/>
      <c r="AC253" s="1851"/>
      <c r="AD253" s="1851"/>
      <c r="AE253" s="1851"/>
      <c r="AF253" s="1851"/>
      <c r="AG253" s="1851"/>
      <c r="AH253" s="1851"/>
      <c r="AI253" s="1851"/>
      <c r="AJ253" s="1851"/>
      <c r="AK253" s="1851"/>
      <c r="AL253" s="1851"/>
      <c r="AM253" s="1851"/>
      <c r="AN253" s="1851"/>
      <c r="AO253" s="1851"/>
      <c r="AP253" s="1851"/>
      <c r="AQ253" s="1851"/>
      <c r="AR253" s="1851"/>
      <c r="AS253" s="1851"/>
      <c r="AT253" s="1851"/>
      <c r="AU253" s="1851"/>
      <c r="AV253" s="1851"/>
      <c r="AW253" s="1851"/>
      <c r="AX253" s="1851"/>
      <c r="AY253" s="1851"/>
      <c r="AZ253" s="1851"/>
      <c r="BA253" s="1851"/>
      <c r="BB253" s="1851"/>
    </row>
    <row r="254" spans="1:54" x14ac:dyDescent="0.25">
      <c r="A254" s="1851">
        <v>250</v>
      </c>
      <c r="B254" s="1851"/>
      <c r="C254" s="1856" t="s">
        <v>1000</v>
      </c>
      <c r="D254" s="1856"/>
      <c r="E254" s="1856"/>
      <c r="F254" s="1856"/>
      <c r="G254" s="1856"/>
      <c r="H254" s="1856"/>
      <c r="I254" s="1856"/>
      <c r="J254" s="1856"/>
      <c r="K254" s="1856"/>
      <c r="L254" s="1856"/>
      <c r="M254" s="1856"/>
      <c r="N254" s="1856"/>
      <c r="O254" s="1856"/>
      <c r="P254" s="1856"/>
      <c r="Q254" s="1856"/>
      <c r="R254" s="1856"/>
      <c r="S254" s="1856"/>
      <c r="T254" s="1856"/>
      <c r="U254" s="1856"/>
      <c r="V254" s="1865" t="s">
        <v>1054</v>
      </c>
      <c r="W254" s="1865"/>
      <c r="X254" s="1865"/>
      <c r="Y254" s="1851"/>
      <c r="Z254" s="1851"/>
      <c r="AA254" s="1851"/>
      <c r="AB254" s="1851"/>
      <c r="AC254" s="1851"/>
      <c r="AD254" s="1851"/>
      <c r="AE254" s="1851"/>
      <c r="AF254" s="1851"/>
      <c r="AG254" s="1851"/>
      <c r="AH254" s="1851"/>
      <c r="AI254" s="1851"/>
      <c r="AJ254" s="1851"/>
      <c r="AK254" s="1851"/>
      <c r="AL254" s="1851"/>
      <c r="AM254" s="1851"/>
      <c r="AN254" s="1851"/>
      <c r="AO254" s="1851"/>
      <c r="AP254" s="1851"/>
      <c r="AQ254" s="1851"/>
      <c r="AR254" s="1851"/>
      <c r="AS254" s="1851"/>
      <c r="AT254" s="1851"/>
      <c r="AU254" s="1851"/>
      <c r="AV254" s="1851"/>
      <c r="AW254" s="1851"/>
      <c r="AX254" s="1851"/>
      <c r="AY254" s="1851"/>
      <c r="AZ254" s="1851"/>
      <c r="BA254" s="1851"/>
      <c r="BB254" s="1851"/>
    </row>
    <row r="255" spans="1:54" x14ac:dyDescent="0.25">
      <c r="A255" s="1851">
        <v>251</v>
      </c>
      <c r="B255" s="1851"/>
      <c r="C255" s="1856" t="s">
        <v>1001</v>
      </c>
      <c r="D255" s="1856"/>
      <c r="E255" s="1856"/>
      <c r="F255" s="1856"/>
      <c r="G255" s="1856"/>
      <c r="H255" s="1856"/>
      <c r="I255" s="1856"/>
      <c r="J255" s="1856"/>
      <c r="K255" s="1856"/>
      <c r="L255" s="1856"/>
      <c r="M255" s="1856"/>
      <c r="N255" s="1856"/>
      <c r="O255" s="1856"/>
      <c r="P255" s="1856"/>
      <c r="Q255" s="1856"/>
      <c r="R255" s="1856"/>
      <c r="S255" s="1856"/>
      <c r="T255" s="1856"/>
      <c r="U255" s="1856"/>
      <c r="V255" s="1856" t="s">
        <v>1054</v>
      </c>
      <c r="W255" s="1856"/>
      <c r="X255" s="1856"/>
      <c r="Y255" s="1851"/>
      <c r="Z255" s="1851"/>
      <c r="AA255" s="1851"/>
      <c r="AB255" s="1851"/>
      <c r="AC255" s="1851"/>
      <c r="AD255" s="1851"/>
      <c r="AE255" s="1851"/>
      <c r="AF255" s="1851"/>
      <c r="AG255" s="1851"/>
      <c r="AH255" s="1851"/>
      <c r="AI255" s="1851"/>
      <c r="AJ255" s="1851"/>
      <c r="AK255" s="1851"/>
      <c r="AL255" s="1851"/>
      <c r="AM255" s="1851"/>
      <c r="AN255" s="1851"/>
      <c r="AO255" s="1851"/>
      <c r="AP255" s="1851"/>
      <c r="AQ255" s="1851"/>
      <c r="AR255" s="1851"/>
      <c r="AS255" s="1851"/>
      <c r="AT255" s="1851"/>
      <c r="AU255" s="1851"/>
      <c r="AV255" s="1851"/>
      <c r="AW255" s="1851"/>
      <c r="AX255" s="1851"/>
      <c r="AY255" s="1851"/>
      <c r="AZ255" s="1851"/>
      <c r="BA255" s="1851"/>
      <c r="BB255" s="1851"/>
    </row>
    <row r="256" spans="1:54" x14ac:dyDescent="0.25">
      <c r="A256" s="1851">
        <v>252</v>
      </c>
      <c r="B256" s="1851"/>
      <c r="C256" s="1856" t="s">
        <v>1002</v>
      </c>
      <c r="D256" s="1856"/>
      <c r="E256" s="1856"/>
      <c r="F256" s="1856"/>
      <c r="G256" s="1856"/>
      <c r="H256" s="1856"/>
      <c r="I256" s="1856"/>
      <c r="J256" s="1856"/>
      <c r="K256" s="1856"/>
      <c r="L256" s="1856"/>
      <c r="M256" s="1856"/>
      <c r="N256" s="1856"/>
      <c r="O256" s="1856"/>
      <c r="P256" s="1856"/>
      <c r="Q256" s="1856"/>
      <c r="R256" s="1856"/>
      <c r="S256" s="1856"/>
      <c r="T256" s="1856"/>
      <c r="U256" s="1856"/>
      <c r="V256" s="1865" t="s">
        <v>1054</v>
      </c>
      <c r="W256" s="1865"/>
      <c r="X256" s="1865"/>
      <c r="Y256" s="1851"/>
      <c r="Z256" s="1851"/>
      <c r="AA256" s="1851"/>
      <c r="AB256" s="1851"/>
      <c r="AC256" s="1851"/>
      <c r="AD256" s="1851"/>
      <c r="AE256" s="1851"/>
      <c r="AF256" s="1851"/>
      <c r="AG256" s="1851"/>
      <c r="AH256" s="1851"/>
      <c r="AI256" s="1851"/>
      <c r="AJ256" s="1851"/>
      <c r="AK256" s="1851"/>
      <c r="AL256" s="1851"/>
      <c r="AM256" s="1851"/>
      <c r="AN256" s="1851"/>
      <c r="AO256" s="1851"/>
      <c r="AP256" s="1851"/>
      <c r="AQ256" s="1851"/>
      <c r="AR256" s="1851"/>
      <c r="AS256" s="1851"/>
      <c r="AT256" s="1851"/>
      <c r="AU256" s="1851"/>
      <c r="AV256" s="1851"/>
      <c r="AW256" s="1851"/>
      <c r="AX256" s="1851"/>
      <c r="AY256" s="1851"/>
      <c r="AZ256" s="1851"/>
      <c r="BA256" s="1851"/>
      <c r="BB256" s="1851"/>
    </row>
    <row r="257" spans="1:54" x14ac:dyDescent="0.25">
      <c r="A257" s="1851">
        <v>253</v>
      </c>
      <c r="B257" s="1851"/>
      <c r="C257" s="1856" t="s">
        <v>1003</v>
      </c>
      <c r="D257" s="1856"/>
      <c r="E257" s="1856"/>
      <c r="F257" s="1856"/>
      <c r="G257" s="1856"/>
      <c r="H257" s="1856"/>
      <c r="I257" s="1856"/>
      <c r="J257" s="1856"/>
      <c r="K257" s="1856"/>
      <c r="L257" s="1856"/>
      <c r="M257" s="1856"/>
      <c r="N257" s="1856"/>
      <c r="O257" s="1856"/>
      <c r="P257" s="1856"/>
      <c r="Q257" s="1856"/>
      <c r="R257" s="1856"/>
      <c r="S257" s="1856"/>
      <c r="T257" s="1856"/>
      <c r="U257" s="1856"/>
      <c r="V257" s="1856" t="s">
        <v>1054</v>
      </c>
      <c r="W257" s="1856"/>
      <c r="X257" s="1856"/>
      <c r="Y257" s="1851"/>
      <c r="Z257" s="1851"/>
      <c r="AA257" s="1851"/>
      <c r="AB257" s="1851"/>
      <c r="AC257" s="1851"/>
      <c r="AD257" s="1851"/>
      <c r="AE257" s="1851"/>
      <c r="AF257" s="1851"/>
      <c r="AG257" s="1851"/>
      <c r="AH257" s="1851"/>
      <c r="AI257" s="1851"/>
      <c r="AJ257" s="1851"/>
      <c r="AK257" s="1851"/>
      <c r="AL257" s="1851"/>
      <c r="AM257" s="1851"/>
      <c r="AN257" s="1851"/>
      <c r="AO257" s="1851"/>
      <c r="AP257" s="1851"/>
      <c r="AQ257" s="1851"/>
      <c r="AR257" s="1851"/>
      <c r="AS257" s="1851"/>
      <c r="AT257" s="1851"/>
      <c r="AU257" s="1851"/>
      <c r="AV257" s="1851"/>
      <c r="AW257" s="1851"/>
      <c r="AX257" s="1851"/>
      <c r="AY257" s="1851"/>
      <c r="AZ257" s="1851"/>
      <c r="BA257" s="1851"/>
      <c r="BB257" s="1851"/>
    </row>
    <row r="258" spans="1:54" x14ac:dyDescent="0.25">
      <c r="A258" s="1851">
        <v>254</v>
      </c>
      <c r="B258" s="1851"/>
      <c r="C258" s="1856" t="s">
        <v>1004</v>
      </c>
      <c r="D258" s="1856"/>
      <c r="E258" s="1856"/>
      <c r="F258" s="1856"/>
      <c r="G258" s="1856"/>
      <c r="H258" s="1856"/>
      <c r="I258" s="1856"/>
      <c r="J258" s="1856"/>
      <c r="K258" s="1856"/>
      <c r="L258" s="1856"/>
      <c r="M258" s="1856"/>
      <c r="N258" s="1856"/>
      <c r="O258" s="1856"/>
      <c r="P258" s="1856"/>
      <c r="Q258" s="1856"/>
      <c r="R258" s="1856"/>
      <c r="S258" s="1856"/>
      <c r="T258" s="1856"/>
      <c r="U258" s="1856"/>
      <c r="V258" s="1865" t="s">
        <v>1054</v>
      </c>
      <c r="W258" s="1865"/>
      <c r="X258" s="1865"/>
      <c r="Y258" s="1851"/>
      <c r="Z258" s="1851"/>
      <c r="AA258" s="1851"/>
      <c r="AB258" s="1851"/>
      <c r="AC258" s="1851"/>
      <c r="AD258" s="1851"/>
      <c r="AE258" s="1851"/>
      <c r="AF258" s="1851"/>
      <c r="AG258" s="1851"/>
      <c r="AH258" s="1851"/>
      <c r="AI258" s="1851"/>
      <c r="AJ258" s="1851"/>
      <c r="AK258" s="1851"/>
      <c r="AL258" s="1851"/>
      <c r="AM258" s="1851"/>
      <c r="AN258" s="1851"/>
      <c r="AO258" s="1851"/>
      <c r="AP258" s="1851"/>
      <c r="AQ258" s="1851"/>
      <c r="AR258" s="1851"/>
      <c r="AS258" s="1851"/>
      <c r="AT258" s="1851"/>
      <c r="AU258" s="1851"/>
      <c r="AV258" s="1851"/>
      <c r="AW258" s="1851"/>
      <c r="AX258" s="1851"/>
      <c r="AY258" s="1851"/>
      <c r="AZ258" s="1851"/>
      <c r="BA258" s="1851"/>
      <c r="BB258" s="1851"/>
    </row>
    <row r="259" spans="1:54" x14ac:dyDescent="0.25">
      <c r="A259" s="1851">
        <v>255</v>
      </c>
      <c r="B259" s="1851"/>
      <c r="C259" s="1856" t="s">
        <v>1005</v>
      </c>
      <c r="D259" s="1856"/>
      <c r="E259" s="1856"/>
      <c r="F259" s="1856"/>
      <c r="G259" s="1856"/>
      <c r="H259" s="1856"/>
      <c r="I259" s="1856"/>
      <c r="J259" s="1856"/>
      <c r="K259" s="1856"/>
      <c r="L259" s="1856"/>
      <c r="M259" s="1856"/>
      <c r="N259" s="1856"/>
      <c r="O259" s="1856"/>
      <c r="P259" s="1856"/>
      <c r="Q259" s="1856"/>
      <c r="R259" s="1856"/>
      <c r="S259" s="1856"/>
      <c r="T259" s="1856"/>
      <c r="U259" s="1856"/>
      <c r="V259" s="1856" t="s">
        <v>1054</v>
      </c>
      <c r="W259" s="1856"/>
      <c r="X259" s="1856"/>
      <c r="Y259" s="1851"/>
      <c r="Z259" s="1851"/>
      <c r="AA259" s="1851"/>
      <c r="AB259" s="1851"/>
      <c r="AC259" s="1851"/>
      <c r="AD259" s="1851"/>
      <c r="AE259" s="1851"/>
      <c r="AF259" s="1851"/>
      <c r="AG259" s="1851"/>
      <c r="AH259" s="1851"/>
      <c r="AI259" s="1851"/>
      <c r="AJ259" s="1851"/>
      <c r="AK259" s="1851"/>
      <c r="AL259" s="1851"/>
      <c r="AM259" s="1851"/>
      <c r="AN259" s="1851"/>
      <c r="AO259" s="1851"/>
      <c r="AP259" s="1851"/>
      <c r="AQ259" s="1851"/>
      <c r="AR259" s="1851"/>
      <c r="AS259" s="1851"/>
      <c r="AT259" s="1851"/>
      <c r="AU259" s="1851"/>
      <c r="AV259" s="1851"/>
      <c r="AW259" s="1851"/>
      <c r="AX259" s="1851"/>
      <c r="AY259" s="1851"/>
      <c r="AZ259" s="1851"/>
      <c r="BA259" s="1851"/>
      <c r="BB259" s="1851"/>
    </row>
    <row r="260" spans="1:54" x14ac:dyDescent="0.25">
      <c r="A260" s="1851">
        <v>256</v>
      </c>
      <c r="B260" s="1851"/>
      <c r="C260" s="1856" t="s">
        <v>1006</v>
      </c>
      <c r="D260" s="1856"/>
      <c r="E260" s="1856"/>
      <c r="F260" s="1856"/>
      <c r="G260" s="1856"/>
      <c r="H260" s="1856"/>
      <c r="I260" s="1856"/>
      <c r="J260" s="1856"/>
      <c r="K260" s="1856"/>
      <c r="L260" s="1856"/>
      <c r="M260" s="1856"/>
      <c r="N260" s="1856"/>
      <c r="O260" s="1856"/>
      <c r="P260" s="1856"/>
      <c r="Q260" s="1856"/>
      <c r="R260" s="1856"/>
      <c r="S260" s="1856"/>
      <c r="T260" s="1856"/>
      <c r="U260" s="1856"/>
      <c r="V260" s="1865" t="s">
        <v>1054</v>
      </c>
      <c r="W260" s="1865"/>
      <c r="X260" s="1865"/>
      <c r="Y260" s="1851"/>
      <c r="Z260" s="1851"/>
      <c r="AA260" s="1851"/>
      <c r="AB260" s="1851"/>
      <c r="AC260" s="1851"/>
      <c r="AD260" s="1851"/>
      <c r="AE260" s="1851"/>
      <c r="AF260" s="1851"/>
      <c r="AG260" s="1851"/>
      <c r="AH260" s="1851"/>
      <c r="AI260" s="1851"/>
      <c r="AJ260" s="1851"/>
      <c r="AK260" s="1851"/>
      <c r="AL260" s="1851"/>
      <c r="AM260" s="1851"/>
      <c r="AN260" s="1851"/>
      <c r="AO260" s="1851"/>
      <c r="AP260" s="1851"/>
      <c r="AQ260" s="1851"/>
      <c r="AR260" s="1851"/>
      <c r="AS260" s="1851"/>
      <c r="AT260" s="1851"/>
      <c r="AU260" s="1851"/>
      <c r="AV260" s="1851"/>
      <c r="AW260" s="1851"/>
      <c r="AX260" s="1851"/>
      <c r="AY260" s="1851"/>
      <c r="AZ260" s="1851"/>
      <c r="BA260" s="1851"/>
      <c r="BB260" s="1851"/>
    </row>
    <row r="261" spans="1:54" x14ac:dyDescent="0.25">
      <c r="A261" s="1851">
        <v>257</v>
      </c>
      <c r="B261" s="1851"/>
      <c r="C261" s="1862" t="s">
        <v>1055</v>
      </c>
      <c r="D261" s="1862"/>
      <c r="E261" s="1862"/>
      <c r="F261" s="1862"/>
      <c r="G261" s="1862"/>
      <c r="H261" s="1862"/>
      <c r="I261" s="1862"/>
      <c r="J261" s="1862"/>
      <c r="K261" s="1862"/>
      <c r="L261" s="1862"/>
      <c r="M261" s="1862"/>
      <c r="N261" s="1862"/>
      <c r="O261" s="1862"/>
      <c r="P261" s="1862"/>
      <c r="Q261" s="1862"/>
      <c r="R261" s="1862"/>
      <c r="S261" s="1862"/>
      <c r="T261" s="1862"/>
      <c r="U261" s="1862"/>
      <c r="V261" s="1865" t="s">
        <v>1056</v>
      </c>
      <c r="W261" s="1865"/>
      <c r="X261" s="1865"/>
      <c r="Y261" s="1851"/>
      <c r="Z261" s="1851"/>
      <c r="AA261" s="1851"/>
      <c r="AB261" s="1851"/>
      <c r="AC261" s="1851"/>
      <c r="AD261" s="1851"/>
      <c r="AE261" s="1851"/>
      <c r="AF261" s="1851"/>
      <c r="AG261" s="1851"/>
      <c r="AH261" s="1851"/>
      <c r="AI261" s="1851"/>
      <c r="AJ261" s="1851"/>
      <c r="AK261" s="1851"/>
      <c r="AL261" s="1851"/>
      <c r="AM261" s="1851"/>
      <c r="AN261" s="1851"/>
      <c r="AO261" s="1851"/>
      <c r="AP261" s="1851"/>
      <c r="AQ261" s="1851"/>
      <c r="AR261" s="1851"/>
      <c r="AS261" s="1851"/>
      <c r="AT261" s="1851"/>
      <c r="AU261" s="1851"/>
      <c r="AV261" s="1851"/>
      <c r="AW261" s="1851"/>
      <c r="AX261" s="1851"/>
      <c r="AY261" s="1851"/>
      <c r="AZ261" s="1851"/>
      <c r="BA261" s="1851"/>
      <c r="BB261" s="1851"/>
    </row>
    <row r="262" spans="1:54" x14ac:dyDescent="0.25">
      <c r="A262" s="1851">
        <v>258</v>
      </c>
      <c r="B262" s="1851"/>
      <c r="C262" s="1856" t="s">
        <v>1057</v>
      </c>
      <c r="D262" s="1856"/>
      <c r="E262" s="1856"/>
      <c r="F262" s="1856"/>
      <c r="G262" s="1856"/>
      <c r="H262" s="1856"/>
      <c r="I262" s="1856"/>
      <c r="J262" s="1856"/>
      <c r="K262" s="1856"/>
      <c r="L262" s="1856"/>
      <c r="M262" s="1856"/>
      <c r="N262" s="1856"/>
      <c r="O262" s="1856"/>
      <c r="P262" s="1856"/>
      <c r="Q262" s="1856"/>
      <c r="R262" s="1856"/>
      <c r="S262" s="1856"/>
      <c r="T262" s="1856"/>
      <c r="U262" s="1856"/>
      <c r="V262" s="1865" t="s">
        <v>1058</v>
      </c>
      <c r="W262" s="1865"/>
      <c r="X262" s="1865"/>
      <c r="Y262" s="1857"/>
      <c r="Z262" s="1858"/>
      <c r="AA262" s="1858"/>
      <c r="AB262" s="1858"/>
      <c r="AC262" s="1859"/>
      <c r="AD262" s="1859"/>
      <c r="AE262" s="1857"/>
      <c r="AF262" s="1858"/>
      <c r="AG262" s="1858"/>
      <c r="AH262" s="1858"/>
      <c r="AI262" s="1859"/>
      <c r="AJ262" s="1859"/>
      <c r="AK262" s="1857"/>
      <c r="AL262" s="1858"/>
      <c r="AM262" s="1858"/>
      <c r="AN262" s="1858"/>
      <c r="AO262" s="1859"/>
      <c r="AP262" s="1859"/>
      <c r="AQ262" s="1857"/>
      <c r="AR262" s="1858"/>
      <c r="AS262" s="1858"/>
      <c r="AT262" s="1858"/>
      <c r="AU262" s="1859"/>
      <c r="AV262" s="1859"/>
      <c r="AW262" s="1857"/>
      <c r="AX262" s="1858"/>
      <c r="AY262" s="1858"/>
      <c r="AZ262" s="1858"/>
      <c r="BA262" s="1859"/>
      <c r="BB262" s="1859"/>
    </row>
    <row r="263" spans="1:54" x14ac:dyDescent="0.25">
      <c r="A263" s="1851">
        <v>259</v>
      </c>
      <c r="B263" s="1851"/>
      <c r="C263" s="1856" t="s">
        <v>996</v>
      </c>
      <c r="D263" s="1856"/>
      <c r="E263" s="1856"/>
      <c r="F263" s="1856"/>
      <c r="G263" s="1856"/>
      <c r="H263" s="1856"/>
      <c r="I263" s="1856"/>
      <c r="J263" s="1856"/>
      <c r="K263" s="1856"/>
      <c r="L263" s="1856"/>
      <c r="M263" s="1856"/>
      <c r="N263" s="1856"/>
      <c r="O263" s="1856"/>
      <c r="P263" s="1856"/>
      <c r="Q263" s="1856"/>
      <c r="R263" s="1856"/>
      <c r="S263" s="1856"/>
      <c r="T263" s="1856"/>
      <c r="U263" s="1856"/>
      <c r="V263" s="1856" t="s">
        <v>1058</v>
      </c>
      <c r="W263" s="1856"/>
      <c r="X263" s="1856"/>
      <c r="Y263" s="1851"/>
      <c r="Z263" s="1851"/>
      <c r="AA263" s="1851"/>
      <c r="AB263" s="1851"/>
      <c r="AC263" s="1851"/>
      <c r="AD263" s="1851"/>
      <c r="AE263" s="1851"/>
      <c r="AF263" s="1851"/>
      <c r="AG263" s="1851"/>
      <c r="AH263" s="1851"/>
      <c r="AI263" s="1851"/>
      <c r="AJ263" s="1851"/>
      <c r="AK263" s="1851"/>
      <c r="AL263" s="1851"/>
      <c r="AM263" s="1851"/>
      <c r="AN263" s="1851"/>
      <c r="AO263" s="1851"/>
      <c r="AP263" s="1851"/>
      <c r="AQ263" s="1851"/>
      <c r="AR263" s="1851"/>
      <c r="AS263" s="1851"/>
      <c r="AT263" s="1851"/>
      <c r="AU263" s="1851"/>
      <c r="AV263" s="1851"/>
      <c r="AW263" s="1851"/>
      <c r="AX263" s="1851"/>
      <c r="AY263" s="1851"/>
      <c r="AZ263" s="1851"/>
      <c r="BA263" s="1851"/>
      <c r="BB263" s="1851"/>
    </row>
    <row r="264" spans="1:54" x14ac:dyDescent="0.25">
      <c r="A264" s="1851">
        <v>260</v>
      </c>
      <c r="B264" s="1851"/>
      <c r="C264" s="1856" t="s">
        <v>997</v>
      </c>
      <c r="D264" s="1856"/>
      <c r="E264" s="1856"/>
      <c r="F264" s="1856"/>
      <c r="G264" s="1856"/>
      <c r="H264" s="1856"/>
      <c r="I264" s="1856"/>
      <c r="J264" s="1856"/>
      <c r="K264" s="1856"/>
      <c r="L264" s="1856"/>
      <c r="M264" s="1856"/>
      <c r="N264" s="1856"/>
      <c r="O264" s="1856"/>
      <c r="P264" s="1856"/>
      <c r="Q264" s="1856"/>
      <c r="R264" s="1856"/>
      <c r="S264" s="1856"/>
      <c r="T264" s="1856"/>
      <c r="U264" s="1856"/>
      <c r="V264" s="1856" t="s">
        <v>1058</v>
      </c>
      <c r="W264" s="1856"/>
      <c r="X264" s="1856"/>
      <c r="Y264" s="1851"/>
      <c r="Z264" s="1851"/>
      <c r="AA264" s="1851"/>
      <c r="AB264" s="1851"/>
      <c r="AC264" s="1851"/>
      <c r="AD264" s="1851"/>
      <c r="AE264" s="1851"/>
      <c r="AF264" s="1851"/>
      <c r="AG264" s="1851"/>
      <c r="AH264" s="1851"/>
      <c r="AI264" s="1851"/>
      <c r="AJ264" s="1851"/>
      <c r="AK264" s="1851"/>
      <c r="AL264" s="1851"/>
      <c r="AM264" s="1851"/>
      <c r="AN264" s="1851"/>
      <c r="AO264" s="1851"/>
      <c r="AP264" s="1851"/>
      <c r="AQ264" s="1851"/>
      <c r="AR264" s="1851"/>
      <c r="AS264" s="1851"/>
      <c r="AT264" s="1851"/>
      <c r="AU264" s="1851"/>
      <c r="AV264" s="1851"/>
      <c r="AW264" s="1851"/>
      <c r="AX264" s="1851"/>
      <c r="AY264" s="1851"/>
      <c r="AZ264" s="1851"/>
      <c r="BA264" s="1851"/>
      <c r="BB264" s="1851"/>
    </row>
    <row r="265" spans="1:54" x14ac:dyDescent="0.25">
      <c r="A265" s="1851">
        <v>261</v>
      </c>
      <c r="B265" s="1851"/>
      <c r="C265" s="1856" t="s">
        <v>998</v>
      </c>
      <c r="D265" s="1856"/>
      <c r="E265" s="1856"/>
      <c r="F265" s="1856"/>
      <c r="G265" s="1856"/>
      <c r="H265" s="1856"/>
      <c r="I265" s="1856"/>
      <c r="J265" s="1856"/>
      <c r="K265" s="1856"/>
      <c r="L265" s="1856"/>
      <c r="M265" s="1856"/>
      <c r="N265" s="1856"/>
      <c r="O265" s="1856"/>
      <c r="P265" s="1856"/>
      <c r="Q265" s="1856"/>
      <c r="R265" s="1856"/>
      <c r="S265" s="1856"/>
      <c r="T265" s="1856"/>
      <c r="U265" s="1856"/>
      <c r="V265" s="1856" t="s">
        <v>1058</v>
      </c>
      <c r="W265" s="1856"/>
      <c r="X265" s="1856"/>
      <c r="Y265" s="1851"/>
      <c r="Z265" s="1851"/>
      <c r="AA265" s="1851"/>
      <c r="AB265" s="1851"/>
      <c r="AC265" s="1851"/>
      <c r="AD265" s="1851"/>
      <c r="AE265" s="1851"/>
      <c r="AF265" s="1851"/>
      <c r="AG265" s="1851"/>
      <c r="AH265" s="1851"/>
      <c r="AI265" s="1851"/>
      <c r="AJ265" s="1851"/>
      <c r="AK265" s="1851"/>
      <c r="AL265" s="1851"/>
      <c r="AM265" s="1851"/>
      <c r="AN265" s="1851"/>
      <c r="AO265" s="1851"/>
      <c r="AP265" s="1851"/>
      <c r="AQ265" s="1851"/>
      <c r="AR265" s="1851"/>
      <c r="AS265" s="1851"/>
      <c r="AT265" s="1851"/>
      <c r="AU265" s="1851"/>
      <c r="AV265" s="1851"/>
      <c r="AW265" s="1851"/>
      <c r="AX265" s="1851"/>
      <c r="AY265" s="1851"/>
      <c r="AZ265" s="1851"/>
      <c r="BA265" s="1851"/>
      <c r="BB265" s="1851"/>
    </row>
    <row r="266" spans="1:54" x14ac:dyDescent="0.25">
      <c r="A266" s="1851">
        <v>262</v>
      </c>
      <c r="B266" s="1851"/>
      <c r="C266" s="1856" t="s">
        <v>999</v>
      </c>
      <c r="D266" s="1856"/>
      <c r="E266" s="1856"/>
      <c r="F266" s="1856"/>
      <c r="G266" s="1856"/>
      <c r="H266" s="1856"/>
      <c r="I266" s="1856"/>
      <c r="J266" s="1856"/>
      <c r="K266" s="1856"/>
      <c r="L266" s="1856"/>
      <c r="M266" s="1856"/>
      <c r="N266" s="1856"/>
      <c r="O266" s="1856"/>
      <c r="P266" s="1856"/>
      <c r="Q266" s="1856"/>
      <c r="R266" s="1856"/>
      <c r="S266" s="1856"/>
      <c r="T266" s="1856"/>
      <c r="U266" s="1856"/>
      <c r="V266" s="1856" t="s">
        <v>1058</v>
      </c>
      <c r="W266" s="1856"/>
      <c r="X266" s="1856"/>
      <c r="Y266" s="1851"/>
      <c r="Z266" s="1851"/>
      <c r="AA266" s="1851"/>
      <c r="AB266" s="1851"/>
      <c r="AC266" s="1851"/>
      <c r="AD266" s="1851"/>
      <c r="AE266" s="1851"/>
      <c r="AF266" s="1851"/>
      <c r="AG266" s="1851"/>
      <c r="AH266" s="1851"/>
      <c r="AI266" s="1851"/>
      <c r="AJ266" s="1851"/>
      <c r="AK266" s="1851"/>
      <c r="AL266" s="1851"/>
      <c r="AM266" s="1851"/>
      <c r="AN266" s="1851"/>
      <c r="AO266" s="1851"/>
      <c r="AP266" s="1851"/>
      <c r="AQ266" s="1851"/>
      <c r="AR266" s="1851"/>
      <c r="AS266" s="1851"/>
      <c r="AT266" s="1851"/>
      <c r="AU266" s="1851"/>
      <c r="AV266" s="1851"/>
      <c r="AW266" s="1851"/>
      <c r="AX266" s="1851"/>
      <c r="AY266" s="1851"/>
      <c r="AZ266" s="1851"/>
      <c r="BA266" s="1851"/>
      <c r="BB266" s="1851"/>
    </row>
    <row r="267" spans="1:54" x14ac:dyDescent="0.25">
      <c r="A267" s="1851">
        <v>263</v>
      </c>
      <c r="B267" s="1851"/>
      <c r="C267" s="1856" t="s">
        <v>1000</v>
      </c>
      <c r="D267" s="1856"/>
      <c r="E267" s="1856"/>
      <c r="F267" s="1856"/>
      <c r="G267" s="1856"/>
      <c r="H267" s="1856"/>
      <c r="I267" s="1856"/>
      <c r="J267" s="1856"/>
      <c r="K267" s="1856"/>
      <c r="L267" s="1856"/>
      <c r="M267" s="1856"/>
      <c r="N267" s="1856"/>
      <c r="O267" s="1856"/>
      <c r="P267" s="1856"/>
      <c r="Q267" s="1856"/>
      <c r="R267" s="1856"/>
      <c r="S267" s="1856"/>
      <c r="T267" s="1856"/>
      <c r="U267" s="1856"/>
      <c r="V267" s="1856" t="s">
        <v>1058</v>
      </c>
      <c r="W267" s="1856"/>
      <c r="X267" s="1856"/>
      <c r="Y267" s="1851"/>
      <c r="Z267" s="1851"/>
      <c r="AA267" s="1851"/>
      <c r="AB267" s="1851"/>
      <c r="AC267" s="1851"/>
      <c r="AD267" s="1851"/>
      <c r="AE267" s="1851"/>
      <c r="AF267" s="1851"/>
      <c r="AG267" s="1851"/>
      <c r="AH267" s="1851"/>
      <c r="AI267" s="1851"/>
      <c r="AJ267" s="1851"/>
      <c r="AK267" s="1851"/>
      <c r="AL267" s="1851"/>
      <c r="AM267" s="1851"/>
      <c r="AN267" s="1851"/>
      <c r="AO267" s="1851"/>
      <c r="AP267" s="1851"/>
      <c r="AQ267" s="1851"/>
      <c r="AR267" s="1851"/>
      <c r="AS267" s="1851"/>
      <c r="AT267" s="1851"/>
      <c r="AU267" s="1851"/>
      <c r="AV267" s="1851"/>
      <c r="AW267" s="1851"/>
      <c r="AX267" s="1851"/>
      <c r="AY267" s="1851"/>
      <c r="AZ267" s="1851"/>
      <c r="BA267" s="1851"/>
      <c r="BB267" s="1851"/>
    </row>
    <row r="268" spans="1:54" x14ac:dyDescent="0.25">
      <c r="A268" s="1851">
        <v>264</v>
      </c>
      <c r="B268" s="1851"/>
      <c r="C268" s="1856" t="s">
        <v>1001</v>
      </c>
      <c r="D268" s="1856"/>
      <c r="E268" s="1856"/>
      <c r="F268" s="1856"/>
      <c r="G268" s="1856"/>
      <c r="H268" s="1856"/>
      <c r="I268" s="1856"/>
      <c r="J268" s="1856"/>
      <c r="K268" s="1856"/>
      <c r="L268" s="1856"/>
      <c r="M268" s="1856"/>
      <c r="N268" s="1856"/>
      <c r="O268" s="1856"/>
      <c r="P268" s="1856"/>
      <c r="Q268" s="1856"/>
      <c r="R268" s="1856"/>
      <c r="S268" s="1856"/>
      <c r="T268" s="1856"/>
      <c r="U268" s="1856"/>
      <c r="V268" s="1856" t="s">
        <v>1058</v>
      </c>
      <c r="W268" s="1856"/>
      <c r="X268" s="1856"/>
      <c r="Y268" s="1851"/>
      <c r="Z268" s="1851"/>
      <c r="AA268" s="1851"/>
      <c r="AB268" s="1851"/>
      <c r="AC268" s="1851"/>
      <c r="AD268" s="1851"/>
      <c r="AE268" s="1851"/>
      <c r="AF268" s="1851"/>
      <c r="AG268" s="1851"/>
      <c r="AH268" s="1851"/>
      <c r="AI268" s="1851"/>
      <c r="AJ268" s="1851"/>
      <c r="AK268" s="1851"/>
      <c r="AL268" s="1851"/>
      <c r="AM268" s="1851"/>
      <c r="AN268" s="1851"/>
      <c r="AO268" s="1851"/>
      <c r="AP268" s="1851"/>
      <c r="AQ268" s="1851"/>
      <c r="AR268" s="1851"/>
      <c r="AS268" s="1851"/>
      <c r="AT268" s="1851"/>
      <c r="AU268" s="1851"/>
      <c r="AV268" s="1851"/>
      <c r="AW268" s="1851"/>
      <c r="AX268" s="1851"/>
      <c r="AY268" s="1851"/>
      <c r="AZ268" s="1851"/>
      <c r="BA268" s="1851"/>
      <c r="BB268" s="1851"/>
    </row>
    <row r="269" spans="1:54" x14ac:dyDescent="0.25">
      <c r="A269" s="1851">
        <v>265</v>
      </c>
      <c r="B269" s="1851"/>
      <c r="C269" s="1856" t="s">
        <v>1002</v>
      </c>
      <c r="D269" s="1856"/>
      <c r="E269" s="1856"/>
      <c r="F269" s="1856"/>
      <c r="G269" s="1856"/>
      <c r="H269" s="1856"/>
      <c r="I269" s="1856"/>
      <c r="J269" s="1856"/>
      <c r="K269" s="1856"/>
      <c r="L269" s="1856"/>
      <c r="M269" s="1856"/>
      <c r="N269" s="1856"/>
      <c r="O269" s="1856"/>
      <c r="P269" s="1856"/>
      <c r="Q269" s="1856"/>
      <c r="R269" s="1856"/>
      <c r="S269" s="1856"/>
      <c r="T269" s="1856"/>
      <c r="U269" s="1856"/>
      <c r="V269" s="1856" t="s">
        <v>1058</v>
      </c>
      <c r="W269" s="1856"/>
      <c r="X269" s="1856"/>
      <c r="Y269" s="1851"/>
      <c r="Z269" s="1851"/>
      <c r="AA269" s="1851"/>
      <c r="AB269" s="1851"/>
      <c r="AC269" s="1851"/>
      <c r="AD269" s="1851"/>
      <c r="AE269" s="1851"/>
      <c r="AF269" s="1851"/>
      <c r="AG269" s="1851"/>
      <c r="AH269" s="1851"/>
      <c r="AI269" s="1851"/>
      <c r="AJ269" s="1851"/>
      <c r="AK269" s="1851"/>
      <c r="AL269" s="1851"/>
      <c r="AM269" s="1851"/>
      <c r="AN269" s="1851"/>
      <c r="AO269" s="1851"/>
      <c r="AP269" s="1851"/>
      <c r="AQ269" s="1851"/>
      <c r="AR269" s="1851"/>
      <c r="AS269" s="1851"/>
      <c r="AT269" s="1851"/>
      <c r="AU269" s="1851"/>
      <c r="AV269" s="1851"/>
      <c r="AW269" s="1851"/>
      <c r="AX269" s="1851"/>
      <c r="AY269" s="1851"/>
      <c r="AZ269" s="1851"/>
      <c r="BA269" s="1851"/>
      <c r="BB269" s="1851"/>
    </row>
    <row r="270" spans="1:54" x14ac:dyDescent="0.25">
      <c r="A270" s="1851">
        <v>266</v>
      </c>
      <c r="B270" s="1851"/>
      <c r="C270" s="1856" t="s">
        <v>1003</v>
      </c>
      <c r="D270" s="1856"/>
      <c r="E270" s="1856"/>
      <c r="F270" s="1856"/>
      <c r="G270" s="1856"/>
      <c r="H270" s="1856"/>
      <c r="I270" s="1856"/>
      <c r="J270" s="1856"/>
      <c r="K270" s="1856"/>
      <c r="L270" s="1856"/>
      <c r="M270" s="1856"/>
      <c r="N270" s="1856"/>
      <c r="O270" s="1856"/>
      <c r="P270" s="1856"/>
      <c r="Q270" s="1856"/>
      <c r="R270" s="1856"/>
      <c r="S270" s="1856"/>
      <c r="T270" s="1856"/>
      <c r="U270" s="1856"/>
      <c r="V270" s="1856" t="s">
        <v>1058</v>
      </c>
      <c r="W270" s="1856"/>
      <c r="X270" s="1856"/>
      <c r="Y270" s="1851"/>
      <c r="Z270" s="1851"/>
      <c r="AA270" s="1851"/>
      <c r="AB270" s="1851"/>
      <c r="AC270" s="1851"/>
      <c r="AD270" s="1851"/>
      <c r="AE270" s="1851"/>
      <c r="AF270" s="1851"/>
      <c r="AG270" s="1851"/>
      <c r="AH270" s="1851"/>
      <c r="AI270" s="1851"/>
      <c r="AJ270" s="1851"/>
      <c r="AK270" s="1851"/>
      <c r="AL270" s="1851"/>
      <c r="AM270" s="1851"/>
      <c r="AN270" s="1851"/>
      <c r="AO270" s="1851"/>
      <c r="AP270" s="1851"/>
      <c r="AQ270" s="1851"/>
      <c r="AR270" s="1851"/>
      <c r="AS270" s="1851"/>
      <c r="AT270" s="1851"/>
      <c r="AU270" s="1851"/>
      <c r="AV270" s="1851"/>
      <c r="AW270" s="1851"/>
      <c r="AX270" s="1851"/>
      <c r="AY270" s="1851"/>
      <c r="AZ270" s="1851"/>
      <c r="BA270" s="1851"/>
      <c r="BB270" s="1851"/>
    </row>
    <row r="271" spans="1:54" x14ac:dyDescent="0.25">
      <c r="A271" s="1851">
        <v>267</v>
      </c>
      <c r="B271" s="1851"/>
      <c r="C271" s="1856" t="s">
        <v>1004</v>
      </c>
      <c r="D271" s="1856"/>
      <c r="E271" s="1856"/>
      <c r="F271" s="1856"/>
      <c r="G271" s="1856"/>
      <c r="H271" s="1856"/>
      <c r="I271" s="1856"/>
      <c r="J271" s="1856"/>
      <c r="K271" s="1856"/>
      <c r="L271" s="1856"/>
      <c r="M271" s="1856"/>
      <c r="N271" s="1856"/>
      <c r="O271" s="1856"/>
      <c r="P271" s="1856"/>
      <c r="Q271" s="1856"/>
      <c r="R271" s="1856"/>
      <c r="S271" s="1856"/>
      <c r="T271" s="1856"/>
      <c r="U271" s="1856"/>
      <c r="V271" s="1856" t="s">
        <v>1058</v>
      </c>
      <c r="W271" s="1856"/>
      <c r="X271" s="1856"/>
      <c r="Y271" s="1851"/>
      <c r="Z271" s="1851"/>
      <c r="AA271" s="1851"/>
      <c r="AB271" s="1851"/>
      <c r="AC271" s="1851"/>
      <c r="AD271" s="1851"/>
      <c r="AE271" s="1851"/>
      <c r="AF271" s="1851"/>
      <c r="AG271" s="1851"/>
      <c r="AH271" s="1851"/>
      <c r="AI271" s="1851"/>
      <c r="AJ271" s="1851"/>
      <c r="AK271" s="1851"/>
      <c r="AL271" s="1851"/>
      <c r="AM271" s="1851"/>
      <c r="AN271" s="1851"/>
      <c r="AO271" s="1851"/>
      <c r="AP271" s="1851"/>
      <c r="AQ271" s="1851"/>
      <c r="AR271" s="1851"/>
      <c r="AS271" s="1851"/>
      <c r="AT271" s="1851"/>
      <c r="AU271" s="1851"/>
      <c r="AV271" s="1851"/>
      <c r="AW271" s="1851"/>
      <c r="AX271" s="1851"/>
      <c r="AY271" s="1851"/>
      <c r="AZ271" s="1851"/>
      <c r="BA271" s="1851"/>
      <c r="BB271" s="1851"/>
    </row>
    <row r="272" spans="1:54" x14ac:dyDescent="0.25">
      <c r="A272" s="1851">
        <v>268</v>
      </c>
      <c r="B272" s="1851"/>
      <c r="C272" s="1856" t="s">
        <v>1005</v>
      </c>
      <c r="D272" s="1856"/>
      <c r="E272" s="1856"/>
      <c r="F272" s="1856"/>
      <c r="G272" s="1856"/>
      <c r="H272" s="1856"/>
      <c r="I272" s="1856"/>
      <c r="J272" s="1856"/>
      <c r="K272" s="1856"/>
      <c r="L272" s="1856"/>
      <c r="M272" s="1856"/>
      <c r="N272" s="1856"/>
      <c r="O272" s="1856"/>
      <c r="P272" s="1856"/>
      <c r="Q272" s="1856"/>
      <c r="R272" s="1856"/>
      <c r="S272" s="1856"/>
      <c r="T272" s="1856"/>
      <c r="U272" s="1856"/>
      <c r="V272" s="1856" t="s">
        <v>1058</v>
      </c>
      <c r="W272" s="1856"/>
      <c r="X272" s="1856"/>
      <c r="Y272" s="1851"/>
      <c r="Z272" s="1851"/>
      <c r="AA272" s="1851"/>
      <c r="AB272" s="1851"/>
      <c r="AC272" s="1851"/>
      <c r="AD272" s="1851"/>
      <c r="AE272" s="1851"/>
      <c r="AF272" s="1851"/>
      <c r="AG272" s="1851"/>
      <c r="AH272" s="1851"/>
      <c r="AI272" s="1851"/>
      <c r="AJ272" s="1851"/>
      <c r="AK272" s="1851"/>
      <c r="AL272" s="1851"/>
      <c r="AM272" s="1851"/>
      <c r="AN272" s="1851"/>
      <c r="AO272" s="1851"/>
      <c r="AP272" s="1851"/>
      <c r="AQ272" s="1851"/>
      <c r="AR272" s="1851"/>
      <c r="AS272" s="1851"/>
      <c r="AT272" s="1851"/>
      <c r="AU272" s="1851"/>
      <c r="AV272" s="1851"/>
      <c r="AW272" s="1851"/>
      <c r="AX272" s="1851"/>
      <c r="AY272" s="1851"/>
      <c r="AZ272" s="1851"/>
      <c r="BA272" s="1851"/>
      <c r="BB272" s="1851"/>
    </row>
    <row r="273" spans="1:54" x14ac:dyDescent="0.25">
      <c r="A273" s="1851">
        <v>269</v>
      </c>
      <c r="B273" s="1851"/>
      <c r="C273" s="1856" t="s">
        <v>1006</v>
      </c>
      <c r="D273" s="1856"/>
      <c r="E273" s="1856"/>
      <c r="F273" s="1856"/>
      <c r="G273" s="1856"/>
      <c r="H273" s="1856"/>
      <c r="I273" s="1856"/>
      <c r="J273" s="1856"/>
      <c r="K273" s="1856"/>
      <c r="L273" s="1856"/>
      <c r="M273" s="1856"/>
      <c r="N273" s="1856"/>
      <c r="O273" s="1856"/>
      <c r="P273" s="1856"/>
      <c r="Q273" s="1856"/>
      <c r="R273" s="1856"/>
      <c r="S273" s="1856"/>
      <c r="T273" s="1856"/>
      <c r="U273" s="1856"/>
      <c r="V273" s="1856" t="s">
        <v>1058</v>
      </c>
      <c r="W273" s="1856"/>
      <c r="X273" s="1856"/>
      <c r="Y273" s="1851"/>
      <c r="Z273" s="1851"/>
      <c r="AA273" s="1851"/>
      <c r="AB273" s="1851"/>
      <c r="AC273" s="1851"/>
      <c r="AD273" s="1851"/>
      <c r="AE273" s="1851"/>
      <c r="AF273" s="1851"/>
      <c r="AG273" s="1851"/>
      <c r="AH273" s="1851"/>
      <c r="AI273" s="1851"/>
      <c r="AJ273" s="1851"/>
      <c r="AK273" s="1851"/>
      <c r="AL273" s="1851"/>
      <c r="AM273" s="1851"/>
      <c r="AN273" s="1851"/>
      <c r="AO273" s="1851"/>
      <c r="AP273" s="1851"/>
      <c r="AQ273" s="1851"/>
      <c r="AR273" s="1851"/>
      <c r="AS273" s="1851"/>
      <c r="AT273" s="1851"/>
      <c r="AU273" s="1851"/>
      <c r="AV273" s="1851"/>
      <c r="AW273" s="1851"/>
      <c r="AX273" s="1851"/>
      <c r="AY273" s="1851"/>
      <c r="AZ273" s="1851"/>
      <c r="BA273" s="1851"/>
      <c r="BB273" s="1851"/>
    </row>
    <row r="274" spans="1:54" x14ac:dyDescent="0.25">
      <c r="A274" s="1854">
        <v>270</v>
      </c>
      <c r="B274" s="1854"/>
      <c r="C274" s="1863" t="s">
        <v>1059</v>
      </c>
      <c r="D274" s="1863"/>
      <c r="E274" s="1863"/>
      <c r="F274" s="1863"/>
      <c r="G274" s="1863"/>
      <c r="H274" s="1863"/>
      <c r="I274" s="1863"/>
      <c r="J274" s="1863"/>
      <c r="K274" s="1863"/>
      <c r="L274" s="1863"/>
      <c r="M274" s="1863"/>
      <c r="N274" s="1863"/>
      <c r="O274" s="1863"/>
      <c r="P274" s="1863"/>
      <c r="Q274" s="1863"/>
      <c r="R274" s="1863"/>
      <c r="S274" s="1863"/>
      <c r="T274" s="1863"/>
      <c r="U274" s="1863"/>
      <c r="V274" s="1864" t="s">
        <v>1060</v>
      </c>
      <c r="W274" s="1864"/>
      <c r="X274" s="1864"/>
      <c r="Y274" s="1857"/>
      <c r="Z274" s="1858"/>
      <c r="AA274" s="1858"/>
      <c r="AB274" s="1858"/>
      <c r="AC274" s="1859"/>
      <c r="AD274" s="1859"/>
      <c r="AE274" s="1857"/>
      <c r="AF274" s="1858"/>
      <c r="AG274" s="1858"/>
      <c r="AH274" s="1858"/>
      <c r="AI274" s="1859"/>
      <c r="AJ274" s="1859"/>
      <c r="AK274" s="1857"/>
      <c r="AL274" s="1858"/>
      <c r="AM274" s="1858"/>
      <c r="AN274" s="1858"/>
      <c r="AO274" s="1859"/>
      <c r="AP274" s="1859"/>
      <c r="AQ274" s="1857"/>
      <c r="AR274" s="1858"/>
      <c r="AS274" s="1858"/>
      <c r="AT274" s="1858"/>
      <c r="AU274" s="1859"/>
      <c r="AV274" s="1859"/>
      <c r="AW274" s="1857"/>
      <c r="AX274" s="1858"/>
      <c r="AY274" s="1858"/>
      <c r="AZ274" s="1858"/>
      <c r="BA274" s="1859"/>
      <c r="BB274" s="1859"/>
    </row>
    <row r="275" spans="1:54" x14ac:dyDescent="0.25">
      <c r="A275" s="1854">
        <v>271</v>
      </c>
      <c r="B275" s="1854"/>
      <c r="C275" s="1855" t="s">
        <v>1061</v>
      </c>
      <c r="D275" s="1855"/>
      <c r="E275" s="1855"/>
      <c r="F275" s="1855"/>
      <c r="G275" s="1855"/>
      <c r="H275" s="1855"/>
      <c r="I275" s="1855"/>
      <c r="J275" s="1855"/>
      <c r="K275" s="1855"/>
      <c r="L275" s="1855"/>
      <c r="M275" s="1855"/>
      <c r="N275" s="1855"/>
      <c r="O275" s="1855"/>
      <c r="P275" s="1855"/>
      <c r="Q275" s="1855"/>
      <c r="R275" s="1855"/>
      <c r="S275" s="1855"/>
      <c r="T275" s="1855"/>
      <c r="U275" s="1855"/>
      <c r="V275" s="1855" t="s">
        <v>1062</v>
      </c>
      <c r="W275" s="1855"/>
      <c r="X275" s="1855"/>
      <c r="Y275" s="1857"/>
      <c r="Z275" s="1858"/>
      <c r="AA275" s="1858"/>
      <c r="AB275" s="1858"/>
      <c r="AC275" s="1859"/>
      <c r="AD275" s="1859"/>
      <c r="AE275" s="1857"/>
      <c r="AF275" s="1858"/>
      <c r="AG275" s="1858"/>
      <c r="AH275" s="1858"/>
      <c r="AI275" s="1859"/>
      <c r="AJ275" s="1859"/>
      <c r="AK275" s="1857"/>
      <c r="AL275" s="1858"/>
      <c r="AM275" s="1858"/>
      <c r="AN275" s="1858"/>
      <c r="AO275" s="1859"/>
      <c r="AP275" s="1859"/>
      <c r="AQ275" s="1857"/>
      <c r="AR275" s="1858"/>
      <c r="AS275" s="1858"/>
      <c r="AT275" s="1858"/>
      <c r="AU275" s="1859"/>
      <c r="AV275" s="1859"/>
      <c r="AW275" s="1857"/>
      <c r="AX275" s="1858"/>
      <c r="AY275" s="1858"/>
      <c r="AZ275" s="1858"/>
      <c r="BA275" s="1859"/>
      <c r="BB275" s="1859"/>
    </row>
    <row r="276" spans="1:54" x14ac:dyDescent="0.25">
      <c r="A276" s="1851">
        <v>272</v>
      </c>
      <c r="B276" s="1851"/>
      <c r="C276" s="1862" t="s">
        <v>1063</v>
      </c>
      <c r="D276" s="1862"/>
      <c r="E276" s="1862"/>
      <c r="F276" s="1862"/>
      <c r="G276" s="1862"/>
      <c r="H276" s="1862"/>
      <c r="I276" s="1862"/>
      <c r="J276" s="1862"/>
      <c r="K276" s="1862"/>
      <c r="L276" s="1862"/>
      <c r="M276" s="1862"/>
      <c r="N276" s="1862"/>
      <c r="O276" s="1862"/>
      <c r="P276" s="1862"/>
      <c r="Q276" s="1862"/>
      <c r="R276" s="1862"/>
      <c r="S276" s="1862"/>
      <c r="T276" s="1862"/>
      <c r="U276" s="1862"/>
      <c r="V276" s="1856" t="s">
        <v>1064</v>
      </c>
      <c r="W276" s="1856"/>
      <c r="X276" s="1856"/>
      <c r="Y276" s="1851"/>
      <c r="Z276" s="1851"/>
      <c r="AA276" s="1851"/>
      <c r="AB276" s="1851"/>
      <c r="AC276" s="1851"/>
      <c r="AD276" s="1851"/>
      <c r="AE276" s="1851"/>
      <c r="AF276" s="1851"/>
      <c r="AG276" s="1851"/>
      <c r="AH276" s="1851"/>
      <c r="AI276" s="1851"/>
      <c r="AJ276" s="1851"/>
      <c r="AK276" s="1851"/>
      <c r="AL276" s="1851"/>
      <c r="AM276" s="1851"/>
      <c r="AN276" s="1851"/>
      <c r="AO276" s="1851"/>
      <c r="AP276" s="1851"/>
      <c r="AQ276" s="1851"/>
      <c r="AR276" s="1851"/>
      <c r="AS276" s="1851"/>
      <c r="AT276" s="1851"/>
      <c r="AU276" s="1851"/>
      <c r="AV276" s="1851"/>
      <c r="AW276" s="1851"/>
      <c r="AX276" s="1851"/>
      <c r="AY276" s="1851"/>
      <c r="AZ276" s="1851"/>
      <c r="BA276" s="1851"/>
      <c r="BB276" s="1851"/>
    </row>
    <row r="277" spans="1:54" x14ac:dyDescent="0.25">
      <c r="A277" s="1851">
        <v>273</v>
      </c>
      <c r="B277" s="1851"/>
      <c r="C277" s="1856" t="s">
        <v>1065</v>
      </c>
      <c r="D277" s="1856"/>
      <c r="E277" s="1856"/>
      <c r="F277" s="1856"/>
      <c r="G277" s="1856"/>
      <c r="H277" s="1856"/>
      <c r="I277" s="1856"/>
      <c r="J277" s="1856"/>
      <c r="K277" s="1856"/>
      <c r="L277" s="1856"/>
      <c r="M277" s="1856"/>
      <c r="N277" s="1856"/>
      <c r="O277" s="1856"/>
      <c r="P277" s="1856"/>
      <c r="Q277" s="1856"/>
      <c r="R277" s="1856"/>
      <c r="S277" s="1856"/>
      <c r="T277" s="1856"/>
      <c r="U277" s="1856"/>
      <c r="V277" s="1856" t="s">
        <v>1064</v>
      </c>
      <c r="W277" s="1856"/>
      <c r="X277" s="1856"/>
      <c r="Y277" s="1851"/>
      <c r="Z277" s="1851"/>
      <c r="AA277" s="1851"/>
      <c r="AB277" s="1851"/>
      <c r="AC277" s="1851"/>
      <c r="AD277" s="1851"/>
      <c r="AE277" s="1851"/>
      <c r="AF277" s="1851"/>
      <c r="AG277" s="1851"/>
      <c r="AH277" s="1851"/>
      <c r="AI277" s="1851"/>
      <c r="AJ277" s="1851"/>
      <c r="AK277" s="1851"/>
      <c r="AL277" s="1851"/>
      <c r="AM277" s="1851"/>
      <c r="AN277" s="1851"/>
      <c r="AO277" s="1851"/>
      <c r="AP277" s="1851"/>
      <c r="AQ277" s="1851"/>
      <c r="AR277" s="1851"/>
      <c r="AS277" s="1851"/>
      <c r="AT277" s="1851"/>
      <c r="AU277" s="1851"/>
      <c r="AV277" s="1851"/>
      <c r="AW277" s="1851"/>
      <c r="AX277" s="1851"/>
      <c r="AY277" s="1851"/>
      <c r="AZ277" s="1851"/>
      <c r="BA277" s="1851"/>
      <c r="BB277" s="1851"/>
    </row>
    <row r="278" spans="1:54" x14ac:dyDescent="0.25">
      <c r="A278" s="1851">
        <v>274</v>
      </c>
      <c r="B278" s="1851"/>
      <c r="C278" s="1856" t="s">
        <v>1066</v>
      </c>
      <c r="D278" s="1856"/>
      <c r="E278" s="1856"/>
      <c r="F278" s="1856"/>
      <c r="G278" s="1856"/>
      <c r="H278" s="1856"/>
      <c r="I278" s="1856"/>
      <c r="J278" s="1856"/>
      <c r="K278" s="1856"/>
      <c r="L278" s="1856"/>
      <c r="M278" s="1856"/>
      <c r="N278" s="1856"/>
      <c r="O278" s="1856"/>
      <c r="P278" s="1856"/>
      <c r="Q278" s="1856"/>
      <c r="R278" s="1856"/>
      <c r="S278" s="1856"/>
      <c r="T278" s="1856"/>
      <c r="U278" s="1856"/>
      <c r="V278" s="1856" t="s">
        <v>1064</v>
      </c>
      <c r="W278" s="1856"/>
      <c r="X278" s="1856"/>
      <c r="Y278" s="1851"/>
      <c r="Z278" s="1851"/>
      <c r="AA278" s="1851"/>
      <c r="AB278" s="1851"/>
      <c r="AC278" s="1851"/>
      <c r="AD278" s="1851"/>
      <c r="AE278" s="1851"/>
      <c r="AF278" s="1851"/>
      <c r="AG278" s="1851"/>
      <c r="AH278" s="1851"/>
      <c r="AI278" s="1851"/>
      <c r="AJ278" s="1851"/>
      <c r="AK278" s="1851"/>
      <c r="AL278" s="1851"/>
      <c r="AM278" s="1851"/>
      <c r="AN278" s="1851"/>
      <c r="AO278" s="1851"/>
      <c r="AP278" s="1851"/>
      <c r="AQ278" s="1851"/>
      <c r="AR278" s="1851"/>
      <c r="AS278" s="1851"/>
      <c r="AT278" s="1851"/>
      <c r="AU278" s="1851"/>
      <c r="AV278" s="1851"/>
      <c r="AW278" s="1851"/>
      <c r="AX278" s="1851"/>
      <c r="AY278" s="1851"/>
      <c r="AZ278" s="1851"/>
      <c r="BA278" s="1851"/>
      <c r="BB278" s="1851"/>
    </row>
    <row r="279" spans="1:54" x14ac:dyDescent="0.25">
      <c r="A279" s="1851">
        <v>275</v>
      </c>
      <c r="B279" s="1851"/>
      <c r="C279" s="1862" t="s">
        <v>509</v>
      </c>
      <c r="D279" s="1862"/>
      <c r="E279" s="1862"/>
      <c r="F279" s="1862"/>
      <c r="G279" s="1862"/>
      <c r="H279" s="1862"/>
      <c r="I279" s="1862"/>
      <c r="J279" s="1862"/>
      <c r="K279" s="1862"/>
      <c r="L279" s="1862"/>
      <c r="M279" s="1862"/>
      <c r="N279" s="1862"/>
      <c r="O279" s="1862"/>
      <c r="P279" s="1862"/>
      <c r="Q279" s="1862"/>
      <c r="R279" s="1862"/>
      <c r="S279" s="1862"/>
      <c r="T279" s="1862"/>
      <c r="U279" s="1862"/>
      <c r="V279" s="1856" t="s">
        <v>1067</v>
      </c>
      <c r="W279" s="1856"/>
      <c r="X279" s="1856"/>
      <c r="Y279" s="1851"/>
      <c r="Z279" s="1851"/>
      <c r="AA279" s="1851"/>
      <c r="AB279" s="1851"/>
      <c r="AC279" s="1851"/>
      <c r="AD279" s="1851"/>
      <c r="AE279" s="1851"/>
      <c r="AF279" s="1851"/>
      <c r="AG279" s="1851"/>
      <c r="AH279" s="1851"/>
      <c r="AI279" s="1851"/>
      <c r="AJ279" s="1851"/>
      <c r="AK279" s="1851"/>
      <c r="AL279" s="1851"/>
      <c r="AM279" s="1851"/>
      <c r="AN279" s="1851"/>
      <c r="AO279" s="1851"/>
      <c r="AP279" s="1851"/>
      <c r="AQ279" s="1851"/>
      <c r="AR279" s="1851"/>
      <c r="AS279" s="1851"/>
      <c r="AT279" s="1851"/>
      <c r="AU279" s="1851"/>
      <c r="AV279" s="1851"/>
      <c r="AW279" s="1851"/>
      <c r="AX279" s="1851"/>
      <c r="AY279" s="1851"/>
      <c r="AZ279" s="1851"/>
      <c r="BA279" s="1851"/>
      <c r="BB279" s="1851"/>
    </row>
    <row r="280" spans="1:54" x14ac:dyDescent="0.25">
      <c r="A280" s="1851">
        <v>276</v>
      </c>
      <c r="B280" s="1851"/>
      <c r="C280" s="1862" t="s">
        <v>1068</v>
      </c>
      <c r="D280" s="1862"/>
      <c r="E280" s="1862"/>
      <c r="F280" s="1862"/>
      <c r="G280" s="1862"/>
      <c r="H280" s="1862"/>
      <c r="I280" s="1862"/>
      <c r="J280" s="1862"/>
      <c r="K280" s="1862"/>
      <c r="L280" s="1862"/>
      <c r="M280" s="1862"/>
      <c r="N280" s="1862"/>
      <c r="O280" s="1862"/>
      <c r="P280" s="1862"/>
      <c r="Q280" s="1862"/>
      <c r="R280" s="1862"/>
      <c r="S280" s="1862"/>
      <c r="T280" s="1862"/>
      <c r="U280" s="1862"/>
      <c r="V280" s="1856" t="s">
        <v>1069</v>
      </c>
      <c r="W280" s="1856"/>
      <c r="X280" s="1856"/>
      <c r="Y280" s="1851"/>
      <c r="Z280" s="1851"/>
      <c r="AA280" s="1851"/>
      <c r="AB280" s="1851"/>
      <c r="AC280" s="1851"/>
      <c r="AD280" s="1851"/>
      <c r="AE280" s="1851"/>
      <c r="AF280" s="1851"/>
      <c r="AG280" s="1851"/>
      <c r="AH280" s="1851"/>
      <c r="AI280" s="1851"/>
      <c r="AJ280" s="1851"/>
      <c r="AK280" s="1851"/>
      <c r="AL280" s="1851"/>
      <c r="AM280" s="1851"/>
      <c r="AN280" s="1851"/>
      <c r="AO280" s="1851"/>
      <c r="AP280" s="1851"/>
      <c r="AQ280" s="1851"/>
      <c r="AR280" s="1851"/>
      <c r="AS280" s="1851"/>
      <c r="AT280" s="1851"/>
      <c r="AU280" s="1851"/>
      <c r="AV280" s="1851"/>
      <c r="AW280" s="1851"/>
      <c r="AX280" s="1851"/>
      <c r="AY280" s="1851"/>
      <c r="AZ280" s="1851"/>
      <c r="BA280" s="1851"/>
      <c r="BB280" s="1851"/>
    </row>
    <row r="281" spans="1:54" x14ac:dyDescent="0.25">
      <c r="A281" s="1851">
        <v>277</v>
      </c>
      <c r="B281" s="1851"/>
      <c r="C281" s="1856" t="s">
        <v>1065</v>
      </c>
      <c r="D281" s="1856"/>
      <c r="E281" s="1856"/>
      <c r="F281" s="1856"/>
      <c r="G281" s="1856"/>
      <c r="H281" s="1856"/>
      <c r="I281" s="1856"/>
      <c r="J281" s="1856"/>
      <c r="K281" s="1856"/>
      <c r="L281" s="1856"/>
      <c r="M281" s="1856"/>
      <c r="N281" s="1856"/>
      <c r="O281" s="1856"/>
      <c r="P281" s="1856"/>
      <c r="Q281" s="1856"/>
      <c r="R281" s="1856"/>
      <c r="S281" s="1856"/>
      <c r="T281" s="1856"/>
      <c r="U281" s="1856"/>
      <c r="V281" s="1856" t="s">
        <v>1069</v>
      </c>
      <c r="W281" s="1856"/>
      <c r="X281" s="1856"/>
      <c r="Y281" s="1851"/>
      <c r="Z281" s="1851"/>
      <c r="AA281" s="1851"/>
      <c r="AB281" s="1851"/>
      <c r="AC281" s="1851"/>
      <c r="AD281" s="1851"/>
      <c r="AE281" s="1851"/>
      <c r="AF281" s="1851"/>
      <c r="AG281" s="1851"/>
      <c r="AH281" s="1851"/>
      <c r="AI281" s="1851"/>
      <c r="AJ281" s="1851"/>
      <c r="AK281" s="1851"/>
      <c r="AL281" s="1851"/>
      <c r="AM281" s="1851"/>
      <c r="AN281" s="1851"/>
      <c r="AO281" s="1851"/>
      <c r="AP281" s="1851"/>
      <c r="AQ281" s="1851"/>
      <c r="AR281" s="1851"/>
      <c r="AS281" s="1851"/>
      <c r="AT281" s="1851"/>
      <c r="AU281" s="1851"/>
      <c r="AV281" s="1851"/>
      <c r="AW281" s="1851"/>
      <c r="AX281" s="1851"/>
      <c r="AY281" s="1851"/>
      <c r="AZ281" s="1851"/>
      <c r="BA281" s="1851"/>
      <c r="BB281" s="1851"/>
    </row>
    <row r="282" spans="1:54" x14ac:dyDescent="0.25">
      <c r="A282" s="1851">
        <v>278</v>
      </c>
      <c r="B282" s="1851"/>
      <c r="C282" s="1856" t="s">
        <v>1066</v>
      </c>
      <c r="D282" s="1856"/>
      <c r="E282" s="1856"/>
      <c r="F282" s="1856"/>
      <c r="G282" s="1856"/>
      <c r="H282" s="1856"/>
      <c r="I282" s="1856"/>
      <c r="J282" s="1856"/>
      <c r="K282" s="1856"/>
      <c r="L282" s="1856"/>
      <c r="M282" s="1856"/>
      <c r="N282" s="1856"/>
      <c r="O282" s="1856"/>
      <c r="P282" s="1856"/>
      <c r="Q282" s="1856"/>
      <c r="R282" s="1856"/>
      <c r="S282" s="1856"/>
      <c r="T282" s="1856"/>
      <c r="U282" s="1856"/>
      <c r="V282" s="1856" t="s">
        <v>1069</v>
      </c>
      <c r="W282" s="1856"/>
      <c r="X282" s="1856"/>
      <c r="Y282" s="1851"/>
      <c r="Z282" s="1851"/>
      <c r="AA282" s="1851"/>
      <c r="AB282" s="1851"/>
      <c r="AC282" s="1851"/>
      <c r="AD282" s="1851"/>
      <c r="AE282" s="1851"/>
      <c r="AF282" s="1851"/>
      <c r="AG282" s="1851"/>
      <c r="AH282" s="1851"/>
      <c r="AI282" s="1851"/>
      <c r="AJ282" s="1851"/>
      <c r="AK282" s="1851"/>
      <c r="AL282" s="1851"/>
      <c r="AM282" s="1851"/>
      <c r="AN282" s="1851"/>
      <c r="AO282" s="1851"/>
      <c r="AP282" s="1851"/>
      <c r="AQ282" s="1851"/>
      <c r="AR282" s="1851"/>
      <c r="AS282" s="1851"/>
      <c r="AT282" s="1851"/>
      <c r="AU282" s="1851"/>
      <c r="AV282" s="1851"/>
      <c r="AW282" s="1851"/>
      <c r="AX282" s="1851"/>
      <c r="AY282" s="1851"/>
      <c r="AZ282" s="1851"/>
      <c r="BA282" s="1851"/>
      <c r="BB282" s="1851"/>
    </row>
    <row r="283" spans="1:54" x14ac:dyDescent="0.25">
      <c r="A283" s="1854">
        <v>279</v>
      </c>
      <c r="B283" s="1854"/>
      <c r="C283" s="1863" t="s">
        <v>1070</v>
      </c>
      <c r="D283" s="1863"/>
      <c r="E283" s="1863"/>
      <c r="F283" s="1863"/>
      <c r="G283" s="1863"/>
      <c r="H283" s="1863"/>
      <c r="I283" s="1863"/>
      <c r="J283" s="1863"/>
      <c r="K283" s="1863"/>
      <c r="L283" s="1863"/>
      <c r="M283" s="1863"/>
      <c r="N283" s="1863"/>
      <c r="O283" s="1863"/>
      <c r="P283" s="1863"/>
      <c r="Q283" s="1863"/>
      <c r="R283" s="1863"/>
      <c r="S283" s="1863"/>
      <c r="T283" s="1863"/>
      <c r="U283" s="1863"/>
      <c r="V283" s="1855" t="s">
        <v>1071</v>
      </c>
      <c r="W283" s="1855"/>
      <c r="X283" s="1855"/>
      <c r="Y283" s="1857"/>
      <c r="Z283" s="1858"/>
      <c r="AA283" s="1858"/>
      <c r="AB283" s="1858"/>
      <c r="AC283" s="1859"/>
      <c r="AD283" s="1859"/>
      <c r="AE283" s="1857"/>
      <c r="AF283" s="1858"/>
      <c r="AG283" s="1858"/>
      <c r="AH283" s="1858"/>
      <c r="AI283" s="1859"/>
      <c r="AJ283" s="1859"/>
      <c r="AK283" s="1857"/>
      <c r="AL283" s="1858"/>
      <c r="AM283" s="1858"/>
      <c r="AN283" s="1858"/>
      <c r="AO283" s="1859"/>
      <c r="AP283" s="1859"/>
      <c r="AQ283" s="1857"/>
      <c r="AR283" s="1858"/>
      <c r="AS283" s="1858"/>
      <c r="AT283" s="1858"/>
      <c r="AU283" s="1859"/>
      <c r="AV283" s="1859"/>
      <c r="AW283" s="1857"/>
      <c r="AX283" s="1858"/>
      <c r="AY283" s="1858"/>
      <c r="AZ283" s="1858"/>
      <c r="BA283" s="1859"/>
      <c r="BB283" s="1859"/>
    </row>
    <row r="284" spans="1:54" x14ac:dyDescent="0.25">
      <c r="A284" s="1851">
        <v>280</v>
      </c>
      <c r="B284" s="1851"/>
      <c r="C284" s="1860" t="s">
        <v>1072</v>
      </c>
      <c r="D284" s="1860"/>
      <c r="E284" s="1860"/>
      <c r="F284" s="1860"/>
      <c r="G284" s="1860"/>
      <c r="H284" s="1860"/>
      <c r="I284" s="1860"/>
      <c r="J284" s="1860"/>
      <c r="K284" s="1860"/>
      <c r="L284" s="1860"/>
      <c r="M284" s="1860"/>
      <c r="N284" s="1860"/>
      <c r="O284" s="1860"/>
      <c r="P284" s="1860"/>
      <c r="Q284" s="1860"/>
      <c r="R284" s="1860"/>
      <c r="S284" s="1860"/>
      <c r="T284" s="1860"/>
      <c r="U284" s="1860"/>
      <c r="V284" s="1856" t="s">
        <v>1073</v>
      </c>
      <c r="W284" s="1856"/>
      <c r="X284" s="1856"/>
      <c r="Y284" s="1851"/>
      <c r="Z284" s="1851"/>
      <c r="AA284" s="1851"/>
      <c r="AB284" s="1851"/>
      <c r="AC284" s="1851"/>
      <c r="AD284" s="1851"/>
      <c r="AE284" s="1851"/>
      <c r="AF284" s="1851"/>
      <c r="AG284" s="1851"/>
      <c r="AH284" s="1851"/>
      <c r="AI284" s="1851"/>
      <c r="AJ284" s="1851"/>
      <c r="AK284" s="1851"/>
      <c r="AL284" s="1851"/>
      <c r="AM284" s="1851"/>
      <c r="AN284" s="1851"/>
      <c r="AO284" s="1851"/>
      <c r="AP284" s="1851"/>
      <c r="AQ284" s="1851"/>
      <c r="AR284" s="1851"/>
      <c r="AS284" s="1851"/>
      <c r="AT284" s="1851"/>
      <c r="AU284" s="1851"/>
      <c r="AV284" s="1851"/>
      <c r="AW284" s="1851"/>
      <c r="AX284" s="1851"/>
      <c r="AY284" s="1851"/>
      <c r="AZ284" s="1851"/>
      <c r="BA284" s="1851"/>
      <c r="BB284" s="1851"/>
    </row>
    <row r="285" spans="1:54" x14ac:dyDescent="0.25">
      <c r="A285" s="1851">
        <v>281</v>
      </c>
      <c r="B285" s="1851"/>
      <c r="C285" s="1856" t="s">
        <v>1074</v>
      </c>
      <c r="D285" s="1856"/>
      <c r="E285" s="1856"/>
      <c r="F285" s="1856"/>
      <c r="G285" s="1856"/>
      <c r="H285" s="1856"/>
      <c r="I285" s="1856"/>
      <c r="J285" s="1856"/>
      <c r="K285" s="1856"/>
      <c r="L285" s="1856"/>
      <c r="M285" s="1856"/>
      <c r="N285" s="1856"/>
      <c r="O285" s="1856"/>
      <c r="P285" s="1856"/>
      <c r="Q285" s="1856"/>
      <c r="R285" s="1856"/>
      <c r="S285" s="1856"/>
      <c r="T285" s="1856"/>
      <c r="U285" s="1856"/>
      <c r="V285" s="1856" t="s">
        <v>1073</v>
      </c>
      <c r="W285" s="1856"/>
      <c r="X285" s="1856"/>
      <c r="Y285" s="1851"/>
      <c r="Z285" s="1851"/>
      <c r="AA285" s="1851"/>
      <c r="AB285" s="1851"/>
      <c r="AC285" s="1851"/>
      <c r="AD285" s="1851"/>
      <c r="AE285" s="1851"/>
      <c r="AF285" s="1851"/>
      <c r="AG285" s="1851"/>
      <c r="AH285" s="1851"/>
      <c r="AI285" s="1851"/>
      <c r="AJ285" s="1851"/>
      <c r="AK285" s="1851"/>
      <c r="AL285" s="1851"/>
      <c r="AM285" s="1851"/>
      <c r="AN285" s="1851"/>
      <c r="AO285" s="1851"/>
      <c r="AP285" s="1851"/>
      <c r="AQ285" s="1851"/>
      <c r="AR285" s="1851"/>
      <c r="AS285" s="1851"/>
      <c r="AT285" s="1851"/>
      <c r="AU285" s="1851"/>
      <c r="AV285" s="1851"/>
      <c r="AW285" s="1851"/>
      <c r="AX285" s="1851"/>
      <c r="AY285" s="1851"/>
      <c r="AZ285" s="1851"/>
      <c r="BA285" s="1851"/>
      <c r="BB285" s="1851"/>
    </row>
    <row r="286" spans="1:54" x14ac:dyDescent="0.25">
      <c r="A286" s="1851">
        <v>282</v>
      </c>
      <c r="B286" s="1851"/>
      <c r="C286" s="1856" t="s">
        <v>1075</v>
      </c>
      <c r="D286" s="1856"/>
      <c r="E286" s="1856"/>
      <c r="F286" s="1856"/>
      <c r="G286" s="1856"/>
      <c r="H286" s="1856"/>
      <c r="I286" s="1856"/>
      <c r="J286" s="1856"/>
      <c r="K286" s="1856"/>
      <c r="L286" s="1856"/>
      <c r="M286" s="1856"/>
      <c r="N286" s="1856"/>
      <c r="O286" s="1856"/>
      <c r="P286" s="1856"/>
      <c r="Q286" s="1856"/>
      <c r="R286" s="1856"/>
      <c r="S286" s="1856"/>
      <c r="T286" s="1856"/>
      <c r="U286" s="1856"/>
      <c r="V286" s="1856" t="s">
        <v>1073</v>
      </c>
      <c r="W286" s="1856"/>
      <c r="X286" s="1856"/>
      <c r="Y286" s="1851"/>
      <c r="Z286" s="1851"/>
      <c r="AA286" s="1851"/>
      <c r="AB286" s="1851"/>
      <c r="AC286" s="1851"/>
      <c r="AD286" s="1851"/>
      <c r="AE286" s="1851"/>
      <c r="AF286" s="1851"/>
      <c r="AG286" s="1851"/>
      <c r="AH286" s="1851"/>
      <c r="AI286" s="1851"/>
      <c r="AJ286" s="1851"/>
      <c r="AK286" s="1851"/>
      <c r="AL286" s="1851"/>
      <c r="AM286" s="1851"/>
      <c r="AN286" s="1851"/>
      <c r="AO286" s="1851"/>
      <c r="AP286" s="1851"/>
      <c r="AQ286" s="1851"/>
      <c r="AR286" s="1851"/>
      <c r="AS286" s="1851"/>
      <c r="AT286" s="1851"/>
      <c r="AU286" s="1851"/>
      <c r="AV286" s="1851"/>
      <c r="AW286" s="1851"/>
      <c r="AX286" s="1851"/>
      <c r="AY286" s="1851"/>
      <c r="AZ286" s="1851"/>
      <c r="BA286" s="1851"/>
      <c r="BB286" s="1851"/>
    </row>
    <row r="287" spans="1:54" x14ac:dyDescent="0.25">
      <c r="A287" s="1851">
        <v>283</v>
      </c>
      <c r="B287" s="1851"/>
      <c r="C287" s="1862" t="s">
        <v>1076</v>
      </c>
      <c r="D287" s="1862"/>
      <c r="E287" s="1862"/>
      <c r="F287" s="1862"/>
      <c r="G287" s="1862"/>
      <c r="H287" s="1862"/>
      <c r="I287" s="1862"/>
      <c r="J287" s="1862"/>
      <c r="K287" s="1862"/>
      <c r="L287" s="1862"/>
      <c r="M287" s="1862"/>
      <c r="N287" s="1862"/>
      <c r="O287" s="1862"/>
      <c r="P287" s="1862"/>
      <c r="Q287" s="1862"/>
      <c r="R287" s="1862"/>
      <c r="S287" s="1862"/>
      <c r="T287" s="1862"/>
      <c r="U287" s="1862"/>
      <c r="V287" s="1856" t="s">
        <v>1077</v>
      </c>
      <c r="W287" s="1856"/>
      <c r="X287" s="1856"/>
      <c r="Y287" s="1851"/>
      <c r="Z287" s="1851"/>
      <c r="AA287" s="1851"/>
      <c r="AB287" s="1851"/>
      <c r="AC287" s="1851"/>
      <c r="AD287" s="1851"/>
      <c r="AE287" s="1851"/>
      <c r="AF287" s="1851"/>
      <c r="AG287" s="1851"/>
      <c r="AH287" s="1851"/>
      <c r="AI287" s="1851"/>
      <c r="AJ287" s="1851"/>
      <c r="AK287" s="1851"/>
      <c r="AL287" s="1851"/>
      <c r="AM287" s="1851"/>
      <c r="AN287" s="1851"/>
      <c r="AO287" s="1851"/>
      <c r="AP287" s="1851"/>
      <c r="AQ287" s="1851"/>
      <c r="AR287" s="1851"/>
      <c r="AS287" s="1851"/>
      <c r="AT287" s="1851"/>
      <c r="AU287" s="1851"/>
      <c r="AV287" s="1851"/>
      <c r="AW287" s="1851"/>
      <c r="AX287" s="1851"/>
      <c r="AY287" s="1851"/>
      <c r="AZ287" s="1851"/>
      <c r="BA287" s="1851"/>
      <c r="BB287" s="1851"/>
    </row>
    <row r="288" spans="1:54" x14ac:dyDescent="0.25">
      <c r="A288" s="1851">
        <v>284</v>
      </c>
      <c r="B288" s="1851"/>
      <c r="C288" s="1856" t="s">
        <v>1066</v>
      </c>
      <c r="D288" s="1856"/>
      <c r="E288" s="1856"/>
      <c r="F288" s="1856"/>
      <c r="G288" s="1856"/>
      <c r="H288" s="1856"/>
      <c r="I288" s="1856"/>
      <c r="J288" s="1856"/>
      <c r="K288" s="1856"/>
      <c r="L288" s="1856"/>
      <c r="M288" s="1856"/>
      <c r="N288" s="1856"/>
      <c r="O288" s="1856"/>
      <c r="P288" s="1856"/>
      <c r="Q288" s="1856"/>
      <c r="R288" s="1856"/>
      <c r="S288" s="1856"/>
      <c r="T288" s="1856"/>
      <c r="U288" s="1856"/>
      <c r="V288" s="1856" t="s">
        <v>1077</v>
      </c>
      <c r="W288" s="1856"/>
      <c r="X288" s="1856"/>
      <c r="Y288" s="1851"/>
      <c r="Z288" s="1851"/>
      <c r="AA288" s="1851"/>
      <c r="AB288" s="1851"/>
      <c r="AC288" s="1851"/>
      <c r="AD288" s="1851"/>
      <c r="AE288" s="1851"/>
      <c r="AF288" s="1851"/>
      <c r="AG288" s="1851"/>
      <c r="AH288" s="1851"/>
      <c r="AI288" s="1851"/>
      <c r="AJ288" s="1851"/>
      <c r="AK288" s="1851"/>
      <c r="AL288" s="1851"/>
      <c r="AM288" s="1851"/>
      <c r="AN288" s="1851"/>
      <c r="AO288" s="1851"/>
      <c r="AP288" s="1851"/>
      <c r="AQ288" s="1851"/>
      <c r="AR288" s="1851"/>
      <c r="AS288" s="1851"/>
      <c r="AT288" s="1851"/>
      <c r="AU288" s="1851"/>
      <c r="AV288" s="1851"/>
      <c r="AW288" s="1851"/>
      <c r="AX288" s="1851"/>
      <c r="AY288" s="1851"/>
      <c r="AZ288" s="1851"/>
      <c r="BA288" s="1851"/>
      <c r="BB288" s="1851"/>
    </row>
    <row r="289" spans="1:54" x14ac:dyDescent="0.25">
      <c r="A289" s="1851">
        <v>285</v>
      </c>
      <c r="B289" s="1851"/>
      <c r="C289" s="1856" t="s">
        <v>1074</v>
      </c>
      <c r="D289" s="1856"/>
      <c r="E289" s="1856"/>
      <c r="F289" s="1856"/>
      <c r="G289" s="1856"/>
      <c r="H289" s="1856"/>
      <c r="I289" s="1856"/>
      <c r="J289" s="1856"/>
      <c r="K289" s="1856"/>
      <c r="L289" s="1856"/>
      <c r="M289" s="1856"/>
      <c r="N289" s="1856"/>
      <c r="O289" s="1856"/>
      <c r="P289" s="1856"/>
      <c r="Q289" s="1856"/>
      <c r="R289" s="1856"/>
      <c r="S289" s="1856"/>
      <c r="T289" s="1856"/>
      <c r="U289" s="1856"/>
      <c r="V289" s="1856" t="s">
        <v>1077</v>
      </c>
      <c r="W289" s="1856"/>
      <c r="X289" s="1856"/>
      <c r="Y289" s="1851"/>
      <c r="Z289" s="1851"/>
      <c r="AA289" s="1851"/>
      <c r="AB289" s="1851"/>
      <c r="AC289" s="1851"/>
      <c r="AD289" s="1851"/>
      <c r="AE289" s="1851"/>
      <c r="AF289" s="1851"/>
      <c r="AG289" s="1851"/>
      <c r="AH289" s="1851"/>
      <c r="AI289" s="1851"/>
      <c r="AJ289" s="1851"/>
      <c r="AK289" s="1851"/>
      <c r="AL289" s="1851"/>
      <c r="AM289" s="1851"/>
      <c r="AN289" s="1851"/>
      <c r="AO289" s="1851"/>
      <c r="AP289" s="1851"/>
      <c r="AQ289" s="1851"/>
      <c r="AR289" s="1851"/>
      <c r="AS289" s="1851"/>
      <c r="AT289" s="1851"/>
      <c r="AU289" s="1851"/>
      <c r="AV289" s="1851"/>
      <c r="AW289" s="1851"/>
      <c r="AX289" s="1851"/>
      <c r="AY289" s="1851"/>
      <c r="AZ289" s="1851"/>
      <c r="BA289" s="1851"/>
      <c r="BB289" s="1851"/>
    </row>
    <row r="290" spans="1:54" x14ac:dyDescent="0.25">
      <c r="A290" s="1851">
        <v>286</v>
      </c>
      <c r="B290" s="1851"/>
      <c r="C290" s="1856" t="s">
        <v>1075</v>
      </c>
      <c r="D290" s="1856"/>
      <c r="E290" s="1856"/>
      <c r="F290" s="1856"/>
      <c r="G290" s="1856"/>
      <c r="H290" s="1856"/>
      <c r="I290" s="1856"/>
      <c r="J290" s="1856"/>
      <c r="K290" s="1856"/>
      <c r="L290" s="1856"/>
      <c r="M290" s="1856"/>
      <c r="N290" s="1856"/>
      <c r="O290" s="1856"/>
      <c r="P290" s="1856"/>
      <c r="Q290" s="1856"/>
      <c r="R290" s="1856"/>
      <c r="S290" s="1856"/>
      <c r="T290" s="1856"/>
      <c r="U290" s="1856"/>
      <c r="V290" s="1856" t="s">
        <v>1077</v>
      </c>
      <c r="W290" s="1856"/>
      <c r="X290" s="1856"/>
      <c r="Y290" s="1851"/>
      <c r="Z290" s="1851"/>
      <c r="AA290" s="1851"/>
      <c r="AB290" s="1851"/>
      <c r="AC290" s="1851"/>
      <c r="AD290" s="1851"/>
      <c r="AE290" s="1851"/>
      <c r="AF290" s="1851"/>
      <c r="AG290" s="1851"/>
      <c r="AH290" s="1851"/>
      <c r="AI290" s="1851"/>
      <c r="AJ290" s="1851"/>
      <c r="AK290" s="1851"/>
      <c r="AL290" s="1851"/>
      <c r="AM290" s="1851"/>
      <c r="AN290" s="1851"/>
      <c r="AO290" s="1851"/>
      <c r="AP290" s="1851"/>
      <c r="AQ290" s="1851"/>
      <c r="AR290" s="1851"/>
      <c r="AS290" s="1851"/>
      <c r="AT290" s="1851"/>
      <c r="AU290" s="1851"/>
      <c r="AV290" s="1851"/>
      <c r="AW290" s="1851"/>
      <c r="AX290" s="1851"/>
      <c r="AY290" s="1851"/>
      <c r="AZ290" s="1851"/>
      <c r="BA290" s="1851"/>
      <c r="BB290" s="1851"/>
    </row>
    <row r="291" spans="1:54" x14ac:dyDescent="0.25">
      <c r="A291" s="1851">
        <v>287</v>
      </c>
      <c r="B291" s="1851"/>
      <c r="C291" s="1856" t="s">
        <v>513</v>
      </c>
      <c r="D291" s="1856"/>
      <c r="E291" s="1856"/>
      <c r="F291" s="1856"/>
      <c r="G291" s="1856"/>
      <c r="H291" s="1856"/>
      <c r="I291" s="1856"/>
      <c r="J291" s="1856"/>
      <c r="K291" s="1856"/>
      <c r="L291" s="1856"/>
      <c r="M291" s="1856"/>
      <c r="N291" s="1856"/>
      <c r="O291" s="1856"/>
      <c r="P291" s="1856"/>
      <c r="Q291" s="1856"/>
      <c r="R291" s="1856"/>
      <c r="S291" s="1856"/>
      <c r="T291" s="1856"/>
      <c r="U291" s="1856"/>
      <c r="V291" s="1856" t="s">
        <v>1078</v>
      </c>
      <c r="W291" s="1856"/>
      <c r="X291" s="1856"/>
      <c r="Y291" s="1851"/>
      <c r="Z291" s="1851"/>
      <c r="AA291" s="1851"/>
      <c r="AB291" s="1851"/>
      <c r="AC291" s="1851"/>
      <c r="AD291" s="1851"/>
      <c r="AE291" s="1851"/>
      <c r="AF291" s="1851"/>
      <c r="AG291" s="1851"/>
      <c r="AH291" s="1851"/>
      <c r="AI291" s="1851"/>
      <c r="AJ291" s="1851"/>
      <c r="AK291" s="1851"/>
      <c r="AL291" s="1851"/>
      <c r="AM291" s="1851"/>
      <c r="AN291" s="1851"/>
      <c r="AO291" s="1851"/>
      <c r="AP291" s="1851"/>
      <c r="AQ291" s="1851"/>
      <c r="AR291" s="1851"/>
      <c r="AS291" s="1851"/>
      <c r="AT291" s="1851"/>
      <c r="AU291" s="1851"/>
      <c r="AV291" s="1851"/>
      <c r="AW291" s="1851"/>
      <c r="AX291" s="1851"/>
      <c r="AY291" s="1851"/>
      <c r="AZ291" s="1851"/>
      <c r="BA291" s="1851"/>
      <c r="BB291" s="1851"/>
    </row>
    <row r="292" spans="1:54" x14ac:dyDescent="0.25">
      <c r="A292" s="1851">
        <v>288</v>
      </c>
      <c r="B292" s="1851"/>
      <c r="C292" s="1856" t="s">
        <v>1079</v>
      </c>
      <c r="D292" s="1856"/>
      <c r="E292" s="1856"/>
      <c r="F292" s="1856"/>
      <c r="G292" s="1856"/>
      <c r="H292" s="1856"/>
      <c r="I292" s="1856"/>
      <c r="J292" s="1856"/>
      <c r="K292" s="1856"/>
      <c r="L292" s="1856"/>
      <c r="M292" s="1856"/>
      <c r="N292" s="1856"/>
      <c r="O292" s="1856"/>
      <c r="P292" s="1856"/>
      <c r="Q292" s="1856"/>
      <c r="R292" s="1856"/>
      <c r="S292" s="1856"/>
      <c r="T292" s="1856"/>
      <c r="U292" s="1856"/>
      <c r="V292" s="1856" t="s">
        <v>1080</v>
      </c>
      <c r="W292" s="1856"/>
      <c r="X292" s="1856"/>
      <c r="Y292" s="1851"/>
      <c r="Z292" s="1851"/>
      <c r="AA292" s="1851"/>
      <c r="AB292" s="1851"/>
      <c r="AC292" s="1851"/>
      <c r="AD292" s="1851"/>
      <c r="AE292" s="1851"/>
      <c r="AF292" s="1851"/>
      <c r="AG292" s="1851"/>
      <c r="AH292" s="1851"/>
      <c r="AI292" s="1851"/>
      <c r="AJ292" s="1851"/>
      <c r="AK292" s="1851"/>
      <c r="AL292" s="1851"/>
      <c r="AM292" s="1851"/>
      <c r="AN292" s="1851"/>
      <c r="AO292" s="1851"/>
      <c r="AP292" s="1851"/>
      <c r="AQ292" s="1851"/>
      <c r="AR292" s="1851"/>
      <c r="AS292" s="1851"/>
      <c r="AT292" s="1851"/>
      <c r="AU292" s="1851"/>
      <c r="AV292" s="1851"/>
      <c r="AW292" s="1851"/>
      <c r="AX292" s="1851"/>
      <c r="AY292" s="1851"/>
      <c r="AZ292" s="1851"/>
      <c r="BA292" s="1851"/>
      <c r="BB292" s="1851"/>
    </row>
    <row r="293" spans="1:54" x14ac:dyDescent="0.25">
      <c r="A293" s="1851">
        <v>289</v>
      </c>
      <c r="B293" s="1851"/>
      <c r="C293" s="1856" t="s">
        <v>1066</v>
      </c>
      <c r="D293" s="1856"/>
      <c r="E293" s="1856"/>
      <c r="F293" s="1856"/>
      <c r="G293" s="1856"/>
      <c r="H293" s="1856"/>
      <c r="I293" s="1856"/>
      <c r="J293" s="1856"/>
      <c r="K293" s="1856"/>
      <c r="L293" s="1856"/>
      <c r="M293" s="1856"/>
      <c r="N293" s="1856"/>
      <c r="O293" s="1856"/>
      <c r="P293" s="1856"/>
      <c r="Q293" s="1856"/>
      <c r="R293" s="1856"/>
      <c r="S293" s="1856"/>
      <c r="T293" s="1856"/>
      <c r="U293" s="1856"/>
      <c r="V293" s="1856" t="s">
        <v>1080</v>
      </c>
      <c r="W293" s="1856"/>
      <c r="X293" s="1856"/>
      <c r="Y293" s="1851"/>
      <c r="Z293" s="1851"/>
      <c r="AA293" s="1851"/>
      <c r="AB293" s="1851"/>
      <c r="AC293" s="1851"/>
      <c r="AD293" s="1851"/>
      <c r="AE293" s="1851"/>
      <c r="AF293" s="1851"/>
      <c r="AG293" s="1851"/>
      <c r="AH293" s="1851"/>
      <c r="AI293" s="1851"/>
      <c r="AJ293" s="1851"/>
      <c r="AK293" s="1851"/>
      <c r="AL293" s="1851"/>
      <c r="AM293" s="1851"/>
      <c r="AN293" s="1851"/>
      <c r="AO293" s="1851"/>
      <c r="AP293" s="1851"/>
      <c r="AQ293" s="1851"/>
      <c r="AR293" s="1851"/>
      <c r="AS293" s="1851"/>
      <c r="AT293" s="1851"/>
      <c r="AU293" s="1851"/>
      <c r="AV293" s="1851"/>
      <c r="AW293" s="1851"/>
      <c r="AX293" s="1851"/>
      <c r="AY293" s="1851"/>
      <c r="AZ293" s="1851"/>
      <c r="BA293" s="1851"/>
      <c r="BB293" s="1851"/>
    </row>
    <row r="294" spans="1:54" x14ac:dyDescent="0.25">
      <c r="A294" s="1854">
        <v>290</v>
      </c>
      <c r="B294" s="1854"/>
      <c r="C294" s="1861" t="s">
        <v>1081</v>
      </c>
      <c r="D294" s="1861"/>
      <c r="E294" s="1861"/>
      <c r="F294" s="1861"/>
      <c r="G294" s="1861"/>
      <c r="H294" s="1861"/>
      <c r="I294" s="1861"/>
      <c r="J294" s="1861"/>
      <c r="K294" s="1861"/>
      <c r="L294" s="1861"/>
      <c r="M294" s="1861"/>
      <c r="N294" s="1861"/>
      <c r="O294" s="1861"/>
      <c r="P294" s="1861"/>
      <c r="Q294" s="1861"/>
      <c r="R294" s="1861"/>
      <c r="S294" s="1861"/>
      <c r="T294" s="1861"/>
      <c r="U294" s="1861"/>
      <c r="V294" s="1855" t="s">
        <v>1082</v>
      </c>
      <c r="W294" s="1855"/>
      <c r="X294" s="1855"/>
      <c r="Y294" s="1857"/>
      <c r="Z294" s="1858"/>
      <c r="AA294" s="1858"/>
      <c r="AB294" s="1858"/>
      <c r="AC294" s="1859"/>
      <c r="AD294" s="1859"/>
      <c r="AE294" s="1857"/>
      <c r="AF294" s="1858"/>
      <c r="AG294" s="1858"/>
      <c r="AH294" s="1858"/>
      <c r="AI294" s="1859"/>
      <c r="AJ294" s="1859"/>
      <c r="AK294" s="1857"/>
      <c r="AL294" s="1858"/>
      <c r="AM294" s="1858"/>
      <c r="AN294" s="1858"/>
      <c r="AO294" s="1859"/>
      <c r="AP294" s="1859"/>
      <c r="AQ294" s="1857"/>
      <c r="AR294" s="1858"/>
      <c r="AS294" s="1858"/>
      <c r="AT294" s="1858"/>
      <c r="AU294" s="1859"/>
      <c r="AV294" s="1859"/>
      <c r="AW294" s="1857"/>
      <c r="AX294" s="1858"/>
      <c r="AY294" s="1858"/>
      <c r="AZ294" s="1858"/>
      <c r="BA294" s="1859"/>
      <c r="BB294" s="1859"/>
    </row>
    <row r="295" spans="1:54" x14ac:dyDescent="0.25">
      <c r="A295" s="1851">
        <v>291</v>
      </c>
      <c r="B295" s="1851"/>
      <c r="C295" s="1860" t="s">
        <v>275</v>
      </c>
      <c r="D295" s="1860"/>
      <c r="E295" s="1860"/>
      <c r="F295" s="1860"/>
      <c r="G295" s="1860"/>
      <c r="H295" s="1860"/>
      <c r="I295" s="1860"/>
      <c r="J295" s="1860"/>
      <c r="K295" s="1860"/>
      <c r="L295" s="1860"/>
      <c r="M295" s="1860"/>
      <c r="N295" s="1860"/>
      <c r="O295" s="1860"/>
      <c r="P295" s="1860"/>
      <c r="Q295" s="1860"/>
      <c r="R295" s="1860"/>
      <c r="S295" s="1860"/>
      <c r="T295" s="1860"/>
      <c r="U295" s="1860"/>
      <c r="V295" s="1856" t="s">
        <v>1083</v>
      </c>
      <c r="W295" s="1856"/>
      <c r="X295" s="1856"/>
      <c r="Y295" s="1851"/>
      <c r="Z295" s="1851"/>
      <c r="AA295" s="1851"/>
      <c r="AB295" s="1851"/>
      <c r="AC295" s="1851"/>
      <c r="AD295" s="1851"/>
      <c r="AE295" s="1851"/>
      <c r="AF295" s="1851"/>
      <c r="AG295" s="1851"/>
      <c r="AH295" s="1851"/>
      <c r="AI295" s="1851"/>
      <c r="AJ295" s="1851"/>
      <c r="AK295" s="1851"/>
      <c r="AL295" s="1851"/>
      <c r="AM295" s="1851"/>
      <c r="AN295" s="1851"/>
      <c r="AO295" s="1851"/>
      <c r="AP295" s="1851"/>
      <c r="AQ295" s="1851"/>
      <c r="AR295" s="1851"/>
      <c r="AS295" s="1851"/>
      <c r="AT295" s="1851"/>
      <c r="AU295" s="1851"/>
      <c r="AV295" s="1851"/>
      <c r="AW295" s="1851"/>
      <c r="AX295" s="1851"/>
      <c r="AY295" s="1851"/>
      <c r="AZ295" s="1851"/>
      <c r="BA295" s="1851"/>
      <c r="BB295" s="1851"/>
    </row>
    <row r="296" spans="1:54" x14ac:dyDescent="0.25">
      <c r="A296" s="1851">
        <v>292</v>
      </c>
      <c r="B296" s="1851"/>
      <c r="C296" s="1860" t="s">
        <v>276</v>
      </c>
      <c r="D296" s="1860"/>
      <c r="E296" s="1860"/>
      <c r="F296" s="1860"/>
      <c r="G296" s="1860"/>
      <c r="H296" s="1860"/>
      <c r="I296" s="1860"/>
      <c r="J296" s="1860"/>
      <c r="K296" s="1860"/>
      <c r="L296" s="1860"/>
      <c r="M296" s="1860"/>
      <c r="N296" s="1860"/>
      <c r="O296" s="1860"/>
      <c r="P296" s="1860"/>
      <c r="Q296" s="1860"/>
      <c r="R296" s="1860"/>
      <c r="S296" s="1860"/>
      <c r="T296" s="1860"/>
      <c r="U296" s="1860"/>
      <c r="V296" s="1856" t="s">
        <v>1084</v>
      </c>
      <c r="W296" s="1856"/>
      <c r="X296" s="1856"/>
      <c r="Y296" s="1851"/>
      <c r="Z296" s="1851"/>
      <c r="AA296" s="1851"/>
      <c r="AB296" s="1851"/>
      <c r="AC296" s="1851"/>
      <c r="AD296" s="1851"/>
      <c r="AE296" s="1851"/>
      <c r="AF296" s="1851"/>
      <c r="AG296" s="1851"/>
      <c r="AH296" s="1851"/>
      <c r="AI296" s="1851"/>
      <c r="AJ296" s="1851"/>
      <c r="AK296" s="1851"/>
      <c r="AL296" s="1851"/>
      <c r="AM296" s="1851"/>
      <c r="AN296" s="1851"/>
      <c r="AO296" s="1851"/>
      <c r="AP296" s="1851"/>
      <c r="AQ296" s="1851"/>
      <c r="AR296" s="1851"/>
      <c r="AS296" s="1851"/>
      <c r="AT296" s="1851"/>
      <c r="AU296" s="1851"/>
      <c r="AV296" s="1851"/>
      <c r="AW296" s="1851"/>
      <c r="AX296" s="1851"/>
      <c r="AY296" s="1851"/>
      <c r="AZ296" s="1851"/>
      <c r="BA296" s="1851"/>
      <c r="BB296" s="1851"/>
    </row>
    <row r="297" spans="1:54" x14ac:dyDescent="0.25">
      <c r="A297" s="1851">
        <v>293</v>
      </c>
      <c r="B297" s="1851"/>
      <c r="C297" s="1860" t="s">
        <v>1085</v>
      </c>
      <c r="D297" s="1860"/>
      <c r="E297" s="1860"/>
      <c r="F297" s="1860"/>
      <c r="G297" s="1860"/>
      <c r="H297" s="1860"/>
      <c r="I297" s="1860"/>
      <c r="J297" s="1860"/>
      <c r="K297" s="1860"/>
      <c r="L297" s="1860"/>
      <c r="M297" s="1860"/>
      <c r="N297" s="1860"/>
      <c r="O297" s="1860"/>
      <c r="P297" s="1860"/>
      <c r="Q297" s="1860"/>
      <c r="R297" s="1860"/>
      <c r="S297" s="1860"/>
      <c r="T297" s="1860"/>
      <c r="U297" s="1860"/>
      <c r="V297" s="1856" t="s">
        <v>1086</v>
      </c>
      <c r="W297" s="1856"/>
      <c r="X297" s="1856"/>
      <c r="Y297" s="1851"/>
      <c r="Z297" s="1851"/>
      <c r="AA297" s="1851"/>
      <c r="AB297" s="1851"/>
      <c r="AC297" s="1851"/>
      <c r="AD297" s="1851"/>
      <c r="AE297" s="1851"/>
      <c r="AF297" s="1851"/>
      <c r="AG297" s="1851"/>
      <c r="AH297" s="1851"/>
      <c r="AI297" s="1851"/>
      <c r="AJ297" s="1851"/>
      <c r="AK297" s="1851"/>
      <c r="AL297" s="1851"/>
      <c r="AM297" s="1851"/>
      <c r="AN297" s="1851"/>
      <c r="AO297" s="1851"/>
      <c r="AP297" s="1851"/>
      <c r="AQ297" s="1851"/>
      <c r="AR297" s="1851"/>
      <c r="AS297" s="1851"/>
      <c r="AT297" s="1851"/>
      <c r="AU297" s="1851"/>
      <c r="AV297" s="1851"/>
      <c r="AW297" s="1851"/>
      <c r="AX297" s="1851"/>
      <c r="AY297" s="1851"/>
      <c r="AZ297" s="1851"/>
      <c r="BA297" s="1851"/>
      <c r="BB297" s="1851"/>
    </row>
    <row r="298" spans="1:54" x14ac:dyDescent="0.25">
      <c r="A298" s="1851">
        <v>294</v>
      </c>
      <c r="B298" s="1851"/>
      <c r="C298" s="1860" t="s">
        <v>1087</v>
      </c>
      <c r="D298" s="1860"/>
      <c r="E298" s="1860"/>
      <c r="F298" s="1860"/>
      <c r="G298" s="1860"/>
      <c r="H298" s="1860"/>
      <c r="I298" s="1860"/>
      <c r="J298" s="1860"/>
      <c r="K298" s="1860"/>
      <c r="L298" s="1860"/>
      <c r="M298" s="1860"/>
      <c r="N298" s="1860"/>
      <c r="O298" s="1860"/>
      <c r="P298" s="1860"/>
      <c r="Q298" s="1860"/>
      <c r="R298" s="1860"/>
      <c r="S298" s="1860"/>
      <c r="T298" s="1860"/>
      <c r="U298" s="1860"/>
      <c r="V298" s="1856" t="s">
        <v>1088</v>
      </c>
      <c r="W298" s="1856"/>
      <c r="X298" s="1856"/>
      <c r="Y298" s="1851"/>
      <c r="Z298" s="1851"/>
      <c r="AA298" s="1851"/>
      <c r="AB298" s="1851"/>
      <c r="AC298" s="1851"/>
      <c r="AD298" s="1851"/>
      <c r="AE298" s="1851"/>
      <c r="AF298" s="1851"/>
      <c r="AG298" s="1851"/>
      <c r="AH298" s="1851"/>
      <c r="AI298" s="1851"/>
      <c r="AJ298" s="1851"/>
      <c r="AK298" s="1851"/>
      <c r="AL298" s="1851"/>
      <c r="AM298" s="1851"/>
      <c r="AN298" s="1851"/>
      <c r="AO298" s="1851"/>
      <c r="AP298" s="1851"/>
      <c r="AQ298" s="1851"/>
      <c r="AR298" s="1851"/>
      <c r="AS298" s="1851"/>
      <c r="AT298" s="1851"/>
      <c r="AU298" s="1851"/>
      <c r="AV298" s="1851"/>
      <c r="AW298" s="1851"/>
      <c r="AX298" s="1851"/>
      <c r="AY298" s="1851"/>
      <c r="AZ298" s="1851"/>
      <c r="BA298" s="1851"/>
      <c r="BB298" s="1851"/>
    </row>
    <row r="299" spans="1:54" x14ac:dyDescent="0.25">
      <c r="A299" s="1851">
        <v>295</v>
      </c>
      <c r="B299" s="1851"/>
      <c r="C299" s="1860" t="s">
        <v>368</v>
      </c>
      <c r="D299" s="1860"/>
      <c r="E299" s="1860"/>
      <c r="F299" s="1860"/>
      <c r="G299" s="1860"/>
      <c r="H299" s="1860"/>
      <c r="I299" s="1860"/>
      <c r="J299" s="1860"/>
      <c r="K299" s="1860"/>
      <c r="L299" s="1860"/>
      <c r="M299" s="1860"/>
      <c r="N299" s="1860"/>
      <c r="O299" s="1860"/>
      <c r="P299" s="1860"/>
      <c r="Q299" s="1860"/>
      <c r="R299" s="1860"/>
      <c r="S299" s="1860"/>
      <c r="T299" s="1860"/>
      <c r="U299" s="1860"/>
      <c r="V299" s="1856" t="s">
        <v>1089</v>
      </c>
      <c r="W299" s="1856"/>
      <c r="X299" s="1856"/>
      <c r="Y299" s="1851"/>
      <c r="Z299" s="1851"/>
      <c r="AA299" s="1851"/>
      <c r="AB299" s="1851"/>
      <c r="AC299" s="1851"/>
      <c r="AD299" s="1851"/>
      <c r="AE299" s="1851"/>
      <c r="AF299" s="1851"/>
      <c r="AG299" s="1851"/>
      <c r="AH299" s="1851"/>
      <c r="AI299" s="1851"/>
      <c r="AJ299" s="1851"/>
      <c r="AK299" s="1851"/>
      <c r="AL299" s="1851"/>
      <c r="AM299" s="1851"/>
      <c r="AN299" s="1851"/>
      <c r="AO299" s="1851"/>
      <c r="AP299" s="1851"/>
      <c r="AQ299" s="1851"/>
      <c r="AR299" s="1851"/>
      <c r="AS299" s="1851"/>
      <c r="AT299" s="1851"/>
      <c r="AU299" s="1851"/>
      <c r="AV299" s="1851"/>
      <c r="AW299" s="1851"/>
      <c r="AX299" s="1851"/>
      <c r="AY299" s="1851"/>
      <c r="AZ299" s="1851"/>
      <c r="BA299" s="1851"/>
      <c r="BB299" s="1851"/>
    </row>
    <row r="300" spans="1:54" x14ac:dyDescent="0.25">
      <c r="A300" s="1851">
        <v>296</v>
      </c>
      <c r="B300" s="1851"/>
      <c r="C300" s="1860" t="s">
        <v>1090</v>
      </c>
      <c r="D300" s="1860"/>
      <c r="E300" s="1860"/>
      <c r="F300" s="1860"/>
      <c r="G300" s="1860"/>
      <c r="H300" s="1860"/>
      <c r="I300" s="1860"/>
      <c r="J300" s="1860"/>
      <c r="K300" s="1860"/>
      <c r="L300" s="1860"/>
      <c r="M300" s="1860"/>
      <c r="N300" s="1860"/>
      <c r="O300" s="1860"/>
      <c r="P300" s="1860"/>
      <c r="Q300" s="1860"/>
      <c r="R300" s="1860"/>
      <c r="S300" s="1860"/>
      <c r="T300" s="1860"/>
      <c r="U300" s="1860"/>
      <c r="V300" s="1856" t="s">
        <v>1091</v>
      </c>
      <c r="W300" s="1856"/>
      <c r="X300" s="1856"/>
      <c r="Y300" s="1851"/>
      <c r="Z300" s="1851"/>
      <c r="AA300" s="1851"/>
      <c r="AB300" s="1851"/>
      <c r="AC300" s="1851"/>
      <c r="AD300" s="1851"/>
      <c r="AE300" s="1851"/>
      <c r="AF300" s="1851"/>
      <c r="AG300" s="1851"/>
      <c r="AH300" s="1851"/>
      <c r="AI300" s="1851"/>
      <c r="AJ300" s="1851"/>
      <c r="AK300" s="1851"/>
      <c r="AL300" s="1851"/>
      <c r="AM300" s="1851"/>
      <c r="AN300" s="1851"/>
      <c r="AO300" s="1851"/>
      <c r="AP300" s="1851"/>
      <c r="AQ300" s="1851"/>
      <c r="AR300" s="1851"/>
      <c r="AS300" s="1851"/>
      <c r="AT300" s="1851"/>
      <c r="AU300" s="1851"/>
      <c r="AV300" s="1851"/>
      <c r="AW300" s="1851"/>
      <c r="AX300" s="1851"/>
      <c r="AY300" s="1851"/>
      <c r="AZ300" s="1851"/>
      <c r="BA300" s="1851"/>
      <c r="BB300" s="1851"/>
    </row>
    <row r="301" spans="1:54" x14ac:dyDescent="0.25">
      <c r="A301" s="1854">
        <v>297</v>
      </c>
      <c r="B301" s="1854"/>
      <c r="C301" s="1861" t="s">
        <v>1092</v>
      </c>
      <c r="D301" s="1861"/>
      <c r="E301" s="1861"/>
      <c r="F301" s="1861"/>
      <c r="G301" s="1861"/>
      <c r="H301" s="1861"/>
      <c r="I301" s="1861"/>
      <c r="J301" s="1861"/>
      <c r="K301" s="1861"/>
      <c r="L301" s="1861"/>
      <c r="M301" s="1861"/>
      <c r="N301" s="1861"/>
      <c r="O301" s="1861"/>
      <c r="P301" s="1861"/>
      <c r="Q301" s="1861"/>
      <c r="R301" s="1861"/>
      <c r="S301" s="1861"/>
      <c r="T301" s="1861"/>
      <c r="U301" s="1861"/>
      <c r="V301" s="1855" t="s">
        <v>1093</v>
      </c>
      <c r="W301" s="1855"/>
      <c r="X301" s="1855"/>
      <c r="Y301" s="1857"/>
      <c r="Z301" s="1858"/>
      <c r="AA301" s="1858"/>
      <c r="AB301" s="1858"/>
      <c r="AC301" s="1859"/>
      <c r="AD301" s="1859"/>
      <c r="AE301" s="1857"/>
      <c r="AF301" s="1858"/>
      <c r="AG301" s="1858"/>
      <c r="AH301" s="1858"/>
      <c r="AI301" s="1859"/>
      <c r="AJ301" s="1859"/>
      <c r="AK301" s="1857"/>
      <c r="AL301" s="1858"/>
      <c r="AM301" s="1858"/>
      <c r="AN301" s="1858"/>
      <c r="AO301" s="1859"/>
      <c r="AP301" s="1859"/>
      <c r="AQ301" s="1857"/>
      <c r="AR301" s="1858"/>
      <c r="AS301" s="1858"/>
      <c r="AT301" s="1858"/>
      <c r="AU301" s="1859"/>
      <c r="AV301" s="1859"/>
      <c r="AW301" s="1857"/>
      <c r="AX301" s="1858"/>
      <c r="AY301" s="1858"/>
      <c r="AZ301" s="1858"/>
      <c r="BA301" s="1859"/>
      <c r="BB301" s="1859"/>
    </row>
    <row r="302" spans="1:54" x14ac:dyDescent="0.25">
      <c r="A302" s="1851">
        <v>298</v>
      </c>
      <c r="B302" s="1851"/>
      <c r="C302" s="1860" t="s">
        <v>1094</v>
      </c>
      <c r="D302" s="1860"/>
      <c r="E302" s="1860"/>
      <c r="F302" s="1860"/>
      <c r="G302" s="1860"/>
      <c r="H302" s="1860"/>
      <c r="I302" s="1860"/>
      <c r="J302" s="1860"/>
      <c r="K302" s="1860"/>
      <c r="L302" s="1860"/>
      <c r="M302" s="1860"/>
      <c r="N302" s="1860"/>
      <c r="O302" s="1860"/>
      <c r="P302" s="1860"/>
      <c r="Q302" s="1860"/>
      <c r="R302" s="1860"/>
      <c r="S302" s="1860"/>
      <c r="T302" s="1860"/>
      <c r="U302" s="1860"/>
      <c r="V302" s="1856" t="s">
        <v>1095</v>
      </c>
      <c r="W302" s="1856"/>
      <c r="X302" s="1856"/>
      <c r="Y302" s="1851"/>
      <c r="Z302" s="1851"/>
      <c r="AA302" s="1851"/>
      <c r="AB302" s="1851"/>
      <c r="AC302" s="1851"/>
      <c r="AD302" s="1851"/>
      <c r="AE302" s="1851"/>
      <c r="AF302" s="1851"/>
      <c r="AG302" s="1851"/>
      <c r="AH302" s="1851"/>
      <c r="AI302" s="1851"/>
      <c r="AJ302" s="1851"/>
      <c r="AK302" s="1851"/>
      <c r="AL302" s="1851"/>
      <c r="AM302" s="1851"/>
      <c r="AN302" s="1851"/>
      <c r="AO302" s="1851"/>
      <c r="AP302" s="1851"/>
      <c r="AQ302" s="1851"/>
      <c r="AR302" s="1851"/>
      <c r="AS302" s="1851"/>
      <c r="AT302" s="1851"/>
      <c r="AU302" s="1851"/>
      <c r="AV302" s="1851"/>
      <c r="AW302" s="1851"/>
      <c r="AX302" s="1851"/>
      <c r="AY302" s="1851"/>
      <c r="AZ302" s="1851"/>
      <c r="BA302" s="1851"/>
      <c r="BB302" s="1851"/>
    </row>
    <row r="303" spans="1:54" x14ac:dyDescent="0.25">
      <c r="A303" s="1851">
        <v>299</v>
      </c>
      <c r="B303" s="1851"/>
      <c r="C303" s="1862" t="s">
        <v>1096</v>
      </c>
      <c r="D303" s="1862"/>
      <c r="E303" s="1862"/>
      <c r="F303" s="1862"/>
      <c r="G303" s="1862"/>
      <c r="H303" s="1862"/>
      <c r="I303" s="1862"/>
      <c r="J303" s="1862"/>
      <c r="K303" s="1862"/>
      <c r="L303" s="1862"/>
      <c r="M303" s="1862"/>
      <c r="N303" s="1862"/>
      <c r="O303" s="1862"/>
      <c r="P303" s="1862"/>
      <c r="Q303" s="1862"/>
      <c r="R303" s="1862"/>
      <c r="S303" s="1862"/>
      <c r="T303" s="1862"/>
      <c r="U303" s="1862"/>
      <c r="V303" s="1856" t="s">
        <v>1097</v>
      </c>
      <c r="W303" s="1856"/>
      <c r="X303" s="1856"/>
      <c r="Y303" s="1851"/>
      <c r="Z303" s="1851"/>
      <c r="AA303" s="1851"/>
      <c r="AB303" s="1851"/>
      <c r="AC303" s="1851"/>
      <c r="AD303" s="1851"/>
      <c r="AE303" s="1851"/>
      <c r="AF303" s="1851"/>
      <c r="AG303" s="1851"/>
      <c r="AH303" s="1851"/>
      <c r="AI303" s="1851"/>
      <c r="AJ303" s="1851"/>
      <c r="AK303" s="1851"/>
      <c r="AL303" s="1851"/>
      <c r="AM303" s="1851"/>
      <c r="AN303" s="1851"/>
      <c r="AO303" s="1851"/>
      <c r="AP303" s="1851"/>
      <c r="AQ303" s="1851"/>
      <c r="AR303" s="1851"/>
      <c r="AS303" s="1851"/>
      <c r="AT303" s="1851"/>
      <c r="AU303" s="1851"/>
      <c r="AV303" s="1851"/>
      <c r="AW303" s="1851"/>
      <c r="AX303" s="1851"/>
      <c r="AY303" s="1851"/>
      <c r="AZ303" s="1851"/>
      <c r="BA303" s="1851"/>
      <c r="BB303" s="1851"/>
    </row>
    <row r="304" spans="1:54" x14ac:dyDescent="0.25">
      <c r="A304" s="1851">
        <v>300</v>
      </c>
      <c r="B304" s="1851"/>
      <c r="C304" s="1860" t="s">
        <v>1098</v>
      </c>
      <c r="D304" s="1860"/>
      <c r="E304" s="1860"/>
      <c r="F304" s="1860"/>
      <c r="G304" s="1860"/>
      <c r="H304" s="1860"/>
      <c r="I304" s="1860"/>
      <c r="J304" s="1860"/>
      <c r="K304" s="1860"/>
      <c r="L304" s="1860"/>
      <c r="M304" s="1860"/>
      <c r="N304" s="1860"/>
      <c r="O304" s="1860"/>
      <c r="P304" s="1860"/>
      <c r="Q304" s="1860"/>
      <c r="R304" s="1860"/>
      <c r="S304" s="1860"/>
      <c r="T304" s="1860"/>
      <c r="U304" s="1860"/>
      <c r="V304" s="1856" t="s">
        <v>1099</v>
      </c>
      <c r="W304" s="1856"/>
      <c r="X304" s="1856"/>
      <c r="Y304" s="1851"/>
      <c r="Z304" s="1851"/>
      <c r="AA304" s="1851"/>
      <c r="AB304" s="1851"/>
      <c r="AC304" s="1851"/>
      <c r="AD304" s="1851"/>
      <c r="AE304" s="1851"/>
      <c r="AF304" s="1851"/>
      <c r="AG304" s="1851"/>
      <c r="AH304" s="1851"/>
      <c r="AI304" s="1851"/>
      <c r="AJ304" s="1851"/>
      <c r="AK304" s="1851"/>
      <c r="AL304" s="1851"/>
      <c r="AM304" s="1851"/>
      <c r="AN304" s="1851"/>
      <c r="AO304" s="1851"/>
      <c r="AP304" s="1851"/>
      <c r="AQ304" s="1851"/>
      <c r="AR304" s="1851"/>
      <c r="AS304" s="1851"/>
      <c r="AT304" s="1851"/>
      <c r="AU304" s="1851"/>
      <c r="AV304" s="1851"/>
      <c r="AW304" s="1851"/>
      <c r="AX304" s="1851"/>
      <c r="AY304" s="1851"/>
      <c r="AZ304" s="1851"/>
      <c r="BA304" s="1851"/>
      <c r="BB304" s="1851"/>
    </row>
    <row r="305" spans="1:54" x14ac:dyDescent="0.25">
      <c r="A305" s="1851">
        <v>301</v>
      </c>
      <c r="B305" s="1851"/>
      <c r="C305" s="1856" t="s">
        <v>1066</v>
      </c>
      <c r="D305" s="1856"/>
      <c r="E305" s="1856"/>
      <c r="F305" s="1856"/>
      <c r="G305" s="1856"/>
      <c r="H305" s="1856"/>
      <c r="I305" s="1856"/>
      <c r="J305" s="1856"/>
      <c r="K305" s="1856"/>
      <c r="L305" s="1856"/>
      <c r="M305" s="1856"/>
      <c r="N305" s="1856"/>
      <c r="O305" s="1856"/>
      <c r="P305" s="1856"/>
      <c r="Q305" s="1856"/>
      <c r="R305" s="1856"/>
      <c r="S305" s="1856"/>
      <c r="T305" s="1856"/>
      <c r="U305" s="1856"/>
      <c r="V305" s="1856" t="s">
        <v>1099</v>
      </c>
      <c r="W305" s="1856"/>
      <c r="X305" s="1856"/>
      <c r="Y305" s="1851"/>
      <c r="Z305" s="1851"/>
      <c r="AA305" s="1851"/>
      <c r="AB305" s="1851"/>
      <c r="AC305" s="1851"/>
      <c r="AD305" s="1851"/>
      <c r="AE305" s="1851"/>
      <c r="AF305" s="1851"/>
      <c r="AG305" s="1851"/>
      <c r="AH305" s="1851"/>
      <c r="AI305" s="1851"/>
      <c r="AJ305" s="1851"/>
      <c r="AK305" s="1851"/>
      <c r="AL305" s="1851"/>
      <c r="AM305" s="1851"/>
      <c r="AN305" s="1851"/>
      <c r="AO305" s="1851"/>
      <c r="AP305" s="1851"/>
      <c r="AQ305" s="1851"/>
      <c r="AR305" s="1851"/>
      <c r="AS305" s="1851"/>
      <c r="AT305" s="1851"/>
      <c r="AU305" s="1851"/>
      <c r="AV305" s="1851"/>
      <c r="AW305" s="1851"/>
      <c r="AX305" s="1851"/>
      <c r="AY305" s="1851"/>
      <c r="AZ305" s="1851"/>
      <c r="BA305" s="1851"/>
      <c r="BB305" s="1851"/>
    </row>
    <row r="306" spans="1:54" x14ac:dyDescent="0.25">
      <c r="A306" s="1851">
        <v>302</v>
      </c>
      <c r="B306" s="1851"/>
      <c r="C306" s="1860" t="s">
        <v>1100</v>
      </c>
      <c r="D306" s="1860"/>
      <c r="E306" s="1860"/>
      <c r="F306" s="1860"/>
      <c r="G306" s="1860"/>
      <c r="H306" s="1860"/>
      <c r="I306" s="1860"/>
      <c r="J306" s="1860"/>
      <c r="K306" s="1860"/>
      <c r="L306" s="1860"/>
      <c r="M306" s="1860"/>
      <c r="N306" s="1860"/>
      <c r="O306" s="1860"/>
      <c r="P306" s="1860"/>
      <c r="Q306" s="1860"/>
      <c r="R306" s="1860"/>
      <c r="S306" s="1860"/>
      <c r="T306" s="1860"/>
      <c r="U306" s="1860"/>
      <c r="V306" s="1856" t="s">
        <v>1101</v>
      </c>
      <c r="W306" s="1856"/>
      <c r="X306" s="1856"/>
      <c r="Y306" s="1851"/>
      <c r="Z306" s="1851"/>
      <c r="AA306" s="1851"/>
      <c r="AB306" s="1851"/>
      <c r="AC306" s="1851"/>
      <c r="AD306" s="1851"/>
      <c r="AE306" s="1851"/>
      <c r="AF306" s="1851"/>
      <c r="AG306" s="1851"/>
      <c r="AH306" s="1851"/>
      <c r="AI306" s="1851"/>
      <c r="AJ306" s="1851"/>
      <c r="AK306" s="1851"/>
      <c r="AL306" s="1851"/>
      <c r="AM306" s="1851"/>
      <c r="AN306" s="1851"/>
      <c r="AO306" s="1851"/>
      <c r="AP306" s="1851"/>
      <c r="AQ306" s="1851"/>
      <c r="AR306" s="1851"/>
      <c r="AS306" s="1851"/>
      <c r="AT306" s="1851"/>
      <c r="AU306" s="1851"/>
      <c r="AV306" s="1851"/>
      <c r="AW306" s="1851"/>
      <c r="AX306" s="1851"/>
      <c r="AY306" s="1851"/>
      <c r="AZ306" s="1851"/>
      <c r="BA306" s="1851"/>
      <c r="BB306" s="1851"/>
    </row>
    <row r="307" spans="1:54" x14ac:dyDescent="0.25">
      <c r="A307" s="1851">
        <v>303</v>
      </c>
      <c r="B307" s="1851"/>
      <c r="C307" s="1856" t="s">
        <v>1102</v>
      </c>
      <c r="D307" s="1856"/>
      <c r="E307" s="1856"/>
      <c r="F307" s="1856"/>
      <c r="G307" s="1856"/>
      <c r="H307" s="1856"/>
      <c r="I307" s="1856"/>
      <c r="J307" s="1856"/>
      <c r="K307" s="1856"/>
      <c r="L307" s="1856"/>
      <c r="M307" s="1856"/>
      <c r="N307" s="1856"/>
      <c r="O307" s="1856"/>
      <c r="P307" s="1856"/>
      <c r="Q307" s="1856"/>
      <c r="R307" s="1856"/>
      <c r="S307" s="1856"/>
      <c r="T307" s="1856"/>
      <c r="U307" s="1856"/>
      <c r="V307" s="1856" t="s">
        <v>1101</v>
      </c>
      <c r="W307" s="1856"/>
      <c r="X307" s="1856"/>
      <c r="Y307" s="1851"/>
      <c r="Z307" s="1851"/>
      <c r="AA307" s="1851"/>
      <c r="AB307" s="1851"/>
      <c r="AC307" s="1851"/>
      <c r="AD307" s="1851"/>
      <c r="AE307" s="1851"/>
      <c r="AF307" s="1851"/>
      <c r="AG307" s="1851"/>
      <c r="AH307" s="1851"/>
      <c r="AI307" s="1851"/>
      <c r="AJ307" s="1851"/>
      <c r="AK307" s="1851"/>
      <c r="AL307" s="1851"/>
      <c r="AM307" s="1851"/>
      <c r="AN307" s="1851"/>
      <c r="AO307" s="1851"/>
      <c r="AP307" s="1851"/>
      <c r="AQ307" s="1851"/>
      <c r="AR307" s="1851"/>
      <c r="AS307" s="1851"/>
      <c r="AT307" s="1851"/>
      <c r="AU307" s="1851"/>
      <c r="AV307" s="1851"/>
      <c r="AW307" s="1851"/>
      <c r="AX307" s="1851"/>
      <c r="AY307" s="1851"/>
      <c r="AZ307" s="1851"/>
      <c r="BA307" s="1851"/>
      <c r="BB307" s="1851"/>
    </row>
    <row r="308" spans="1:54" x14ac:dyDescent="0.25">
      <c r="A308" s="1851">
        <v>304</v>
      </c>
      <c r="B308" s="1851"/>
      <c r="C308" s="1856" t="s">
        <v>1103</v>
      </c>
      <c r="D308" s="1856"/>
      <c r="E308" s="1856"/>
      <c r="F308" s="1856"/>
      <c r="G308" s="1856"/>
      <c r="H308" s="1856"/>
      <c r="I308" s="1856"/>
      <c r="J308" s="1856"/>
      <c r="K308" s="1856"/>
      <c r="L308" s="1856"/>
      <c r="M308" s="1856"/>
      <c r="N308" s="1856"/>
      <c r="O308" s="1856"/>
      <c r="P308" s="1856"/>
      <c r="Q308" s="1856"/>
      <c r="R308" s="1856"/>
      <c r="S308" s="1856"/>
      <c r="T308" s="1856"/>
      <c r="U308" s="1856"/>
      <c r="V308" s="1856" t="s">
        <v>1101</v>
      </c>
      <c r="W308" s="1856"/>
      <c r="X308" s="1856"/>
      <c r="Y308" s="1851"/>
      <c r="Z308" s="1851"/>
      <c r="AA308" s="1851"/>
      <c r="AB308" s="1851"/>
      <c r="AC308" s="1851"/>
      <c r="AD308" s="1851"/>
      <c r="AE308" s="1851"/>
      <c r="AF308" s="1851"/>
      <c r="AG308" s="1851"/>
      <c r="AH308" s="1851"/>
      <c r="AI308" s="1851"/>
      <c r="AJ308" s="1851"/>
      <c r="AK308" s="1851"/>
      <c r="AL308" s="1851"/>
      <c r="AM308" s="1851"/>
      <c r="AN308" s="1851"/>
      <c r="AO308" s="1851"/>
      <c r="AP308" s="1851"/>
      <c r="AQ308" s="1851"/>
      <c r="AR308" s="1851"/>
      <c r="AS308" s="1851"/>
      <c r="AT308" s="1851"/>
      <c r="AU308" s="1851"/>
      <c r="AV308" s="1851"/>
      <c r="AW308" s="1851"/>
      <c r="AX308" s="1851"/>
      <c r="AY308" s="1851"/>
      <c r="AZ308" s="1851"/>
      <c r="BA308" s="1851"/>
      <c r="BB308" s="1851"/>
    </row>
    <row r="309" spans="1:54" x14ac:dyDescent="0.25">
      <c r="A309" s="1851">
        <v>305</v>
      </c>
      <c r="B309" s="1851"/>
      <c r="C309" s="1856" t="s">
        <v>1104</v>
      </c>
      <c r="D309" s="1856"/>
      <c r="E309" s="1856"/>
      <c r="F309" s="1856"/>
      <c r="G309" s="1856"/>
      <c r="H309" s="1856"/>
      <c r="I309" s="1856"/>
      <c r="J309" s="1856"/>
      <c r="K309" s="1856"/>
      <c r="L309" s="1856"/>
      <c r="M309" s="1856"/>
      <c r="N309" s="1856"/>
      <c r="O309" s="1856"/>
      <c r="P309" s="1856"/>
      <c r="Q309" s="1856"/>
      <c r="R309" s="1856"/>
      <c r="S309" s="1856"/>
      <c r="T309" s="1856"/>
      <c r="U309" s="1856"/>
      <c r="V309" s="1856" t="s">
        <v>1101</v>
      </c>
      <c r="W309" s="1856"/>
      <c r="X309" s="1856"/>
      <c r="Y309" s="1851"/>
      <c r="Z309" s="1851"/>
      <c r="AA309" s="1851"/>
      <c r="AB309" s="1851"/>
      <c r="AC309" s="1851"/>
      <c r="AD309" s="1851"/>
      <c r="AE309" s="1851"/>
      <c r="AF309" s="1851"/>
      <c r="AG309" s="1851"/>
      <c r="AH309" s="1851"/>
      <c r="AI309" s="1851"/>
      <c r="AJ309" s="1851"/>
      <c r="AK309" s="1851"/>
      <c r="AL309" s="1851"/>
      <c r="AM309" s="1851"/>
      <c r="AN309" s="1851"/>
      <c r="AO309" s="1851"/>
      <c r="AP309" s="1851"/>
      <c r="AQ309" s="1851"/>
      <c r="AR309" s="1851"/>
      <c r="AS309" s="1851"/>
      <c r="AT309" s="1851"/>
      <c r="AU309" s="1851"/>
      <c r="AV309" s="1851"/>
      <c r="AW309" s="1851"/>
      <c r="AX309" s="1851"/>
      <c r="AY309" s="1851"/>
      <c r="AZ309" s="1851"/>
      <c r="BA309" s="1851"/>
      <c r="BB309" s="1851"/>
    </row>
    <row r="310" spans="1:54" x14ac:dyDescent="0.25">
      <c r="A310" s="1851">
        <v>306</v>
      </c>
      <c r="B310" s="1851"/>
      <c r="C310" s="1856" t="s">
        <v>1066</v>
      </c>
      <c r="D310" s="1856"/>
      <c r="E310" s="1856"/>
      <c r="F310" s="1856"/>
      <c r="G310" s="1856"/>
      <c r="H310" s="1856"/>
      <c r="I310" s="1856"/>
      <c r="J310" s="1856"/>
      <c r="K310" s="1856"/>
      <c r="L310" s="1856"/>
      <c r="M310" s="1856"/>
      <c r="N310" s="1856"/>
      <c r="O310" s="1856"/>
      <c r="P310" s="1856"/>
      <c r="Q310" s="1856"/>
      <c r="R310" s="1856"/>
      <c r="S310" s="1856"/>
      <c r="T310" s="1856"/>
      <c r="U310" s="1856"/>
      <c r="V310" s="1856" t="s">
        <v>1101</v>
      </c>
      <c r="W310" s="1856"/>
      <c r="X310" s="1856"/>
      <c r="Y310" s="1851"/>
      <c r="Z310" s="1851"/>
      <c r="AA310" s="1851"/>
      <c r="AB310" s="1851"/>
      <c r="AC310" s="1851"/>
      <c r="AD310" s="1851"/>
      <c r="AE310" s="1851"/>
      <c r="AF310" s="1851"/>
      <c r="AG310" s="1851"/>
      <c r="AH310" s="1851"/>
      <c r="AI310" s="1851"/>
      <c r="AJ310" s="1851"/>
      <c r="AK310" s="1851"/>
      <c r="AL310" s="1851"/>
      <c r="AM310" s="1851"/>
      <c r="AN310" s="1851"/>
      <c r="AO310" s="1851"/>
      <c r="AP310" s="1851"/>
      <c r="AQ310" s="1851"/>
      <c r="AR310" s="1851"/>
      <c r="AS310" s="1851"/>
      <c r="AT310" s="1851"/>
      <c r="AU310" s="1851"/>
      <c r="AV310" s="1851"/>
      <c r="AW310" s="1851"/>
      <c r="AX310" s="1851"/>
      <c r="AY310" s="1851"/>
      <c r="AZ310" s="1851"/>
      <c r="BA310" s="1851"/>
      <c r="BB310" s="1851"/>
    </row>
    <row r="311" spans="1:54" x14ac:dyDescent="0.25">
      <c r="A311" s="1854">
        <v>307</v>
      </c>
      <c r="B311" s="1854"/>
      <c r="C311" s="1861" t="s">
        <v>1105</v>
      </c>
      <c r="D311" s="1861"/>
      <c r="E311" s="1861"/>
      <c r="F311" s="1861"/>
      <c r="G311" s="1861"/>
      <c r="H311" s="1861"/>
      <c r="I311" s="1861"/>
      <c r="J311" s="1861"/>
      <c r="K311" s="1861"/>
      <c r="L311" s="1861"/>
      <c r="M311" s="1861"/>
      <c r="N311" s="1861"/>
      <c r="O311" s="1861"/>
      <c r="P311" s="1861"/>
      <c r="Q311" s="1861"/>
      <c r="R311" s="1861"/>
      <c r="S311" s="1861"/>
      <c r="T311" s="1861"/>
      <c r="U311" s="1861"/>
      <c r="V311" s="1855" t="s">
        <v>1106</v>
      </c>
      <c r="W311" s="1855"/>
      <c r="X311" s="1855"/>
      <c r="Y311" s="1857"/>
      <c r="Z311" s="1858"/>
      <c r="AA311" s="1858"/>
      <c r="AB311" s="1858"/>
      <c r="AC311" s="1859"/>
      <c r="AD311" s="1859"/>
      <c r="AE311" s="1857"/>
      <c r="AF311" s="1858"/>
      <c r="AG311" s="1858"/>
      <c r="AH311" s="1858"/>
      <c r="AI311" s="1859"/>
      <c r="AJ311" s="1859"/>
      <c r="AK311" s="1857"/>
      <c r="AL311" s="1858"/>
      <c r="AM311" s="1858"/>
      <c r="AN311" s="1858"/>
      <c r="AO311" s="1859"/>
      <c r="AP311" s="1859"/>
      <c r="AQ311" s="1857"/>
      <c r="AR311" s="1858"/>
      <c r="AS311" s="1858"/>
      <c r="AT311" s="1858"/>
      <c r="AU311" s="1859"/>
      <c r="AV311" s="1859"/>
      <c r="AW311" s="1857"/>
      <c r="AX311" s="1858"/>
      <c r="AY311" s="1858"/>
      <c r="AZ311" s="1858"/>
      <c r="BA311" s="1859"/>
      <c r="BB311" s="1859"/>
    </row>
    <row r="312" spans="1:54" x14ac:dyDescent="0.25">
      <c r="A312" s="1851">
        <v>308</v>
      </c>
      <c r="B312" s="1851"/>
      <c r="C312" s="1856" t="s">
        <v>1107</v>
      </c>
      <c r="D312" s="1856"/>
      <c r="E312" s="1856"/>
      <c r="F312" s="1856"/>
      <c r="G312" s="1856"/>
      <c r="H312" s="1856"/>
      <c r="I312" s="1856"/>
      <c r="J312" s="1856"/>
      <c r="K312" s="1856"/>
      <c r="L312" s="1856"/>
      <c r="M312" s="1856"/>
      <c r="N312" s="1856"/>
      <c r="O312" s="1856"/>
      <c r="P312" s="1856"/>
      <c r="Q312" s="1856"/>
      <c r="R312" s="1856"/>
      <c r="S312" s="1856"/>
      <c r="T312" s="1856"/>
      <c r="U312" s="1856"/>
      <c r="V312" s="1856" t="s">
        <v>1108</v>
      </c>
      <c r="W312" s="1856"/>
      <c r="X312" s="1856"/>
      <c r="Y312" s="1851"/>
      <c r="Z312" s="1851"/>
      <c r="AA312" s="1851"/>
      <c r="AB312" s="1851"/>
      <c r="AC312" s="1851"/>
      <c r="AD312" s="1851"/>
      <c r="AE312" s="1851"/>
      <c r="AF312" s="1851"/>
      <c r="AG312" s="1851"/>
      <c r="AH312" s="1851"/>
      <c r="AI312" s="1851"/>
      <c r="AJ312" s="1851"/>
      <c r="AK312" s="1851"/>
      <c r="AL312" s="1851"/>
      <c r="AM312" s="1851"/>
      <c r="AN312" s="1851"/>
      <c r="AO312" s="1851"/>
      <c r="AP312" s="1851"/>
      <c r="AQ312" s="1851"/>
      <c r="AR312" s="1851"/>
      <c r="AS312" s="1851"/>
      <c r="AT312" s="1851"/>
      <c r="AU312" s="1851"/>
      <c r="AV312" s="1851"/>
      <c r="AW312" s="1851"/>
      <c r="AX312" s="1851"/>
      <c r="AY312" s="1851"/>
      <c r="AZ312" s="1851"/>
      <c r="BA312" s="1851"/>
      <c r="BB312" s="1851"/>
    </row>
    <row r="313" spans="1:54" x14ac:dyDescent="0.25">
      <c r="A313" s="1854">
        <v>309</v>
      </c>
      <c r="B313" s="1854"/>
      <c r="C313" s="1861" t="s">
        <v>1109</v>
      </c>
      <c r="D313" s="1861"/>
      <c r="E313" s="1861"/>
      <c r="F313" s="1861"/>
      <c r="G313" s="1861"/>
      <c r="H313" s="1861"/>
      <c r="I313" s="1861"/>
      <c r="J313" s="1861"/>
      <c r="K313" s="1861"/>
      <c r="L313" s="1861"/>
      <c r="M313" s="1861"/>
      <c r="N313" s="1861"/>
      <c r="O313" s="1861"/>
      <c r="P313" s="1861"/>
      <c r="Q313" s="1861"/>
      <c r="R313" s="1861"/>
      <c r="S313" s="1861"/>
      <c r="T313" s="1861"/>
      <c r="U313" s="1861"/>
      <c r="V313" s="1855" t="s">
        <v>1110</v>
      </c>
      <c r="W313" s="1855"/>
      <c r="X313" s="1855"/>
      <c r="Y313" s="1857"/>
      <c r="Z313" s="1858"/>
      <c r="AA313" s="1858"/>
      <c r="AB313" s="1858"/>
      <c r="AC313" s="1859"/>
      <c r="AD313" s="1859"/>
      <c r="AE313" s="1857"/>
      <c r="AF313" s="1858"/>
      <c r="AG313" s="1858"/>
      <c r="AH313" s="1858"/>
      <c r="AI313" s="1859"/>
      <c r="AJ313" s="1859"/>
      <c r="AK313" s="1857"/>
      <c r="AL313" s="1858"/>
      <c r="AM313" s="1858"/>
      <c r="AN313" s="1858"/>
      <c r="AO313" s="1859"/>
      <c r="AP313" s="1859"/>
      <c r="AQ313" s="1857"/>
      <c r="AR313" s="1858"/>
      <c r="AS313" s="1858"/>
      <c r="AT313" s="1858"/>
      <c r="AU313" s="1859"/>
      <c r="AV313" s="1859"/>
      <c r="AW313" s="1857"/>
      <c r="AX313" s="1858"/>
      <c r="AY313" s="1858"/>
      <c r="AZ313" s="1858"/>
      <c r="BA313" s="1859"/>
      <c r="BB313" s="1859"/>
    </row>
    <row r="314" spans="1:54" x14ac:dyDescent="0.25">
      <c r="A314" s="1854">
        <v>310</v>
      </c>
      <c r="B314" s="1854"/>
      <c r="C314" s="1855" t="s">
        <v>1111</v>
      </c>
      <c r="D314" s="1855"/>
      <c r="E314" s="1855"/>
      <c r="F314" s="1855"/>
      <c r="G314" s="1855"/>
      <c r="H314" s="1855"/>
      <c r="I314" s="1855"/>
      <c r="J314" s="1855"/>
      <c r="K314" s="1855"/>
      <c r="L314" s="1855"/>
      <c r="M314" s="1855"/>
      <c r="N314" s="1855"/>
      <c r="O314" s="1855"/>
      <c r="P314" s="1855"/>
      <c r="Q314" s="1855"/>
      <c r="R314" s="1855"/>
      <c r="S314" s="1855"/>
      <c r="T314" s="1855"/>
      <c r="U314" s="1855"/>
      <c r="V314" s="1855" t="s">
        <v>1112</v>
      </c>
      <c r="W314" s="1855"/>
      <c r="X314" s="1855"/>
      <c r="Y314" s="1857"/>
      <c r="Z314" s="1858"/>
      <c r="AA314" s="1858"/>
      <c r="AB314" s="1858"/>
      <c r="AC314" s="1859"/>
      <c r="AD314" s="1859"/>
      <c r="AE314" s="1857"/>
      <c r="AF314" s="1858"/>
      <c r="AG314" s="1858"/>
      <c r="AH314" s="1858"/>
      <c r="AI314" s="1859"/>
      <c r="AJ314" s="1859"/>
      <c r="AK314" s="1857"/>
      <c r="AL314" s="1858"/>
      <c r="AM314" s="1858"/>
      <c r="AN314" s="1858"/>
      <c r="AO314" s="1859"/>
      <c r="AP314" s="1859"/>
      <c r="AQ314" s="1857"/>
      <c r="AR314" s="1858"/>
      <c r="AS314" s="1858"/>
      <c r="AT314" s="1858"/>
      <c r="AU314" s="1859"/>
      <c r="AV314" s="1859"/>
      <c r="AW314" s="1857"/>
      <c r="AX314" s="1858"/>
      <c r="AY314" s="1858"/>
      <c r="AZ314" s="1858"/>
      <c r="BA314" s="1859"/>
      <c r="BB314" s="1859"/>
    </row>
    <row r="315" spans="1:54" x14ac:dyDescent="0.25">
      <c r="A315" s="1854">
        <v>311</v>
      </c>
      <c r="B315" s="1854"/>
      <c r="C315" s="1855" t="s">
        <v>1113</v>
      </c>
      <c r="D315" s="1855"/>
      <c r="E315" s="1855"/>
      <c r="F315" s="1855"/>
      <c r="G315" s="1855"/>
      <c r="H315" s="1855"/>
      <c r="I315" s="1855"/>
      <c r="J315" s="1855"/>
      <c r="K315" s="1855"/>
      <c r="L315" s="1855"/>
      <c r="M315" s="1855"/>
      <c r="N315" s="1855"/>
      <c r="O315" s="1855"/>
      <c r="P315" s="1855"/>
      <c r="Q315" s="1855"/>
      <c r="R315" s="1855"/>
      <c r="S315" s="1855"/>
      <c r="T315" s="1855"/>
      <c r="U315" s="1855"/>
      <c r="V315" s="1856"/>
      <c r="W315" s="1856"/>
      <c r="X315" s="1856"/>
      <c r="Y315" s="1851"/>
      <c r="Z315" s="1851"/>
      <c r="AA315" s="1851"/>
      <c r="AB315" s="1851"/>
      <c r="AC315" s="1851"/>
      <c r="AD315" s="1851"/>
      <c r="AE315" s="1851"/>
      <c r="AF315" s="1851"/>
      <c r="AG315" s="1851"/>
      <c r="AH315" s="1851"/>
      <c r="AI315" s="1851"/>
      <c r="AJ315" s="1851"/>
      <c r="AK315" s="1851"/>
      <c r="AL315" s="1851"/>
      <c r="AM315" s="1851"/>
      <c r="AN315" s="1851"/>
      <c r="AO315" s="1851"/>
      <c r="AP315" s="1851"/>
      <c r="AQ315" s="1851"/>
      <c r="AR315" s="1851"/>
      <c r="AS315" s="1851"/>
      <c r="AT315" s="1851"/>
      <c r="AU315" s="1851"/>
      <c r="AV315" s="1851"/>
      <c r="AW315" s="1851"/>
      <c r="AX315" s="1851"/>
      <c r="AY315" s="1851"/>
      <c r="AZ315" s="1851"/>
      <c r="BA315" s="1851"/>
      <c r="BB315" s="1851"/>
    </row>
    <row r="316" spans="1:54" x14ac:dyDescent="0.25">
      <c r="A316" s="1854">
        <v>312</v>
      </c>
      <c r="B316" s="1854"/>
      <c r="C316" s="1855" t="s">
        <v>1114</v>
      </c>
      <c r="D316" s="1855"/>
      <c r="E316" s="1855"/>
      <c r="F316" s="1855"/>
      <c r="G316" s="1855"/>
      <c r="H316" s="1855"/>
      <c r="I316" s="1855"/>
      <c r="J316" s="1855"/>
      <c r="K316" s="1855"/>
      <c r="L316" s="1855"/>
      <c r="M316" s="1855"/>
      <c r="N316" s="1855"/>
      <c r="O316" s="1855"/>
      <c r="P316" s="1855"/>
      <c r="Q316" s="1855"/>
      <c r="R316" s="1855"/>
      <c r="S316" s="1855"/>
      <c r="T316" s="1855"/>
      <c r="U316" s="1855"/>
      <c r="V316" s="1856"/>
      <c r="W316" s="1856"/>
      <c r="X316" s="1856"/>
      <c r="Y316" s="1851"/>
      <c r="Z316" s="1851"/>
      <c r="AA316" s="1851"/>
      <c r="AB316" s="1851"/>
      <c r="AC316" s="1851"/>
      <c r="AD316" s="1851"/>
      <c r="AE316" s="1851"/>
      <c r="AF316" s="1851"/>
      <c r="AG316" s="1851"/>
      <c r="AH316" s="1851"/>
      <c r="AI316" s="1851"/>
      <c r="AJ316" s="1851"/>
      <c r="AK316" s="1851"/>
      <c r="AL316" s="1851"/>
      <c r="AM316" s="1851"/>
      <c r="AN316" s="1851"/>
      <c r="AO316" s="1851"/>
      <c r="AP316" s="1851"/>
      <c r="AQ316" s="1851"/>
      <c r="AR316" s="1851"/>
      <c r="AS316" s="1851"/>
      <c r="AT316" s="1851"/>
      <c r="AU316" s="1851"/>
      <c r="AV316" s="1851"/>
      <c r="AW316" s="1851"/>
      <c r="AX316" s="1851"/>
      <c r="AY316" s="1851"/>
      <c r="AZ316" s="1851"/>
      <c r="BA316" s="1851"/>
      <c r="BB316" s="1851"/>
    </row>
    <row r="317" spans="1:54" x14ac:dyDescent="0.25">
      <c r="A317" s="1854">
        <v>313</v>
      </c>
      <c r="B317" s="1854"/>
      <c r="C317" s="1855" t="s">
        <v>1115</v>
      </c>
      <c r="D317" s="1855"/>
      <c r="E317" s="1855"/>
      <c r="F317" s="1855"/>
      <c r="G317" s="1855"/>
      <c r="H317" s="1855"/>
      <c r="I317" s="1855"/>
      <c r="J317" s="1855"/>
      <c r="K317" s="1855"/>
      <c r="L317" s="1855"/>
      <c r="M317" s="1855"/>
      <c r="N317" s="1855"/>
      <c r="O317" s="1855"/>
      <c r="P317" s="1855"/>
      <c r="Q317" s="1855"/>
      <c r="R317" s="1855"/>
      <c r="S317" s="1855"/>
      <c r="T317" s="1855"/>
      <c r="U317" s="1855"/>
      <c r="V317" s="1856"/>
      <c r="W317" s="1856"/>
      <c r="X317" s="1856"/>
      <c r="Y317" s="1851"/>
      <c r="Z317" s="1851"/>
      <c r="AA317" s="1851"/>
      <c r="AB317" s="1851"/>
      <c r="AC317" s="1851"/>
      <c r="AD317" s="1851"/>
      <c r="AE317" s="1851"/>
      <c r="AF317" s="1851"/>
      <c r="AG317" s="1851"/>
      <c r="AH317" s="1851"/>
      <c r="AI317" s="1851"/>
      <c r="AJ317" s="1851"/>
      <c r="AK317" s="1851"/>
      <c r="AL317" s="1851"/>
      <c r="AM317" s="1851"/>
      <c r="AN317" s="1851"/>
      <c r="AO317" s="1851"/>
      <c r="AP317" s="1851"/>
      <c r="AQ317" s="1851"/>
      <c r="AR317" s="1851"/>
      <c r="AS317" s="1851"/>
      <c r="AT317" s="1851"/>
      <c r="AU317" s="1851"/>
      <c r="AV317" s="1851"/>
      <c r="AW317" s="1851"/>
      <c r="AX317" s="1851"/>
      <c r="AY317" s="1851"/>
      <c r="AZ317" s="1851"/>
      <c r="BA317" s="1851"/>
      <c r="BB317" s="1851"/>
    </row>
    <row r="318" spans="1:54" x14ac:dyDescent="0.25">
      <c r="A318" s="1854">
        <v>314</v>
      </c>
      <c r="B318" s="1854"/>
      <c r="C318" s="1855" t="s">
        <v>1116</v>
      </c>
      <c r="D318" s="1855"/>
      <c r="E318" s="1855"/>
      <c r="F318" s="1855"/>
      <c r="G318" s="1855"/>
      <c r="H318" s="1855"/>
      <c r="I318" s="1855"/>
      <c r="J318" s="1855"/>
      <c r="K318" s="1855"/>
      <c r="L318" s="1855"/>
      <c r="M318" s="1855"/>
      <c r="N318" s="1855"/>
      <c r="O318" s="1855"/>
      <c r="P318" s="1855"/>
      <c r="Q318" s="1855"/>
      <c r="R318" s="1855"/>
      <c r="S318" s="1855"/>
      <c r="T318" s="1855"/>
      <c r="U318" s="1855"/>
      <c r="V318" s="1856"/>
      <c r="W318" s="1856"/>
      <c r="X318" s="1856"/>
      <c r="Y318" s="1851"/>
      <c r="Z318" s="1851"/>
      <c r="AA318" s="1851"/>
      <c r="AB318" s="1851"/>
      <c r="AC318" s="1851"/>
      <c r="AD318" s="1851"/>
      <c r="AE318" s="1851"/>
      <c r="AF318" s="1851"/>
      <c r="AG318" s="1851"/>
      <c r="AH318" s="1851"/>
      <c r="AI318" s="1851"/>
      <c r="AJ318" s="1851"/>
      <c r="AK318" s="1851"/>
      <c r="AL318" s="1851"/>
      <c r="AM318" s="1851"/>
      <c r="AN318" s="1851"/>
      <c r="AO318" s="1851"/>
      <c r="AP318" s="1851"/>
      <c r="AQ318" s="1851"/>
      <c r="AR318" s="1851"/>
      <c r="AS318" s="1851"/>
      <c r="AT318" s="1851"/>
      <c r="AU318" s="1851"/>
      <c r="AV318" s="1851"/>
      <c r="AW318" s="1851"/>
      <c r="AX318" s="1851"/>
      <c r="AY318" s="1851"/>
      <c r="AZ318" s="1851"/>
      <c r="BA318" s="1851"/>
      <c r="BB318" s="1851"/>
    </row>
  </sheetData>
  <mergeCells count="2534">
    <mergeCell ref="A1:B3"/>
    <mergeCell ref="C1:U3"/>
    <mergeCell ref="V1:X3"/>
    <mergeCell ref="Y1:BB1"/>
    <mergeCell ref="Y3:AD3"/>
    <mergeCell ref="AE3:AJ3"/>
    <mergeCell ref="AK3:AP3"/>
    <mergeCell ref="AQ3:AV3"/>
    <mergeCell ref="AW3:BB3"/>
    <mergeCell ref="AQ6:AV6"/>
    <mergeCell ref="AW6:BB6"/>
    <mergeCell ref="A7:B7"/>
    <mergeCell ref="C7:U7"/>
    <mergeCell ref="V7:X7"/>
    <mergeCell ref="Y7:AD7"/>
    <mergeCell ref="AE7:AJ7"/>
    <mergeCell ref="AK7:AP7"/>
    <mergeCell ref="AQ7:AV7"/>
    <mergeCell ref="AW7:BB7"/>
    <mergeCell ref="A6:B6"/>
    <mergeCell ref="Y11:AD11"/>
    <mergeCell ref="AE11:AJ11"/>
    <mergeCell ref="AK11:AP11"/>
    <mergeCell ref="AQ11:AV11"/>
    <mergeCell ref="AW11:BB11"/>
    <mergeCell ref="A10:B10"/>
    <mergeCell ref="AW4:BB4"/>
    <mergeCell ref="A5:B5"/>
    <mergeCell ref="C5:U5"/>
    <mergeCell ref="V5:X5"/>
    <mergeCell ref="Y5:AD5"/>
    <mergeCell ref="AE5:AJ5"/>
    <mergeCell ref="AW8:BB8"/>
    <mergeCell ref="A9:B9"/>
    <mergeCell ref="C9:U9"/>
    <mergeCell ref="V9:X9"/>
    <mergeCell ref="Y9:AD9"/>
    <mergeCell ref="AE9:AJ9"/>
    <mergeCell ref="Y15:AD15"/>
    <mergeCell ref="AE15:AJ15"/>
    <mergeCell ref="AK15:AP15"/>
    <mergeCell ref="AQ15:AV15"/>
    <mergeCell ref="AW15:BB15"/>
    <mergeCell ref="A14:B14"/>
    <mergeCell ref="C6:U6"/>
    <mergeCell ref="V6:X6"/>
    <mergeCell ref="Y6:AD6"/>
    <mergeCell ref="AE6:AJ6"/>
    <mergeCell ref="AK6:AP6"/>
    <mergeCell ref="AQ4:AV4"/>
    <mergeCell ref="AW12:BB12"/>
    <mergeCell ref="A13:B13"/>
    <mergeCell ref="C13:U13"/>
    <mergeCell ref="V13:X13"/>
    <mergeCell ref="Y13:AD13"/>
    <mergeCell ref="AE13:AJ13"/>
    <mergeCell ref="AK5:AP5"/>
    <mergeCell ref="AQ5:AV5"/>
    <mergeCell ref="AW5:BB5"/>
    <mergeCell ref="A4:B4"/>
    <mergeCell ref="C4:U4"/>
    <mergeCell ref="V4:X4"/>
    <mergeCell ref="Y4:AD4"/>
    <mergeCell ref="AE4:AJ4"/>
    <mergeCell ref="AK4:AP4"/>
    <mergeCell ref="AQ10:AV10"/>
    <mergeCell ref="AW10:BB10"/>
    <mergeCell ref="A11:B11"/>
    <mergeCell ref="C11:U11"/>
    <mergeCell ref="V11:X11"/>
    <mergeCell ref="Y19:AD19"/>
    <mergeCell ref="AE19:AJ19"/>
    <mergeCell ref="AK19:AP19"/>
    <mergeCell ref="AQ19:AV19"/>
    <mergeCell ref="AW19:BB19"/>
    <mergeCell ref="A18:B18"/>
    <mergeCell ref="C10:U10"/>
    <mergeCell ref="V10:X10"/>
    <mergeCell ref="Y10:AD10"/>
    <mergeCell ref="AE10:AJ10"/>
    <mergeCell ref="AK10:AP10"/>
    <mergeCell ref="AQ8:AV8"/>
    <mergeCell ref="AW16:BB16"/>
    <mergeCell ref="A17:B17"/>
    <mergeCell ref="C17:U17"/>
    <mergeCell ref="V17:X17"/>
    <mergeCell ref="Y17:AD17"/>
    <mergeCell ref="AE17:AJ17"/>
    <mergeCell ref="AK9:AP9"/>
    <mergeCell ref="AQ9:AV9"/>
    <mergeCell ref="AW9:BB9"/>
    <mergeCell ref="A8:B8"/>
    <mergeCell ref="C8:U8"/>
    <mergeCell ref="V8:X8"/>
    <mergeCell ref="Y8:AD8"/>
    <mergeCell ref="AE8:AJ8"/>
    <mergeCell ref="AK8:AP8"/>
    <mergeCell ref="AQ14:AV14"/>
    <mergeCell ref="AW14:BB14"/>
    <mergeCell ref="A15:B15"/>
    <mergeCell ref="C15:U15"/>
    <mergeCell ref="V15:X15"/>
    <mergeCell ref="Y23:AD23"/>
    <mergeCell ref="AE23:AJ23"/>
    <mergeCell ref="AK23:AP23"/>
    <mergeCell ref="AQ23:AV23"/>
    <mergeCell ref="AW23:BB23"/>
    <mergeCell ref="A22:B22"/>
    <mergeCell ref="C14:U14"/>
    <mergeCell ref="V14:X14"/>
    <mergeCell ref="Y14:AD14"/>
    <mergeCell ref="AE14:AJ14"/>
    <mergeCell ref="AK14:AP14"/>
    <mergeCell ref="AQ12:AV12"/>
    <mergeCell ref="AW20:BB20"/>
    <mergeCell ref="A21:B21"/>
    <mergeCell ref="C21:U21"/>
    <mergeCell ref="V21:X21"/>
    <mergeCell ref="Y21:AD21"/>
    <mergeCell ref="AE21:AJ21"/>
    <mergeCell ref="AK13:AP13"/>
    <mergeCell ref="AQ13:AV13"/>
    <mergeCell ref="AW13:BB13"/>
    <mergeCell ref="A12:B12"/>
    <mergeCell ref="C12:U12"/>
    <mergeCell ref="V12:X12"/>
    <mergeCell ref="Y12:AD12"/>
    <mergeCell ref="AE12:AJ12"/>
    <mergeCell ref="AK12:AP12"/>
    <mergeCell ref="AQ18:AV18"/>
    <mergeCell ref="AW18:BB18"/>
    <mergeCell ref="A19:B19"/>
    <mergeCell ref="C19:U19"/>
    <mergeCell ref="V19:X19"/>
    <mergeCell ref="Y27:AD27"/>
    <mergeCell ref="AE27:AJ27"/>
    <mergeCell ref="AK27:AP27"/>
    <mergeCell ref="AQ27:AV27"/>
    <mergeCell ref="AW27:BB27"/>
    <mergeCell ref="A26:B26"/>
    <mergeCell ref="C18:U18"/>
    <mergeCell ref="V18:X18"/>
    <mergeCell ref="Y18:AD18"/>
    <mergeCell ref="AE18:AJ18"/>
    <mergeCell ref="AK18:AP18"/>
    <mergeCell ref="AQ16:AV16"/>
    <mergeCell ref="AW24:BB24"/>
    <mergeCell ref="A25:B25"/>
    <mergeCell ref="C25:U25"/>
    <mergeCell ref="V25:X25"/>
    <mergeCell ref="Y25:AD25"/>
    <mergeCell ref="AE25:AJ25"/>
    <mergeCell ref="AK17:AP17"/>
    <mergeCell ref="AQ17:AV17"/>
    <mergeCell ref="AW17:BB17"/>
    <mergeCell ref="A16:B16"/>
    <mergeCell ref="C16:U16"/>
    <mergeCell ref="V16:X16"/>
    <mergeCell ref="Y16:AD16"/>
    <mergeCell ref="AE16:AJ16"/>
    <mergeCell ref="AK16:AP16"/>
    <mergeCell ref="AQ22:AV22"/>
    <mergeCell ref="AW22:BB22"/>
    <mergeCell ref="A23:B23"/>
    <mergeCell ref="C23:U23"/>
    <mergeCell ref="V23:X23"/>
    <mergeCell ref="Y31:AD31"/>
    <mergeCell ref="AE31:AJ31"/>
    <mergeCell ref="AK31:AP31"/>
    <mergeCell ref="AQ31:AV31"/>
    <mergeCell ref="AW31:BB31"/>
    <mergeCell ref="A30:B30"/>
    <mergeCell ref="C22:U22"/>
    <mergeCell ref="V22:X22"/>
    <mergeCell ref="Y22:AD22"/>
    <mergeCell ref="AE22:AJ22"/>
    <mergeCell ref="AK22:AP22"/>
    <mergeCell ref="AQ20:AV20"/>
    <mergeCell ref="AW28:BB28"/>
    <mergeCell ref="A29:B29"/>
    <mergeCell ref="C29:U29"/>
    <mergeCell ref="V29:X29"/>
    <mergeCell ref="Y29:AD29"/>
    <mergeCell ref="AE29:AJ29"/>
    <mergeCell ref="AK21:AP21"/>
    <mergeCell ref="AQ21:AV21"/>
    <mergeCell ref="AW21:BB21"/>
    <mergeCell ref="A20:B20"/>
    <mergeCell ref="C20:U20"/>
    <mergeCell ref="V20:X20"/>
    <mergeCell ref="Y20:AD20"/>
    <mergeCell ref="AE20:AJ20"/>
    <mergeCell ref="AK20:AP20"/>
    <mergeCell ref="AQ26:AV26"/>
    <mergeCell ref="AW26:BB26"/>
    <mergeCell ref="A27:B27"/>
    <mergeCell ref="C27:U27"/>
    <mergeCell ref="V27:X27"/>
    <mergeCell ref="Y35:AD35"/>
    <mergeCell ref="AE35:AJ35"/>
    <mergeCell ref="AK35:AP35"/>
    <mergeCell ref="AQ35:AV35"/>
    <mergeCell ref="AW35:BB35"/>
    <mergeCell ref="A34:B34"/>
    <mergeCell ref="C26:U26"/>
    <mergeCell ref="V26:X26"/>
    <mergeCell ref="Y26:AD26"/>
    <mergeCell ref="AE26:AJ26"/>
    <mergeCell ref="AK26:AP26"/>
    <mergeCell ref="AQ24:AV24"/>
    <mergeCell ref="AW32:BB32"/>
    <mergeCell ref="A33:B33"/>
    <mergeCell ref="C33:U33"/>
    <mergeCell ref="V33:X33"/>
    <mergeCell ref="Y33:AD33"/>
    <mergeCell ref="AE33:AJ33"/>
    <mergeCell ref="AK25:AP25"/>
    <mergeCell ref="AQ25:AV25"/>
    <mergeCell ref="AW25:BB25"/>
    <mergeCell ref="A24:B24"/>
    <mergeCell ref="C24:U24"/>
    <mergeCell ref="V24:X24"/>
    <mergeCell ref="Y24:AD24"/>
    <mergeCell ref="AE24:AJ24"/>
    <mergeCell ref="AK24:AP24"/>
    <mergeCell ref="AQ30:AV30"/>
    <mergeCell ref="AW30:BB30"/>
    <mergeCell ref="A31:B31"/>
    <mergeCell ref="C31:U31"/>
    <mergeCell ref="V31:X31"/>
    <mergeCell ref="Y39:AD39"/>
    <mergeCell ref="AE39:AJ39"/>
    <mergeCell ref="AK39:AP39"/>
    <mergeCell ref="AQ39:AV39"/>
    <mergeCell ref="AW39:BB39"/>
    <mergeCell ref="A38:B38"/>
    <mergeCell ref="C30:U30"/>
    <mergeCell ref="V30:X30"/>
    <mergeCell ref="Y30:AD30"/>
    <mergeCell ref="AE30:AJ30"/>
    <mergeCell ref="AK30:AP30"/>
    <mergeCell ref="AQ28:AV28"/>
    <mergeCell ref="AW36:BB36"/>
    <mergeCell ref="A37:B37"/>
    <mergeCell ref="C37:U37"/>
    <mergeCell ref="V37:X37"/>
    <mergeCell ref="Y37:AD37"/>
    <mergeCell ref="AE37:AJ37"/>
    <mergeCell ref="AK29:AP29"/>
    <mergeCell ref="AQ29:AV29"/>
    <mergeCell ref="AW29:BB29"/>
    <mergeCell ref="A28:B28"/>
    <mergeCell ref="C28:U28"/>
    <mergeCell ref="V28:X28"/>
    <mergeCell ref="Y28:AD28"/>
    <mergeCell ref="AE28:AJ28"/>
    <mergeCell ref="AK28:AP28"/>
    <mergeCell ref="AQ34:AV34"/>
    <mergeCell ref="AW34:BB34"/>
    <mergeCell ref="A35:B35"/>
    <mergeCell ref="C35:U35"/>
    <mergeCell ref="V35:X35"/>
    <mergeCell ref="Y43:AD43"/>
    <mergeCell ref="AE43:AJ43"/>
    <mergeCell ref="AK43:AP43"/>
    <mergeCell ref="AQ43:AV43"/>
    <mergeCell ref="AW43:BB43"/>
    <mergeCell ref="A42:B42"/>
    <mergeCell ref="C34:U34"/>
    <mergeCell ref="V34:X34"/>
    <mergeCell ref="Y34:AD34"/>
    <mergeCell ref="AE34:AJ34"/>
    <mergeCell ref="AK34:AP34"/>
    <mergeCell ref="AQ32:AV32"/>
    <mergeCell ref="AW40:BB40"/>
    <mergeCell ref="A41:B41"/>
    <mergeCell ref="C41:U41"/>
    <mergeCell ref="V41:X41"/>
    <mergeCell ref="Y41:AD41"/>
    <mergeCell ref="AE41:AJ41"/>
    <mergeCell ref="AK33:AP33"/>
    <mergeCell ref="AQ33:AV33"/>
    <mergeCell ref="AW33:BB33"/>
    <mergeCell ref="A32:B32"/>
    <mergeCell ref="C32:U32"/>
    <mergeCell ref="V32:X32"/>
    <mergeCell ref="Y32:AD32"/>
    <mergeCell ref="AE32:AJ32"/>
    <mergeCell ref="AK32:AP32"/>
    <mergeCell ref="AQ38:AV38"/>
    <mergeCell ref="AW38:BB38"/>
    <mergeCell ref="A39:B39"/>
    <mergeCell ref="C39:U39"/>
    <mergeCell ref="V39:X39"/>
    <mergeCell ref="Y47:AD47"/>
    <mergeCell ref="AE47:AJ47"/>
    <mergeCell ref="AK47:AP47"/>
    <mergeCell ref="AQ47:AV47"/>
    <mergeCell ref="AW47:BB47"/>
    <mergeCell ref="A46:B46"/>
    <mergeCell ref="C38:U38"/>
    <mergeCell ref="V38:X38"/>
    <mergeCell ref="Y38:AD38"/>
    <mergeCell ref="AE38:AJ38"/>
    <mergeCell ref="AK38:AP38"/>
    <mergeCell ref="AQ36:AV36"/>
    <mergeCell ref="AW44:BB44"/>
    <mergeCell ref="A45:B45"/>
    <mergeCell ref="C45:U45"/>
    <mergeCell ref="V45:X45"/>
    <mergeCell ref="Y45:AD45"/>
    <mergeCell ref="AE45:AJ45"/>
    <mergeCell ref="AK37:AP37"/>
    <mergeCell ref="AQ37:AV37"/>
    <mergeCell ref="AW37:BB37"/>
    <mergeCell ref="A36:B36"/>
    <mergeCell ref="C36:U36"/>
    <mergeCell ref="V36:X36"/>
    <mergeCell ref="Y36:AD36"/>
    <mergeCell ref="AE36:AJ36"/>
    <mergeCell ref="AK36:AP36"/>
    <mergeCell ref="AQ42:AV42"/>
    <mergeCell ref="AW42:BB42"/>
    <mergeCell ref="A43:B43"/>
    <mergeCell ref="C43:U43"/>
    <mergeCell ref="V43:X43"/>
    <mergeCell ref="Y51:AD51"/>
    <mergeCell ref="AE51:AJ51"/>
    <mergeCell ref="AK51:AP51"/>
    <mergeCell ref="AQ51:AV51"/>
    <mergeCell ref="AW51:BB51"/>
    <mergeCell ref="A50:B50"/>
    <mergeCell ref="C42:U42"/>
    <mergeCell ref="V42:X42"/>
    <mergeCell ref="Y42:AD42"/>
    <mergeCell ref="AE42:AJ42"/>
    <mergeCell ref="AK42:AP42"/>
    <mergeCell ref="AQ40:AV40"/>
    <mergeCell ref="AW48:BB48"/>
    <mergeCell ref="A49:B49"/>
    <mergeCell ref="C49:U49"/>
    <mergeCell ref="V49:X49"/>
    <mergeCell ref="Y49:AD49"/>
    <mergeCell ref="AE49:AJ49"/>
    <mergeCell ref="AK41:AP41"/>
    <mergeCell ref="AQ41:AV41"/>
    <mergeCell ref="AW41:BB41"/>
    <mergeCell ref="A40:B40"/>
    <mergeCell ref="C40:U40"/>
    <mergeCell ref="V40:X40"/>
    <mergeCell ref="Y40:AD40"/>
    <mergeCell ref="AE40:AJ40"/>
    <mergeCell ref="AK40:AP40"/>
    <mergeCell ref="AQ46:AV46"/>
    <mergeCell ref="AW46:BB46"/>
    <mergeCell ref="A47:B47"/>
    <mergeCell ref="C47:U47"/>
    <mergeCell ref="V47:X47"/>
    <mergeCell ref="Y55:AD55"/>
    <mergeCell ref="AE55:AJ55"/>
    <mergeCell ref="AK55:AP55"/>
    <mergeCell ref="AQ55:AV55"/>
    <mergeCell ref="AW55:BB55"/>
    <mergeCell ref="A54:B54"/>
    <mergeCell ref="C46:U46"/>
    <mergeCell ref="V46:X46"/>
    <mergeCell ref="Y46:AD46"/>
    <mergeCell ref="AE46:AJ46"/>
    <mergeCell ref="AK46:AP46"/>
    <mergeCell ref="AQ44:AV44"/>
    <mergeCell ref="AW52:BB52"/>
    <mergeCell ref="A53:B53"/>
    <mergeCell ref="C53:U53"/>
    <mergeCell ref="V53:X53"/>
    <mergeCell ref="Y53:AD53"/>
    <mergeCell ref="AE53:AJ53"/>
    <mergeCell ref="AK45:AP45"/>
    <mergeCell ref="AQ45:AV45"/>
    <mergeCell ref="AW45:BB45"/>
    <mergeCell ref="A44:B44"/>
    <mergeCell ref="C44:U44"/>
    <mergeCell ref="V44:X44"/>
    <mergeCell ref="Y44:AD44"/>
    <mergeCell ref="AE44:AJ44"/>
    <mergeCell ref="AK44:AP44"/>
    <mergeCell ref="AQ50:AV50"/>
    <mergeCell ref="AW50:BB50"/>
    <mergeCell ref="A51:B51"/>
    <mergeCell ref="C51:U51"/>
    <mergeCell ref="V51:X51"/>
    <mergeCell ref="Y59:AD59"/>
    <mergeCell ref="AE59:AJ59"/>
    <mergeCell ref="AK59:AP59"/>
    <mergeCell ref="AQ59:AV59"/>
    <mergeCell ref="AW59:BB59"/>
    <mergeCell ref="A58:B58"/>
    <mergeCell ref="C50:U50"/>
    <mergeCell ref="V50:X50"/>
    <mergeCell ref="Y50:AD50"/>
    <mergeCell ref="AE50:AJ50"/>
    <mergeCell ref="AK50:AP50"/>
    <mergeCell ref="AQ48:AV48"/>
    <mergeCell ref="AW56:BB56"/>
    <mergeCell ref="A57:B57"/>
    <mergeCell ref="C57:U57"/>
    <mergeCell ref="V57:X57"/>
    <mergeCell ref="Y57:AD57"/>
    <mergeCell ref="AE57:AJ57"/>
    <mergeCell ref="AK49:AP49"/>
    <mergeCell ref="AQ49:AV49"/>
    <mergeCell ref="AW49:BB49"/>
    <mergeCell ref="A48:B48"/>
    <mergeCell ref="C48:U48"/>
    <mergeCell ref="V48:X48"/>
    <mergeCell ref="Y48:AD48"/>
    <mergeCell ref="AE48:AJ48"/>
    <mergeCell ref="AK48:AP48"/>
    <mergeCell ref="AQ54:AV54"/>
    <mergeCell ref="AW54:BB54"/>
    <mergeCell ref="A55:B55"/>
    <mergeCell ref="C55:U55"/>
    <mergeCell ref="V55:X55"/>
    <mergeCell ref="Y63:AD63"/>
    <mergeCell ref="AE63:AJ63"/>
    <mergeCell ref="AK63:AP63"/>
    <mergeCell ref="AQ63:AV63"/>
    <mergeCell ref="AW63:BB63"/>
    <mergeCell ref="A62:B62"/>
    <mergeCell ref="C54:U54"/>
    <mergeCell ref="V54:X54"/>
    <mergeCell ref="Y54:AD54"/>
    <mergeCell ref="AE54:AJ54"/>
    <mergeCell ref="AK54:AP54"/>
    <mergeCell ref="AQ52:AV52"/>
    <mergeCell ref="AW60:BB60"/>
    <mergeCell ref="A61:B61"/>
    <mergeCell ref="C61:U61"/>
    <mergeCell ref="V61:X61"/>
    <mergeCell ref="Y61:AD61"/>
    <mergeCell ref="AE61:AJ61"/>
    <mergeCell ref="AK53:AP53"/>
    <mergeCell ref="AQ53:AV53"/>
    <mergeCell ref="AW53:BB53"/>
    <mergeCell ref="A52:B52"/>
    <mergeCell ref="C52:U52"/>
    <mergeCell ref="V52:X52"/>
    <mergeCell ref="Y52:AD52"/>
    <mergeCell ref="AE52:AJ52"/>
    <mergeCell ref="AK52:AP52"/>
    <mergeCell ref="AQ58:AV58"/>
    <mergeCell ref="AW58:BB58"/>
    <mergeCell ref="A59:B59"/>
    <mergeCell ref="C59:U59"/>
    <mergeCell ref="V59:X59"/>
    <mergeCell ref="Y67:AD67"/>
    <mergeCell ref="AE67:AJ67"/>
    <mergeCell ref="AK67:AP67"/>
    <mergeCell ref="AQ67:AV67"/>
    <mergeCell ref="AW67:BB67"/>
    <mergeCell ref="A66:B66"/>
    <mergeCell ref="C58:U58"/>
    <mergeCell ref="V58:X58"/>
    <mergeCell ref="Y58:AD58"/>
    <mergeCell ref="AE58:AJ58"/>
    <mergeCell ref="AK58:AP58"/>
    <mergeCell ref="AQ56:AV56"/>
    <mergeCell ref="AW64:BB64"/>
    <mergeCell ref="A65:B65"/>
    <mergeCell ref="C65:U65"/>
    <mergeCell ref="V65:X65"/>
    <mergeCell ref="Y65:AD65"/>
    <mergeCell ref="AE65:AJ65"/>
    <mergeCell ref="AK57:AP57"/>
    <mergeCell ref="AQ57:AV57"/>
    <mergeCell ref="AW57:BB57"/>
    <mergeCell ref="A56:B56"/>
    <mergeCell ref="C56:U56"/>
    <mergeCell ref="V56:X56"/>
    <mergeCell ref="Y56:AD56"/>
    <mergeCell ref="AE56:AJ56"/>
    <mergeCell ref="AK56:AP56"/>
    <mergeCell ref="AQ62:AV62"/>
    <mergeCell ref="AW62:BB62"/>
    <mergeCell ref="A63:B63"/>
    <mergeCell ref="C63:U63"/>
    <mergeCell ref="V63:X63"/>
    <mergeCell ref="Y71:AD71"/>
    <mergeCell ref="AE71:AJ71"/>
    <mergeCell ref="AK71:AP71"/>
    <mergeCell ref="AQ71:AV71"/>
    <mergeCell ref="AW71:BB71"/>
    <mergeCell ref="A70:B70"/>
    <mergeCell ref="C62:U62"/>
    <mergeCell ref="V62:X62"/>
    <mergeCell ref="Y62:AD62"/>
    <mergeCell ref="AE62:AJ62"/>
    <mergeCell ref="AK62:AP62"/>
    <mergeCell ref="AQ60:AV60"/>
    <mergeCell ref="AW68:BB68"/>
    <mergeCell ref="A69:B69"/>
    <mergeCell ref="C69:U69"/>
    <mergeCell ref="V69:X69"/>
    <mergeCell ref="Y69:AD69"/>
    <mergeCell ref="AE69:AJ69"/>
    <mergeCell ref="AK61:AP61"/>
    <mergeCell ref="AQ61:AV61"/>
    <mergeCell ref="AW61:BB61"/>
    <mergeCell ref="A60:B60"/>
    <mergeCell ref="C60:U60"/>
    <mergeCell ref="V60:X60"/>
    <mergeCell ref="Y60:AD60"/>
    <mergeCell ref="AE60:AJ60"/>
    <mergeCell ref="AK60:AP60"/>
    <mergeCell ref="AQ66:AV66"/>
    <mergeCell ref="AW66:BB66"/>
    <mergeCell ref="A67:B67"/>
    <mergeCell ref="C67:U67"/>
    <mergeCell ref="V67:X67"/>
    <mergeCell ref="Y75:AD75"/>
    <mergeCell ref="AE75:AJ75"/>
    <mergeCell ref="AK75:AP75"/>
    <mergeCell ref="AQ75:AV75"/>
    <mergeCell ref="AW75:BB75"/>
    <mergeCell ref="A74:B74"/>
    <mergeCell ref="C66:U66"/>
    <mergeCell ref="V66:X66"/>
    <mergeCell ref="Y66:AD66"/>
    <mergeCell ref="AE66:AJ66"/>
    <mergeCell ref="AK66:AP66"/>
    <mergeCell ref="AQ64:AV64"/>
    <mergeCell ref="AW72:BB72"/>
    <mergeCell ref="A73:B73"/>
    <mergeCell ref="C73:U73"/>
    <mergeCell ref="V73:X73"/>
    <mergeCell ref="Y73:AD73"/>
    <mergeCell ref="AE73:AJ73"/>
    <mergeCell ref="AK65:AP65"/>
    <mergeCell ref="AQ65:AV65"/>
    <mergeCell ref="AW65:BB65"/>
    <mergeCell ref="A64:B64"/>
    <mergeCell ref="C64:U64"/>
    <mergeCell ref="V64:X64"/>
    <mergeCell ref="Y64:AD64"/>
    <mergeCell ref="AE64:AJ64"/>
    <mergeCell ref="AK64:AP64"/>
    <mergeCell ref="AQ70:AV70"/>
    <mergeCell ref="AW70:BB70"/>
    <mergeCell ref="A71:B71"/>
    <mergeCell ref="C71:U71"/>
    <mergeCell ref="V71:X71"/>
    <mergeCell ref="Y79:AD79"/>
    <mergeCell ref="AE79:AJ79"/>
    <mergeCell ref="AK79:AP79"/>
    <mergeCell ref="AQ79:AV79"/>
    <mergeCell ref="AW79:BB79"/>
    <mergeCell ref="A78:B78"/>
    <mergeCell ref="C70:U70"/>
    <mergeCell ref="V70:X70"/>
    <mergeCell ref="Y70:AD70"/>
    <mergeCell ref="AE70:AJ70"/>
    <mergeCell ref="AK70:AP70"/>
    <mergeCell ref="AQ68:AV68"/>
    <mergeCell ref="AW76:BB76"/>
    <mergeCell ref="A77:B77"/>
    <mergeCell ref="C77:U77"/>
    <mergeCell ref="V77:X77"/>
    <mergeCell ref="Y77:AD77"/>
    <mergeCell ref="AE77:AJ77"/>
    <mergeCell ref="AK69:AP69"/>
    <mergeCell ref="AQ69:AV69"/>
    <mergeCell ref="AW69:BB69"/>
    <mergeCell ref="A68:B68"/>
    <mergeCell ref="C68:U68"/>
    <mergeCell ref="V68:X68"/>
    <mergeCell ref="Y68:AD68"/>
    <mergeCell ref="AE68:AJ68"/>
    <mergeCell ref="AK68:AP68"/>
    <mergeCell ref="AQ74:AV74"/>
    <mergeCell ref="AW74:BB74"/>
    <mergeCell ref="A75:B75"/>
    <mergeCell ref="C75:U75"/>
    <mergeCell ref="V75:X75"/>
    <mergeCell ref="Y83:AD83"/>
    <mergeCell ref="AE83:AJ83"/>
    <mergeCell ref="AK83:AP83"/>
    <mergeCell ref="AQ83:AV83"/>
    <mergeCell ref="AW83:BB83"/>
    <mergeCell ref="A82:B82"/>
    <mergeCell ref="C74:U74"/>
    <mergeCell ref="V74:X74"/>
    <mergeCell ref="Y74:AD74"/>
    <mergeCell ref="AE74:AJ74"/>
    <mergeCell ref="AK74:AP74"/>
    <mergeCell ref="AQ72:AV72"/>
    <mergeCell ref="AW80:BB80"/>
    <mergeCell ref="A81:B81"/>
    <mergeCell ref="C81:U81"/>
    <mergeCell ref="V81:X81"/>
    <mergeCell ref="Y81:AD81"/>
    <mergeCell ref="AE81:AJ81"/>
    <mergeCell ref="AK73:AP73"/>
    <mergeCell ref="AQ73:AV73"/>
    <mergeCell ref="AW73:BB73"/>
    <mergeCell ref="A72:B72"/>
    <mergeCell ref="C72:U72"/>
    <mergeCell ref="V72:X72"/>
    <mergeCell ref="Y72:AD72"/>
    <mergeCell ref="AE72:AJ72"/>
    <mergeCell ref="AK72:AP72"/>
    <mergeCell ref="AQ78:AV78"/>
    <mergeCell ref="AW78:BB78"/>
    <mergeCell ref="A79:B79"/>
    <mergeCell ref="C79:U79"/>
    <mergeCell ref="V79:X79"/>
    <mergeCell ref="Y87:AD87"/>
    <mergeCell ref="AE87:AJ87"/>
    <mergeCell ref="AK87:AP87"/>
    <mergeCell ref="AQ87:AV87"/>
    <mergeCell ref="AW87:BB87"/>
    <mergeCell ref="A86:B86"/>
    <mergeCell ref="C78:U78"/>
    <mergeCell ref="V78:X78"/>
    <mergeCell ref="Y78:AD78"/>
    <mergeCell ref="AE78:AJ78"/>
    <mergeCell ref="AK78:AP78"/>
    <mergeCell ref="AQ76:AV76"/>
    <mergeCell ref="AW84:BB84"/>
    <mergeCell ref="A85:B85"/>
    <mergeCell ref="C85:U85"/>
    <mergeCell ref="V85:X85"/>
    <mergeCell ref="Y85:AD85"/>
    <mergeCell ref="AE85:AJ85"/>
    <mergeCell ref="AK77:AP77"/>
    <mergeCell ref="AQ77:AV77"/>
    <mergeCell ref="AW77:BB77"/>
    <mergeCell ref="A76:B76"/>
    <mergeCell ref="C76:U76"/>
    <mergeCell ref="V76:X76"/>
    <mergeCell ref="Y76:AD76"/>
    <mergeCell ref="AE76:AJ76"/>
    <mergeCell ref="AK76:AP76"/>
    <mergeCell ref="AQ82:AV82"/>
    <mergeCell ref="AW82:BB82"/>
    <mergeCell ref="A83:B83"/>
    <mergeCell ref="C83:U83"/>
    <mergeCell ref="V83:X83"/>
    <mergeCell ref="Y91:AD91"/>
    <mergeCell ref="AE91:AJ91"/>
    <mergeCell ref="AK91:AP91"/>
    <mergeCell ref="AQ91:AV91"/>
    <mergeCell ref="AW91:BB91"/>
    <mergeCell ref="A90:B90"/>
    <mergeCell ref="C82:U82"/>
    <mergeCell ref="V82:X82"/>
    <mergeCell ref="Y82:AD82"/>
    <mergeCell ref="AE82:AJ82"/>
    <mergeCell ref="AK82:AP82"/>
    <mergeCell ref="AQ80:AV80"/>
    <mergeCell ref="AW88:BB88"/>
    <mergeCell ref="A89:B89"/>
    <mergeCell ref="C89:U89"/>
    <mergeCell ref="V89:X89"/>
    <mergeCell ref="Y89:AD89"/>
    <mergeCell ref="AE89:AJ89"/>
    <mergeCell ref="AK81:AP81"/>
    <mergeCell ref="AQ81:AV81"/>
    <mergeCell ref="AW81:BB81"/>
    <mergeCell ref="A80:B80"/>
    <mergeCell ref="C80:U80"/>
    <mergeCell ref="V80:X80"/>
    <mergeCell ref="Y80:AD80"/>
    <mergeCell ref="AE80:AJ80"/>
    <mergeCell ref="AK80:AP80"/>
    <mergeCell ref="AQ86:AV86"/>
    <mergeCell ref="AW86:BB86"/>
    <mergeCell ref="A87:B87"/>
    <mergeCell ref="C87:U87"/>
    <mergeCell ref="V87:X87"/>
    <mergeCell ref="Y95:AD95"/>
    <mergeCell ref="AE95:AJ95"/>
    <mergeCell ref="AK95:AP95"/>
    <mergeCell ref="AQ95:AV95"/>
    <mergeCell ref="AW95:BB95"/>
    <mergeCell ref="A94:B94"/>
    <mergeCell ref="C86:U86"/>
    <mergeCell ref="V86:X86"/>
    <mergeCell ref="Y86:AD86"/>
    <mergeCell ref="AE86:AJ86"/>
    <mergeCell ref="AK86:AP86"/>
    <mergeCell ref="AQ84:AV84"/>
    <mergeCell ref="AW92:BB92"/>
    <mergeCell ref="A93:B93"/>
    <mergeCell ref="C93:U93"/>
    <mergeCell ref="V93:X93"/>
    <mergeCell ref="Y93:AD93"/>
    <mergeCell ref="AE93:AJ93"/>
    <mergeCell ref="AK85:AP85"/>
    <mergeCell ref="AQ85:AV85"/>
    <mergeCell ref="AW85:BB85"/>
    <mergeCell ref="A84:B84"/>
    <mergeCell ref="C84:U84"/>
    <mergeCell ref="V84:X84"/>
    <mergeCell ref="Y84:AD84"/>
    <mergeCell ref="AE84:AJ84"/>
    <mergeCell ref="AK84:AP84"/>
    <mergeCell ref="AQ90:AV90"/>
    <mergeCell ref="AW90:BB90"/>
    <mergeCell ref="A91:B91"/>
    <mergeCell ref="C91:U91"/>
    <mergeCell ref="V91:X91"/>
    <mergeCell ref="Y99:AD99"/>
    <mergeCell ref="AE99:AJ99"/>
    <mergeCell ref="AK99:AP99"/>
    <mergeCell ref="AQ99:AV99"/>
    <mergeCell ref="AW99:BB99"/>
    <mergeCell ref="A98:B98"/>
    <mergeCell ref="C90:U90"/>
    <mergeCell ref="V90:X90"/>
    <mergeCell ref="Y90:AD90"/>
    <mergeCell ref="AE90:AJ90"/>
    <mergeCell ref="AK90:AP90"/>
    <mergeCell ref="AQ88:AV88"/>
    <mergeCell ref="AW96:BB96"/>
    <mergeCell ref="A97:B97"/>
    <mergeCell ref="C97:U97"/>
    <mergeCell ref="V97:X97"/>
    <mergeCell ref="Y97:AD97"/>
    <mergeCell ref="AE97:AJ97"/>
    <mergeCell ref="AK89:AP89"/>
    <mergeCell ref="AQ89:AV89"/>
    <mergeCell ref="AW89:BB89"/>
    <mergeCell ref="A88:B88"/>
    <mergeCell ref="C88:U88"/>
    <mergeCell ref="V88:X88"/>
    <mergeCell ref="Y88:AD88"/>
    <mergeCell ref="AE88:AJ88"/>
    <mergeCell ref="AK88:AP88"/>
    <mergeCell ref="AQ94:AV94"/>
    <mergeCell ref="AW94:BB94"/>
    <mergeCell ref="A95:B95"/>
    <mergeCell ref="C95:U95"/>
    <mergeCell ref="V95:X95"/>
    <mergeCell ref="Y103:AD103"/>
    <mergeCell ref="AE103:AJ103"/>
    <mergeCell ref="AK103:AP103"/>
    <mergeCell ref="AQ103:AV103"/>
    <mergeCell ref="AW103:BB103"/>
    <mergeCell ref="A102:B102"/>
    <mergeCell ref="C94:U94"/>
    <mergeCell ref="V94:X94"/>
    <mergeCell ref="Y94:AD94"/>
    <mergeCell ref="AE94:AJ94"/>
    <mergeCell ref="AK94:AP94"/>
    <mergeCell ref="AQ92:AV92"/>
    <mergeCell ref="AW100:BB100"/>
    <mergeCell ref="A101:B101"/>
    <mergeCell ref="C101:U101"/>
    <mergeCell ref="V101:X101"/>
    <mergeCell ref="Y101:AD101"/>
    <mergeCell ref="AE101:AJ101"/>
    <mergeCell ref="AK93:AP93"/>
    <mergeCell ref="AQ93:AV93"/>
    <mergeCell ref="AW93:BB93"/>
    <mergeCell ref="A92:B92"/>
    <mergeCell ref="C92:U92"/>
    <mergeCell ref="V92:X92"/>
    <mergeCell ref="Y92:AD92"/>
    <mergeCell ref="AE92:AJ92"/>
    <mergeCell ref="AK92:AP92"/>
    <mergeCell ref="AQ98:AV98"/>
    <mergeCell ref="AW98:BB98"/>
    <mergeCell ref="A99:B99"/>
    <mergeCell ref="C99:U99"/>
    <mergeCell ref="V99:X99"/>
    <mergeCell ref="Y107:AD107"/>
    <mergeCell ref="AE107:AJ107"/>
    <mergeCell ref="AK107:AP107"/>
    <mergeCell ref="AQ107:AV107"/>
    <mergeCell ref="AW107:BB107"/>
    <mergeCell ref="A106:B106"/>
    <mergeCell ref="C98:U98"/>
    <mergeCell ref="V98:X98"/>
    <mergeCell ref="Y98:AD98"/>
    <mergeCell ref="AE98:AJ98"/>
    <mergeCell ref="AK98:AP98"/>
    <mergeCell ref="AQ96:AV96"/>
    <mergeCell ref="AW104:BB104"/>
    <mergeCell ref="A105:B105"/>
    <mergeCell ref="C105:U105"/>
    <mergeCell ref="V105:X105"/>
    <mergeCell ref="Y105:AD105"/>
    <mergeCell ref="AE105:AJ105"/>
    <mergeCell ref="AK97:AP97"/>
    <mergeCell ref="AQ97:AV97"/>
    <mergeCell ref="AW97:BB97"/>
    <mergeCell ref="A96:B96"/>
    <mergeCell ref="C96:U96"/>
    <mergeCell ref="V96:X96"/>
    <mergeCell ref="Y96:AD96"/>
    <mergeCell ref="AE96:AJ96"/>
    <mergeCell ref="AK96:AP96"/>
    <mergeCell ref="AQ102:AV102"/>
    <mergeCell ref="AW102:BB102"/>
    <mergeCell ref="A103:B103"/>
    <mergeCell ref="C103:U103"/>
    <mergeCell ref="V103:X103"/>
    <mergeCell ref="Y111:AD111"/>
    <mergeCell ref="AE111:AJ111"/>
    <mergeCell ref="AK111:AP111"/>
    <mergeCell ref="AQ111:AV111"/>
    <mergeCell ref="AW111:BB111"/>
    <mergeCell ref="A110:B110"/>
    <mergeCell ref="C102:U102"/>
    <mergeCell ref="V102:X102"/>
    <mergeCell ref="Y102:AD102"/>
    <mergeCell ref="AE102:AJ102"/>
    <mergeCell ref="AK102:AP102"/>
    <mergeCell ref="AQ100:AV100"/>
    <mergeCell ref="AW108:BB108"/>
    <mergeCell ref="A109:B109"/>
    <mergeCell ref="C109:U109"/>
    <mergeCell ref="V109:X109"/>
    <mergeCell ref="Y109:AD109"/>
    <mergeCell ref="AE109:AJ109"/>
    <mergeCell ref="AK101:AP101"/>
    <mergeCell ref="AQ101:AV101"/>
    <mergeCell ref="AW101:BB101"/>
    <mergeCell ref="A100:B100"/>
    <mergeCell ref="C100:U100"/>
    <mergeCell ref="V100:X100"/>
    <mergeCell ref="Y100:AD100"/>
    <mergeCell ref="AE100:AJ100"/>
    <mergeCell ref="AK100:AP100"/>
    <mergeCell ref="AQ106:AV106"/>
    <mergeCell ref="AW106:BB106"/>
    <mergeCell ref="A107:B107"/>
    <mergeCell ref="C107:U107"/>
    <mergeCell ref="V107:X107"/>
    <mergeCell ref="Y115:AD115"/>
    <mergeCell ref="AE115:AJ115"/>
    <mergeCell ref="AK115:AP115"/>
    <mergeCell ref="AQ115:AV115"/>
    <mergeCell ref="AW115:BB115"/>
    <mergeCell ref="A114:B114"/>
    <mergeCell ref="C106:U106"/>
    <mergeCell ref="V106:X106"/>
    <mergeCell ref="Y106:AD106"/>
    <mergeCell ref="AE106:AJ106"/>
    <mergeCell ref="AK106:AP106"/>
    <mergeCell ref="AQ104:AV104"/>
    <mergeCell ref="AW112:BB112"/>
    <mergeCell ref="A113:B113"/>
    <mergeCell ref="C113:U113"/>
    <mergeCell ref="V113:X113"/>
    <mergeCell ref="Y113:AD113"/>
    <mergeCell ref="AE113:AJ113"/>
    <mergeCell ref="AK105:AP105"/>
    <mergeCell ref="AQ105:AV105"/>
    <mergeCell ref="AW105:BB105"/>
    <mergeCell ref="A104:B104"/>
    <mergeCell ref="C104:U104"/>
    <mergeCell ref="V104:X104"/>
    <mergeCell ref="Y104:AD104"/>
    <mergeCell ref="AE104:AJ104"/>
    <mergeCell ref="AK104:AP104"/>
    <mergeCell ref="AQ110:AV110"/>
    <mergeCell ref="AW110:BB110"/>
    <mergeCell ref="A111:B111"/>
    <mergeCell ref="C111:U111"/>
    <mergeCell ref="V111:X111"/>
    <mergeCell ref="Y119:AD119"/>
    <mergeCell ref="AE119:AJ119"/>
    <mergeCell ref="AK119:AP119"/>
    <mergeCell ref="AQ119:AV119"/>
    <mergeCell ref="AW119:BB119"/>
    <mergeCell ref="A118:B118"/>
    <mergeCell ref="C110:U110"/>
    <mergeCell ref="V110:X110"/>
    <mergeCell ref="Y110:AD110"/>
    <mergeCell ref="AE110:AJ110"/>
    <mergeCell ref="AK110:AP110"/>
    <mergeCell ref="AQ108:AV108"/>
    <mergeCell ref="AW116:BB116"/>
    <mergeCell ref="A117:B117"/>
    <mergeCell ref="C117:U117"/>
    <mergeCell ref="V117:X117"/>
    <mergeCell ref="Y117:AD117"/>
    <mergeCell ref="AE117:AJ117"/>
    <mergeCell ref="AK109:AP109"/>
    <mergeCell ref="AQ109:AV109"/>
    <mergeCell ref="AW109:BB109"/>
    <mergeCell ref="A108:B108"/>
    <mergeCell ref="C108:U108"/>
    <mergeCell ref="V108:X108"/>
    <mergeCell ref="Y108:AD108"/>
    <mergeCell ref="AE108:AJ108"/>
    <mergeCell ref="AK108:AP108"/>
    <mergeCell ref="AQ114:AV114"/>
    <mergeCell ref="AW114:BB114"/>
    <mergeCell ref="A115:B115"/>
    <mergeCell ref="C115:U115"/>
    <mergeCell ref="V115:X115"/>
    <mergeCell ref="Y123:AD123"/>
    <mergeCell ref="AE123:AJ123"/>
    <mergeCell ref="AK123:AP123"/>
    <mergeCell ref="AQ123:AV123"/>
    <mergeCell ref="AW123:BB123"/>
    <mergeCell ref="A122:B122"/>
    <mergeCell ref="C114:U114"/>
    <mergeCell ref="V114:X114"/>
    <mergeCell ref="Y114:AD114"/>
    <mergeCell ref="AE114:AJ114"/>
    <mergeCell ref="AK114:AP114"/>
    <mergeCell ref="AQ112:AV112"/>
    <mergeCell ref="AW120:BB120"/>
    <mergeCell ref="A121:B121"/>
    <mergeCell ref="C121:U121"/>
    <mergeCell ref="V121:X121"/>
    <mergeCell ref="Y121:AD121"/>
    <mergeCell ref="AE121:AJ121"/>
    <mergeCell ref="AK113:AP113"/>
    <mergeCell ref="AQ113:AV113"/>
    <mergeCell ref="AW113:BB113"/>
    <mergeCell ref="A112:B112"/>
    <mergeCell ref="C112:U112"/>
    <mergeCell ref="V112:X112"/>
    <mergeCell ref="Y112:AD112"/>
    <mergeCell ref="AE112:AJ112"/>
    <mergeCell ref="AK112:AP112"/>
    <mergeCell ref="AQ118:AV118"/>
    <mergeCell ref="AW118:BB118"/>
    <mergeCell ref="A119:B119"/>
    <mergeCell ref="C119:U119"/>
    <mergeCell ref="V119:X119"/>
    <mergeCell ref="Y127:AD127"/>
    <mergeCell ref="AE127:AJ127"/>
    <mergeCell ref="AK127:AP127"/>
    <mergeCell ref="AQ127:AV127"/>
    <mergeCell ref="AW127:BB127"/>
    <mergeCell ref="A126:B126"/>
    <mergeCell ref="C118:U118"/>
    <mergeCell ref="V118:X118"/>
    <mergeCell ref="Y118:AD118"/>
    <mergeCell ref="AE118:AJ118"/>
    <mergeCell ref="AK118:AP118"/>
    <mergeCell ref="AQ116:AV116"/>
    <mergeCell ref="AW124:BB124"/>
    <mergeCell ref="A125:B125"/>
    <mergeCell ref="C125:U125"/>
    <mergeCell ref="V125:X125"/>
    <mergeCell ref="Y125:AD125"/>
    <mergeCell ref="AE125:AJ125"/>
    <mergeCell ref="AK117:AP117"/>
    <mergeCell ref="AQ117:AV117"/>
    <mergeCell ref="AW117:BB117"/>
    <mergeCell ref="A116:B116"/>
    <mergeCell ref="C116:U116"/>
    <mergeCell ref="V116:X116"/>
    <mergeCell ref="Y116:AD116"/>
    <mergeCell ref="AE116:AJ116"/>
    <mergeCell ref="AK116:AP116"/>
    <mergeCell ref="AQ122:AV122"/>
    <mergeCell ref="AW122:BB122"/>
    <mergeCell ref="A123:B123"/>
    <mergeCell ref="C123:U123"/>
    <mergeCell ref="V123:X123"/>
    <mergeCell ref="Y131:AD131"/>
    <mergeCell ref="AE131:AJ131"/>
    <mergeCell ref="AK131:AP131"/>
    <mergeCell ref="AQ131:AV131"/>
    <mergeCell ref="AW131:BB131"/>
    <mergeCell ref="A130:B130"/>
    <mergeCell ref="C122:U122"/>
    <mergeCell ref="V122:X122"/>
    <mergeCell ref="Y122:AD122"/>
    <mergeCell ref="AE122:AJ122"/>
    <mergeCell ref="AK122:AP122"/>
    <mergeCell ref="AQ120:AV120"/>
    <mergeCell ref="AW128:BB128"/>
    <mergeCell ref="A129:B129"/>
    <mergeCell ref="C129:U129"/>
    <mergeCell ref="V129:X129"/>
    <mergeCell ref="Y129:AD129"/>
    <mergeCell ref="AE129:AJ129"/>
    <mergeCell ref="AK121:AP121"/>
    <mergeCell ref="AQ121:AV121"/>
    <mergeCell ref="AW121:BB121"/>
    <mergeCell ref="A120:B120"/>
    <mergeCell ref="C120:U120"/>
    <mergeCell ref="V120:X120"/>
    <mergeCell ref="Y120:AD120"/>
    <mergeCell ref="AE120:AJ120"/>
    <mergeCell ref="AK120:AP120"/>
    <mergeCell ref="AQ126:AV126"/>
    <mergeCell ref="AW126:BB126"/>
    <mergeCell ref="A127:B127"/>
    <mergeCell ref="C127:U127"/>
    <mergeCell ref="V127:X127"/>
    <mergeCell ref="Y135:AD135"/>
    <mergeCell ref="AE135:AJ135"/>
    <mergeCell ref="AK135:AP135"/>
    <mergeCell ref="AQ135:AV135"/>
    <mergeCell ref="AW135:BB135"/>
    <mergeCell ref="A134:B134"/>
    <mergeCell ref="C126:U126"/>
    <mergeCell ref="V126:X126"/>
    <mergeCell ref="Y126:AD126"/>
    <mergeCell ref="AE126:AJ126"/>
    <mergeCell ref="AK126:AP126"/>
    <mergeCell ref="AQ124:AV124"/>
    <mergeCell ref="AW132:BB132"/>
    <mergeCell ref="A133:B133"/>
    <mergeCell ref="C133:U133"/>
    <mergeCell ref="V133:X133"/>
    <mergeCell ref="Y133:AD133"/>
    <mergeCell ref="AE133:AJ133"/>
    <mergeCell ref="AK125:AP125"/>
    <mergeCell ref="AQ125:AV125"/>
    <mergeCell ref="AW125:BB125"/>
    <mergeCell ref="A124:B124"/>
    <mergeCell ref="C124:U124"/>
    <mergeCell ref="V124:X124"/>
    <mergeCell ref="Y124:AD124"/>
    <mergeCell ref="AE124:AJ124"/>
    <mergeCell ref="AK124:AP124"/>
    <mergeCell ref="AQ130:AV130"/>
    <mergeCell ref="AW130:BB130"/>
    <mergeCell ref="A131:B131"/>
    <mergeCell ref="C131:U131"/>
    <mergeCell ref="V131:X131"/>
    <mergeCell ref="Y139:AD139"/>
    <mergeCell ref="AE139:AJ139"/>
    <mergeCell ref="AK139:AP139"/>
    <mergeCell ref="AQ139:AV139"/>
    <mergeCell ref="AW139:BB139"/>
    <mergeCell ref="A138:B138"/>
    <mergeCell ref="C130:U130"/>
    <mergeCell ref="V130:X130"/>
    <mergeCell ref="Y130:AD130"/>
    <mergeCell ref="AE130:AJ130"/>
    <mergeCell ref="AK130:AP130"/>
    <mergeCell ref="AQ128:AV128"/>
    <mergeCell ref="AW136:BB136"/>
    <mergeCell ref="A137:B137"/>
    <mergeCell ref="C137:U137"/>
    <mergeCell ref="V137:X137"/>
    <mergeCell ref="Y137:AD137"/>
    <mergeCell ref="AE137:AJ137"/>
    <mergeCell ref="AK129:AP129"/>
    <mergeCell ref="AQ129:AV129"/>
    <mergeCell ref="AW129:BB129"/>
    <mergeCell ref="A128:B128"/>
    <mergeCell ref="C128:U128"/>
    <mergeCell ref="V128:X128"/>
    <mergeCell ref="Y128:AD128"/>
    <mergeCell ref="AE128:AJ128"/>
    <mergeCell ref="AK128:AP128"/>
    <mergeCell ref="AQ134:AV134"/>
    <mergeCell ref="AW134:BB134"/>
    <mergeCell ref="A135:B135"/>
    <mergeCell ref="C135:U135"/>
    <mergeCell ref="V135:X135"/>
    <mergeCell ref="Y143:AD143"/>
    <mergeCell ref="AE143:AJ143"/>
    <mergeCell ref="AK143:AP143"/>
    <mergeCell ref="AQ143:AV143"/>
    <mergeCell ref="AW143:BB143"/>
    <mergeCell ref="A142:B142"/>
    <mergeCell ref="C134:U134"/>
    <mergeCell ref="V134:X134"/>
    <mergeCell ref="Y134:AD134"/>
    <mergeCell ref="AE134:AJ134"/>
    <mergeCell ref="AK134:AP134"/>
    <mergeCell ref="AQ132:AV132"/>
    <mergeCell ref="AW140:BB140"/>
    <mergeCell ref="A141:B141"/>
    <mergeCell ref="C141:U141"/>
    <mergeCell ref="V141:X141"/>
    <mergeCell ref="Y141:AD141"/>
    <mergeCell ref="AE141:AJ141"/>
    <mergeCell ref="AK133:AP133"/>
    <mergeCell ref="AQ133:AV133"/>
    <mergeCell ref="AW133:BB133"/>
    <mergeCell ref="A132:B132"/>
    <mergeCell ref="C132:U132"/>
    <mergeCell ref="V132:X132"/>
    <mergeCell ref="Y132:AD132"/>
    <mergeCell ref="AE132:AJ132"/>
    <mergeCell ref="AK132:AP132"/>
    <mergeCell ref="AQ138:AV138"/>
    <mergeCell ref="AW138:BB138"/>
    <mergeCell ref="A139:B139"/>
    <mergeCell ref="C139:U139"/>
    <mergeCell ref="V139:X139"/>
    <mergeCell ref="Y147:AD147"/>
    <mergeCell ref="AE147:AJ147"/>
    <mergeCell ref="AK147:AP147"/>
    <mergeCell ref="AQ147:AV147"/>
    <mergeCell ref="AW147:BB147"/>
    <mergeCell ref="A146:B146"/>
    <mergeCell ref="C138:U138"/>
    <mergeCell ref="V138:X138"/>
    <mergeCell ref="Y138:AD138"/>
    <mergeCell ref="AE138:AJ138"/>
    <mergeCell ref="AK138:AP138"/>
    <mergeCell ref="AQ136:AV136"/>
    <mergeCell ref="AW144:BB144"/>
    <mergeCell ref="A145:B145"/>
    <mergeCell ref="C145:U145"/>
    <mergeCell ref="V145:X145"/>
    <mergeCell ref="Y145:AD145"/>
    <mergeCell ref="AE145:AJ145"/>
    <mergeCell ref="AK137:AP137"/>
    <mergeCell ref="AQ137:AV137"/>
    <mergeCell ref="AW137:BB137"/>
    <mergeCell ref="A136:B136"/>
    <mergeCell ref="C136:U136"/>
    <mergeCell ref="V136:X136"/>
    <mergeCell ref="Y136:AD136"/>
    <mergeCell ref="AE136:AJ136"/>
    <mergeCell ref="AK136:AP136"/>
    <mergeCell ref="AQ142:AV142"/>
    <mergeCell ref="AW142:BB142"/>
    <mergeCell ref="A143:B143"/>
    <mergeCell ref="C143:U143"/>
    <mergeCell ref="V143:X143"/>
    <mergeCell ref="Y151:AD151"/>
    <mergeCell ref="AE151:AJ151"/>
    <mergeCell ref="AK151:AP151"/>
    <mergeCell ref="AQ151:AV151"/>
    <mergeCell ref="AW151:BB151"/>
    <mergeCell ref="A150:B150"/>
    <mergeCell ref="C142:U142"/>
    <mergeCell ref="V142:X142"/>
    <mergeCell ref="Y142:AD142"/>
    <mergeCell ref="AE142:AJ142"/>
    <mergeCell ref="AK142:AP142"/>
    <mergeCell ref="AQ140:AV140"/>
    <mergeCell ref="AW148:BB148"/>
    <mergeCell ref="A149:B149"/>
    <mergeCell ref="C149:U149"/>
    <mergeCell ref="V149:X149"/>
    <mergeCell ref="Y149:AD149"/>
    <mergeCell ref="AE149:AJ149"/>
    <mergeCell ref="AK141:AP141"/>
    <mergeCell ref="AQ141:AV141"/>
    <mergeCell ref="AW141:BB141"/>
    <mergeCell ref="A140:B140"/>
    <mergeCell ref="C140:U140"/>
    <mergeCell ref="V140:X140"/>
    <mergeCell ref="Y140:AD140"/>
    <mergeCell ref="AE140:AJ140"/>
    <mergeCell ref="AK140:AP140"/>
    <mergeCell ref="AQ146:AV146"/>
    <mergeCell ref="AW146:BB146"/>
    <mergeCell ref="A147:B147"/>
    <mergeCell ref="C147:U147"/>
    <mergeCell ref="V147:X147"/>
    <mergeCell ref="Y155:AD155"/>
    <mergeCell ref="AE155:AJ155"/>
    <mergeCell ref="AK155:AP155"/>
    <mergeCell ref="AQ155:AV155"/>
    <mergeCell ref="AW155:BB155"/>
    <mergeCell ref="A154:B154"/>
    <mergeCell ref="C146:U146"/>
    <mergeCell ref="V146:X146"/>
    <mergeCell ref="Y146:AD146"/>
    <mergeCell ref="AE146:AJ146"/>
    <mergeCell ref="AK146:AP146"/>
    <mergeCell ref="AQ144:AV144"/>
    <mergeCell ref="AW152:BB152"/>
    <mergeCell ref="A153:B153"/>
    <mergeCell ref="C153:U153"/>
    <mergeCell ref="V153:X153"/>
    <mergeCell ref="Y153:AD153"/>
    <mergeCell ref="AE153:AJ153"/>
    <mergeCell ref="AK145:AP145"/>
    <mergeCell ref="AQ145:AV145"/>
    <mergeCell ref="AW145:BB145"/>
    <mergeCell ref="A144:B144"/>
    <mergeCell ref="C144:U144"/>
    <mergeCell ref="V144:X144"/>
    <mergeCell ref="Y144:AD144"/>
    <mergeCell ref="AE144:AJ144"/>
    <mergeCell ref="AK144:AP144"/>
    <mergeCell ref="AQ150:AV150"/>
    <mergeCell ref="AW150:BB150"/>
    <mergeCell ref="A151:B151"/>
    <mergeCell ref="C151:U151"/>
    <mergeCell ref="V151:X151"/>
    <mergeCell ref="Y159:AD159"/>
    <mergeCell ref="AE159:AJ159"/>
    <mergeCell ref="AK159:AP159"/>
    <mergeCell ref="AQ159:AV159"/>
    <mergeCell ref="AW159:BB159"/>
    <mergeCell ref="A158:B158"/>
    <mergeCell ref="C150:U150"/>
    <mergeCell ref="V150:X150"/>
    <mergeCell ref="Y150:AD150"/>
    <mergeCell ref="AE150:AJ150"/>
    <mergeCell ref="AK150:AP150"/>
    <mergeCell ref="AQ148:AV148"/>
    <mergeCell ref="AW156:BB156"/>
    <mergeCell ref="A157:B157"/>
    <mergeCell ref="C157:U157"/>
    <mergeCell ref="V157:X157"/>
    <mergeCell ref="Y157:AD157"/>
    <mergeCell ref="AE157:AJ157"/>
    <mergeCell ref="AK149:AP149"/>
    <mergeCell ref="AQ149:AV149"/>
    <mergeCell ref="AW149:BB149"/>
    <mergeCell ref="A148:B148"/>
    <mergeCell ref="C148:U148"/>
    <mergeCell ref="V148:X148"/>
    <mergeCell ref="Y148:AD148"/>
    <mergeCell ref="AE148:AJ148"/>
    <mergeCell ref="AK148:AP148"/>
    <mergeCell ref="AQ154:AV154"/>
    <mergeCell ref="AW154:BB154"/>
    <mergeCell ref="A155:B155"/>
    <mergeCell ref="C155:U155"/>
    <mergeCell ref="V155:X155"/>
    <mergeCell ref="Y163:AD163"/>
    <mergeCell ref="AE163:AJ163"/>
    <mergeCell ref="AK163:AP163"/>
    <mergeCell ref="AQ163:AV163"/>
    <mergeCell ref="AW163:BB163"/>
    <mergeCell ref="A162:B162"/>
    <mergeCell ref="C154:U154"/>
    <mergeCell ref="V154:X154"/>
    <mergeCell ref="Y154:AD154"/>
    <mergeCell ref="AE154:AJ154"/>
    <mergeCell ref="AK154:AP154"/>
    <mergeCell ref="AQ152:AV152"/>
    <mergeCell ref="AW160:BB160"/>
    <mergeCell ref="A161:B161"/>
    <mergeCell ref="C161:U161"/>
    <mergeCell ref="V161:X161"/>
    <mergeCell ref="Y161:AD161"/>
    <mergeCell ref="AE161:AJ161"/>
    <mergeCell ref="AK153:AP153"/>
    <mergeCell ref="AQ153:AV153"/>
    <mergeCell ref="AW153:BB153"/>
    <mergeCell ref="A152:B152"/>
    <mergeCell ref="C152:U152"/>
    <mergeCell ref="V152:X152"/>
    <mergeCell ref="Y152:AD152"/>
    <mergeCell ref="AE152:AJ152"/>
    <mergeCell ref="AK152:AP152"/>
    <mergeCell ref="AQ158:AV158"/>
    <mergeCell ref="AW158:BB158"/>
    <mergeCell ref="A159:B159"/>
    <mergeCell ref="C159:U159"/>
    <mergeCell ref="V159:X159"/>
    <mergeCell ref="Y167:AD167"/>
    <mergeCell ref="AE167:AJ167"/>
    <mergeCell ref="AK167:AP167"/>
    <mergeCell ref="AQ167:AV167"/>
    <mergeCell ref="AW167:BB167"/>
    <mergeCell ref="A166:B166"/>
    <mergeCell ref="C158:U158"/>
    <mergeCell ref="V158:X158"/>
    <mergeCell ref="Y158:AD158"/>
    <mergeCell ref="AE158:AJ158"/>
    <mergeCell ref="AK158:AP158"/>
    <mergeCell ref="AQ156:AV156"/>
    <mergeCell ref="AW164:BB164"/>
    <mergeCell ref="A165:B165"/>
    <mergeCell ref="C165:U165"/>
    <mergeCell ref="V165:X165"/>
    <mergeCell ref="Y165:AD165"/>
    <mergeCell ref="AE165:AJ165"/>
    <mergeCell ref="AK157:AP157"/>
    <mergeCell ref="AQ157:AV157"/>
    <mergeCell ref="AW157:BB157"/>
    <mergeCell ref="A156:B156"/>
    <mergeCell ref="C156:U156"/>
    <mergeCell ref="V156:X156"/>
    <mergeCell ref="Y156:AD156"/>
    <mergeCell ref="AE156:AJ156"/>
    <mergeCell ref="AK156:AP156"/>
    <mergeCell ref="AQ162:AV162"/>
    <mergeCell ref="AW162:BB162"/>
    <mergeCell ref="A163:B163"/>
    <mergeCell ref="C163:U163"/>
    <mergeCell ref="V163:X163"/>
    <mergeCell ref="Y171:AD171"/>
    <mergeCell ref="AE171:AJ171"/>
    <mergeCell ref="AK171:AP171"/>
    <mergeCell ref="AQ171:AV171"/>
    <mergeCell ref="AW171:BB171"/>
    <mergeCell ref="A170:B170"/>
    <mergeCell ref="C162:U162"/>
    <mergeCell ref="V162:X162"/>
    <mergeCell ref="Y162:AD162"/>
    <mergeCell ref="AE162:AJ162"/>
    <mergeCell ref="AK162:AP162"/>
    <mergeCell ref="AQ160:AV160"/>
    <mergeCell ref="AW168:BB168"/>
    <mergeCell ref="A169:B169"/>
    <mergeCell ref="C169:U169"/>
    <mergeCell ref="V169:X169"/>
    <mergeCell ref="Y169:AD169"/>
    <mergeCell ref="AE169:AJ169"/>
    <mergeCell ref="AK161:AP161"/>
    <mergeCell ref="AQ161:AV161"/>
    <mergeCell ref="AW161:BB161"/>
    <mergeCell ref="A160:B160"/>
    <mergeCell ref="C160:U160"/>
    <mergeCell ref="V160:X160"/>
    <mergeCell ref="Y160:AD160"/>
    <mergeCell ref="AE160:AJ160"/>
    <mergeCell ref="AK160:AP160"/>
    <mergeCell ref="AQ166:AV166"/>
    <mergeCell ref="AW166:BB166"/>
    <mergeCell ref="A167:B167"/>
    <mergeCell ref="C167:U167"/>
    <mergeCell ref="V167:X167"/>
    <mergeCell ref="Y175:AD175"/>
    <mergeCell ref="AE175:AJ175"/>
    <mergeCell ref="AK175:AP175"/>
    <mergeCell ref="AQ175:AV175"/>
    <mergeCell ref="AW175:BB175"/>
    <mergeCell ref="A174:B174"/>
    <mergeCell ref="C166:U166"/>
    <mergeCell ref="V166:X166"/>
    <mergeCell ref="Y166:AD166"/>
    <mergeCell ref="AE166:AJ166"/>
    <mergeCell ref="AK166:AP166"/>
    <mergeCell ref="AQ164:AV164"/>
    <mergeCell ref="AW172:BB172"/>
    <mergeCell ref="A173:B173"/>
    <mergeCell ref="C173:U173"/>
    <mergeCell ref="V173:X173"/>
    <mergeCell ref="Y173:AD173"/>
    <mergeCell ref="AE173:AJ173"/>
    <mergeCell ref="AK165:AP165"/>
    <mergeCell ref="AQ165:AV165"/>
    <mergeCell ref="AW165:BB165"/>
    <mergeCell ref="A164:B164"/>
    <mergeCell ref="C164:U164"/>
    <mergeCell ref="V164:X164"/>
    <mergeCell ref="Y164:AD164"/>
    <mergeCell ref="AE164:AJ164"/>
    <mergeCell ref="AK164:AP164"/>
    <mergeCell ref="AQ170:AV170"/>
    <mergeCell ref="AW170:BB170"/>
    <mergeCell ref="A171:B171"/>
    <mergeCell ref="C171:U171"/>
    <mergeCell ref="V171:X171"/>
    <mergeCell ref="Y179:AD179"/>
    <mergeCell ref="AE179:AJ179"/>
    <mergeCell ref="AK179:AP179"/>
    <mergeCell ref="AQ179:AV179"/>
    <mergeCell ref="AW179:BB179"/>
    <mergeCell ref="A178:B178"/>
    <mergeCell ref="C170:U170"/>
    <mergeCell ref="V170:X170"/>
    <mergeCell ref="Y170:AD170"/>
    <mergeCell ref="AE170:AJ170"/>
    <mergeCell ref="AK170:AP170"/>
    <mergeCell ref="AQ168:AV168"/>
    <mergeCell ref="AW176:BB176"/>
    <mergeCell ref="A177:B177"/>
    <mergeCell ref="C177:U177"/>
    <mergeCell ref="V177:X177"/>
    <mergeCell ref="Y177:AD177"/>
    <mergeCell ref="AE177:AJ177"/>
    <mergeCell ref="AK169:AP169"/>
    <mergeCell ref="AQ169:AV169"/>
    <mergeCell ref="AW169:BB169"/>
    <mergeCell ref="A168:B168"/>
    <mergeCell ref="C168:U168"/>
    <mergeCell ref="V168:X168"/>
    <mergeCell ref="Y168:AD168"/>
    <mergeCell ref="AE168:AJ168"/>
    <mergeCell ref="AK168:AP168"/>
    <mergeCell ref="AQ174:AV174"/>
    <mergeCell ref="AW174:BB174"/>
    <mergeCell ref="A175:B175"/>
    <mergeCell ref="C175:U175"/>
    <mergeCell ref="V175:X175"/>
    <mergeCell ref="Y183:AD183"/>
    <mergeCell ref="AE183:AJ183"/>
    <mergeCell ref="AK183:AP183"/>
    <mergeCell ref="AQ183:AV183"/>
    <mergeCell ref="AW183:BB183"/>
    <mergeCell ref="A182:B182"/>
    <mergeCell ref="C174:U174"/>
    <mergeCell ref="V174:X174"/>
    <mergeCell ref="Y174:AD174"/>
    <mergeCell ref="AE174:AJ174"/>
    <mergeCell ref="AK174:AP174"/>
    <mergeCell ref="AQ172:AV172"/>
    <mergeCell ref="AW180:BB180"/>
    <mergeCell ref="A181:B181"/>
    <mergeCell ref="C181:U181"/>
    <mergeCell ref="V181:X181"/>
    <mergeCell ref="Y181:AD181"/>
    <mergeCell ref="AE181:AJ181"/>
    <mergeCell ref="AK173:AP173"/>
    <mergeCell ref="AQ173:AV173"/>
    <mergeCell ref="AW173:BB173"/>
    <mergeCell ref="A172:B172"/>
    <mergeCell ref="C172:U172"/>
    <mergeCell ref="V172:X172"/>
    <mergeCell ref="Y172:AD172"/>
    <mergeCell ref="AE172:AJ172"/>
    <mergeCell ref="AK172:AP172"/>
    <mergeCell ref="AQ178:AV178"/>
    <mergeCell ref="AW178:BB178"/>
    <mergeCell ref="A179:B179"/>
    <mergeCell ref="C179:U179"/>
    <mergeCell ref="V179:X179"/>
    <mergeCell ref="Y187:AD187"/>
    <mergeCell ref="AE187:AJ187"/>
    <mergeCell ref="AK187:AP187"/>
    <mergeCell ref="AQ187:AV187"/>
    <mergeCell ref="AW187:BB187"/>
    <mergeCell ref="A186:B186"/>
    <mergeCell ref="C178:U178"/>
    <mergeCell ref="V178:X178"/>
    <mergeCell ref="Y178:AD178"/>
    <mergeCell ref="AE178:AJ178"/>
    <mergeCell ref="AK178:AP178"/>
    <mergeCell ref="AQ176:AV176"/>
    <mergeCell ref="AW184:BB184"/>
    <mergeCell ref="A185:B185"/>
    <mergeCell ref="C185:U185"/>
    <mergeCell ref="V185:X185"/>
    <mergeCell ref="Y185:AD185"/>
    <mergeCell ref="AE185:AJ185"/>
    <mergeCell ref="AK177:AP177"/>
    <mergeCell ref="AQ177:AV177"/>
    <mergeCell ref="AW177:BB177"/>
    <mergeCell ref="A176:B176"/>
    <mergeCell ref="C176:U176"/>
    <mergeCell ref="V176:X176"/>
    <mergeCell ref="Y176:AD176"/>
    <mergeCell ref="AE176:AJ176"/>
    <mergeCell ref="AK176:AP176"/>
    <mergeCell ref="AQ182:AV182"/>
    <mergeCell ref="AW182:BB182"/>
    <mergeCell ref="A183:B183"/>
    <mergeCell ref="C183:U183"/>
    <mergeCell ref="V183:X183"/>
    <mergeCell ref="Y191:AD191"/>
    <mergeCell ref="AE191:AJ191"/>
    <mergeCell ref="AK191:AP191"/>
    <mergeCell ref="AQ191:AV191"/>
    <mergeCell ref="AW191:BB191"/>
    <mergeCell ref="A190:B190"/>
    <mergeCell ref="C182:U182"/>
    <mergeCell ref="V182:X182"/>
    <mergeCell ref="Y182:AD182"/>
    <mergeCell ref="AE182:AJ182"/>
    <mergeCell ref="AK182:AP182"/>
    <mergeCell ref="AQ180:AV180"/>
    <mergeCell ref="AW188:BB188"/>
    <mergeCell ref="A189:B189"/>
    <mergeCell ref="C189:U189"/>
    <mergeCell ref="V189:X189"/>
    <mergeCell ref="Y189:AD189"/>
    <mergeCell ref="AE189:AJ189"/>
    <mergeCell ref="AK181:AP181"/>
    <mergeCell ref="AQ181:AV181"/>
    <mergeCell ref="AW181:BB181"/>
    <mergeCell ref="A180:B180"/>
    <mergeCell ref="C180:U180"/>
    <mergeCell ref="V180:X180"/>
    <mergeCell ref="Y180:AD180"/>
    <mergeCell ref="AE180:AJ180"/>
    <mergeCell ref="AK180:AP180"/>
    <mergeCell ref="AQ186:AV186"/>
    <mergeCell ref="AW186:BB186"/>
    <mergeCell ref="A187:B187"/>
    <mergeCell ref="C187:U187"/>
    <mergeCell ref="V187:X187"/>
    <mergeCell ref="Y195:AD195"/>
    <mergeCell ref="AE195:AJ195"/>
    <mergeCell ref="AK195:AP195"/>
    <mergeCell ref="AQ195:AV195"/>
    <mergeCell ref="AW195:BB195"/>
    <mergeCell ref="A194:B194"/>
    <mergeCell ref="C186:U186"/>
    <mergeCell ref="V186:X186"/>
    <mergeCell ref="Y186:AD186"/>
    <mergeCell ref="AE186:AJ186"/>
    <mergeCell ref="AK186:AP186"/>
    <mergeCell ref="AQ184:AV184"/>
    <mergeCell ref="AW192:BB192"/>
    <mergeCell ref="A193:B193"/>
    <mergeCell ref="C193:U193"/>
    <mergeCell ref="V193:X193"/>
    <mergeCell ref="Y193:AD193"/>
    <mergeCell ref="AE193:AJ193"/>
    <mergeCell ref="AK185:AP185"/>
    <mergeCell ref="AQ185:AV185"/>
    <mergeCell ref="AW185:BB185"/>
    <mergeCell ref="A184:B184"/>
    <mergeCell ref="C184:U184"/>
    <mergeCell ref="V184:X184"/>
    <mergeCell ref="Y184:AD184"/>
    <mergeCell ref="AE184:AJ184"/>
    <mergeCell ref="AK184:AP184"/>
    <mergeCell ref="AQ190:AV190"/>
    <mergeCell ref="AW190:BB190"/>
    <mergeCell ref="A191:B191"/>
    <mergeCell ref="C191:U191"/>
    <mergeCell ref="V191:X191"/>
    <mergeCell ref="Y199:AD199"/>
    <mergeCell ref="AE199:AJ199"/>
    <mergeCell ref="AK199:AP199"/>
    <mergeCell ref="AQ199:AV199"/>
    <mergeCell ref="AW199:BB199"/>
    <mergeCell ref="A198:B198"/>
    <mergeCell ref="C190:U190"/>
    <mergeCell ref="V190:X190"/>
    <mergeCell ref="Y190:AD190"/>
    <mergeCell ref="AE190:AJ190"/>
    <mergeCell ref="AK190:AP190"/>
    <mergeCell ref="AQ188:AV188"/>
    <mergeCell ref="AW196:BB196"/>
    <mergeCell ref="A197:B197"/>
    <mergeCell ref="C197:U197"/>
    <mergeCell ref="V197:X197"/>
    <mergeCell ref="Y197:AD197"/>
    <mergeCell ref="AE197:AJ197"/>
    <mergeCell ref="AK189:AP189"/>
    <mergeCell ref="AQ189:AV189"/>
    <mergeCell ref="AW189:BB189"/>
    <mergeCell ref="A188:B188"/>
    <mergeCell ref="C188:U188"/>
    <mergeCell ref="V188:X188"/>
    <mergeCell ref="Y188:AD188"/>
    <mergeCell ref="AE188:AJ188"/>
    <mergeCell ref="AK188:AP188"/>
    <mergeCell ref="AQ194:AV194"/>
    <mergeCell ref="AW194:BB194"/>
    <mergeCell ref="A195:B195"/>
    <mergeCell ref="C195:U195"/>
    <mergeCell ref="V195:X195"/>
    <mergeCell ref="Y203:AD203"/>
    <mergeCell ref="AE203:AJ203"/>
    <mergeCell ref="AK203:AP203"/>
    <mergeCell ref="AQ203:AV203"/>
    <mergeCell ref="AW203:BB203"/>
    <mergeCell ref="A202:B202"/>
    <mergeCell ref="C194:U194"/>
    <mergeCell ref="V194:X194"/>
    <mergeCell ref="Y194:AD194"/>
    <mergeCell ref="AE194:AJ194"/>
    <mergeCell ref="AK194:AP194"/>
    <mergeCell ref="AQ192:AV192"/>
    <mergeCell ref="AW200:BB200"/>
    <mergeCell ref="A201:B201"/>
    <mergeCell ref="C201:U201"/>
    <mergeCell ref="V201:X201"/>
    <mergeCell ref="Y201:AD201"/>
    <mergeCell ref="AE201:AJ201"/>
    <mergeCell ref="AK193:AP193"/>
    <mergeCell ref="AQ193:AV193"/>
    <mergeCell ref="AW193:BB193"/>
    <mergeCell ref="A192:B192"/>
    <mergeCell ref="C192:U192"/>
    <mergeCell ref="V192:X192"/>
    <mergeCell ref="Y192:AD192"/>
    <mergeCell ref="AE192:AJ192"/>
    <mergeCell ref="AK192:AP192"/>
    <mergeCell ref="AQ198:AV198"/>
    <mergeCell ref="AW198:BB198"/>
    <mergeCell ref="A199:B199"/>
    <mergeCell ref="C199:U199"/>
    <mergeCell ref="V199:X199"/>
    <mergeCell ref="Y207:AD207"/>
    <mergeCell ref="AE207:AJ207"/>
    <mergeCell ref="AK207:AP207"/>
    <mergeCell ref="AQ207:AV207"/>
    <mergeCell ref="AW207:BB207"/>
    <mergeCell ref="A206:B206"/>
    <mergeCell ref="C198:U198"/>
    <mergeCell ref="V198:X198"/>
    <mergeCell ref="Y198:AD198"/>
    <mergeCell ref="AE198:AJ198"/>
    <mergeCell ref="AK198:AP198"/>
    <mergeCell ref="AQ196:AV196"/>
    <mergeCell ref="AW204:BB204"/>
    <mergeCell ref="A205:B205"/>
    <mergeCell ref="C205:U205"/>
    <mergeCell ref="V205:X205"/>
    <mergeCell ref="Y205:AD205"/>
    <mergeCell ref="AE205:AJ205"/>
    <mergeCell ref="AK197:AP197"/>
    <mergeCell ref="AQ197:AV197"/>
    <mergeCell ref="AW197:BB197"/>
    <mergeCell ref="A196:B196"/>
    <mergeCell ref="C196:U196"/>
    <mergeCell ref="V196:X196"/>
    <mergeCell ref="Y196:AD196"/>
    <mergeCell ref="AE196:AJ196"/>
    <mergeCell ref="AK196:AP196"/>
    <mergeCell ref="AQ202:AV202"/>
    <mergeCell ref="AW202:BB202"/>
    <mergeCell ref="A203:B203"/>
    <mergeCell ref="C203:U203"/>
    <mergeCell ref="V203:X203"/>
    <mergeCell ref="Y211:AD211"/>
    <mergeCell ref="AE211:AJ211"/>
    <mergeCell ref="AK211:AP211"/>
    <mergeCell ref="AQ211:AV211"/>
    <mergeCell ref="AW211:BB211"/>
    <mergeCell ref="A210:B210"/>
    <mergeCell ref="C202:U202"/>
    <mergeCell ref="V202:X202"/>
    <mergeCell ref="Y202:AD202"/>
    <mergeCell ref="AE202:AJ202"/>
    <mergeCell ref="AK202:AP202"/>
    <mergeCell ref="AQ200:AV200"/>
    <mergeCell ref="AW208:BB208"/>
    <mergeCell ref="A209:B209"/>
    <mergeCell ref="C209:U209"/>
    <mergeCell ref="V209:X209"/>
    <mergeCell ref="Y209:AD209"/>
    <mergeCell ref="AE209:AJ209"/>
    <mergeCell ref="AK201:AP201"/>
    <mergeCell ref="AQ201:AV201"/>
    <mergeCell ref="AW201:BB201"/>
    <mergeCell ref="A200:B200"/>
    <mergeCell ref="C200:U200"/>
    <mergeCell ref="V200:X200"/>
    <mergeCell ref="Y200:AD200"/>
    <mergeCell ref="AE200:AJ200"/>
    <mergeCell ref="AK200:AP200"/>
    <mergeCell ref="AQ206:AV206"/>
    <mergeCell ref="AW206:BB206"/>
    <mergeCell ref="A207:B207"/>
    <mergeCell ref="C207:U207"/>
    <mergeCell ref="V207:X207"/>
    <mergeCell ref="Y215:AD215"/>
    <mergeCell ref="AE215:AJ215"/>
    <mergeCell ref="AK215:AP215"/>
    <mergeCell ref="AQ215:AV215"/>
    <mergeCell ref="AW215:BB215"/>
    <mergeCell ref="A214:B214"/>
    <mergeCell ref="C206:U206"/>
    <mergeCell ref="V206:X206"/>
    <mergeCell ref="Y206:AD206"/>
    <mergeCell ref="AE206:AJ206"/>
    <mergeCell ref="AK206:AP206"/>
    <mergeCell ref="AQ204:AV204"/>
    <mergeCell ref="AW212:BB212"/>
    <mergeCell ref="A213:B213"/>
    <mergeCell ref="C213:U213"/>
    <mergeCell ref="V213:X213"/>
    <mergeCell ref="Y213:AD213"/>
    <mergeCell ref="AE213:AJ213"/>
    <mergeCell ref="AK205:AP205"/>
    <mergeCell ref="AQ205:AV205"/>
    <mergeCell ref="AW205:BB205"/>
    <mergeCell ref="A204:B204"/>
    <mergeCell ref="C204:U204"/>
    <mergeCell ref="V204:X204"/>
    <mergeCell ref="Y204:AD204"/>
    <mergeCell ref="AE204:AJ204"/>
    <mergeCell ref="AK204:AP204"/>
    <mergeCell ref="AQ210:AV210"/>
    <mergeCell ref="AW210:BB210"/>
    <mergeCell ref="A211:B211"/>
    <mergeCell ref="C211:U211"/>
    <mergeCell ref="V211:X211"/>
    <mergeCell ref="Y219:AD219"/>
    <mergeCell ref="AE219:AJ219"/>
    <mergeCell ref="AK219:AP219"/>
    <mergeCell ref="AQ219:AV219"/>
    <mergeCell ref="AW219:BB219"/>
    <mergeCell ref="A218:B218"/>
    <mergeCell ref="C210:U210"/>
    <mergeCell ref="V210:X210"/>
    <mergeCell ref="Y210:AD210"/>
    <mergeCell ref="AE210:AJ210"/>
    <mergeCell ref="AK210:AP210"/>
    <mergeCell ref="AQ208:AV208"/>
    <mergeCell ref="AW216:BB216"/>
    <mergeCell ref="A217:B217"/>
    <mergeCell ref="C217:U217"/>
    <mergeCell ref="V217:X217"/>
    <mergeCell ref="Y217:AD217"/>
    <mergeCell ref="AE217:AJ217"/>
    <mergeCell ref="AK209:AP209"/>
    <mergeCell ref="AQ209:AV209"/>
    <mergeCell ref="AW209:BB209"/>
    <mergeCell ref="A208:B208"/>
    <mergeCell ref="C208:U208"/>
    <mergeCell ref="V208:X208"/>
    <mergeCell ref="Y208:AD208"/>
    <mergeCell ref="AE208:AJ208"/>
    <mergeCell ref="AK208:AP208"/>
    <mergeCell ref="AQ214:AV214"/>
    <mergeCell ref="AW214:BB214"/>
    <mergeCell ref="A215:B215"/>
    <mergeCell ref="C215:U215"/>
    <mergeCell ref="V215:X215"/>
    <mergeCell ref="Y223:AD223"/>
    <mergeCell ref="AE223:AJ223"/>
    <mergeCell ref="AK223:AP223"/>
    <mergeCell ref="AQ223:AV223"/>
    <mergeCell ref="AW223:BB223"/>
    <mergeCell ref="A222:B222"/>
    <mergeCell ref="C214:U214"/>
    <mergeCell ref="V214:X214"/>
    <mergeCell ref="Y214:AD214"/>
    <mergeCell ref="AE214:AJ214"/>
    <mergeCell ref="AK214:AP214"/>
    <mergeCell ref="AQ212:AV212"/>
    <mergeCell ref="AW220:BB220"/>
    <mergeCell ref="A221:B221"/>
    <mergeCell ref="C221:U221"/>
    <mergeCell ref="V221:X221"/>
    <mergeCell ref="Y221:AD221"/>
    <mergeCell ref="AE221:AJ221"/>
    <mergeCell ref="AK213:AP213"/>
    <mergeCell ref="AQ213:AV213"/>
    <mergeCell ref="AW213:BB213"/>
    <mergeCell ref="A212:B212"/>
    <mergeCell ref="C212:U212"/>
    <mergeCell ref="V212:X212"/>
    <mergeCell ref="Y212:AD212"/>
    <mergeCell ref="AE212:AJ212"/>
    <mergeCell ref="AK212:AP212"/>
    <mergeCell ref="AQ218:AV218"/>
    <mergeCell ref="AW218:BB218"/>
    <mergeCell ref="A219:B219"/>
    <mergeCell ref="C219:U219"/>
    <mergeCell ref="V219:X219"/>
    <mergeCell ref="Y227:AD227"/>
    <mergeCell ref="AE227:AJ227"/>
    <mergeCell ref="AK227:AP227"/>
    <mergeCell ref="AQ227:AV227"/>
    <mergeCell ref="AW227:BB227"/>
    <mergeCell ref="A226:B226"/>
    <mergeCell ref="C218:U218"/>
    <mergeCell ref="V218:X218"/>
    <mergeCell ref="Y218:AD218"/>
    <mergeCell ref="AE218:AJ218"/>
    <mergeCell ref="AK218:AP218"/>
    <mergeCell ref="AQ216:AV216"/>
    <mergeCell ref="AW224:BB224"/>
    <mergeCell ref="A225:B225"/>
    <mergeCell ref="C225:U225"/>
    <mergeCell ref="V225:X225"/>
    <mergeCell ref="Y225:AD225"/>
    <mergeCell ref="AE225:AJ225"/>
    <mergeCell ref="AK217:AP217"/>
    <mergeCell ref="AQ217:AV217"/>
    <mergeCell ref="AW217:BB217"/>
    <mergeCell ref="A216:B216"/>
    <mergeCell ref="C216:U216"/>
    <mergeCell ref="V216:X216"/>
    <mergeCell ref="Y216:AD216"/>
    <mergeCell ref="AE216:AJ216"/>
    <mergeCell ref="AK216:AP216"/>
    <mergeCell ref="AQ222:AV222"/>
    <mergeCell ref="AW222:BB222"/>
    <mergeCell ref="A223:B223"/>
    <mergeCell ref="C223:U223"/>
    <mergeCell ref="V223:X223"/>
    <mergeCell ref="Y231:AD231"/>
    <mergeCell ref="AE231:AJ231"/>
    <mergeCell ref="AK231:AP231"/>
    <mergeCell ref="AQ231:AV231"/>
    <mergeCell ref="AW231:BB231"/>
    <mergeCell ref="A230:B230"/>
    <mergeCell ref="C222:U222"/>
    <mergeCell ref="V222:X222"/>
    <mergeCell ref="Y222:AD222"/>
    <mergeCell ref="AE222:AJ222"/>
    <mergeCell ref="AK222:AP222"/>
    <mergeCell ref="AQ220:AV220"/>
    <mergeCell ref="AW228:BB228"/>
    <mergeCell ref="A229:B229"/>
    <mergeCell ref="C229:U229"/>
    <mergeCell ref="V229:X229"/>
    <mergeCell ref="Y229:AD229"/>
    <mergeCell ref="AE229:AJ229"/>
    <mergeCell ref="AK221:AP221"/>
    <mergeCell ref="AQ221:AV221"/>
    <mergeCell ref="AW221:BB221"/>
    <mergeCell ref="A220:B220"/>
    <mergeCell ref="C220:U220"/>
    <mergeCell ref="V220:X220"/>
    <mergeCell ref="Y220:AD220"/>
    <mergeCell ref="AE220:AJ220"/>
    <mergeCell ref="AK220:AP220"/>
    <mergeCell ref="AQ226:AV226"/>
    <mergeCell ref="AW226:BB226"/>
    <mergeCell ref="A227:B227"/>
    <mergeCell ref="C227:U227"/>
    <mergeCell ref="V227:X227"/>
    <mergeCell ref="Y235:AD235"/>
    <mergeCell ref="AE235:AJ235"/>
    <mergeCell ref="AK235:AP235"/>
    <mergeCell ref="AQ235:AV235"/>
    <mergeCell ref="AW235:BB235"/>
    <mergeCell ref="A234:B234"/>
    <mergeCell ref="C226:U226"/>
    <mergeCell ref="V226:X226"/>
    <mergeCell ref="Y226:AD226"/>
    <mergeCell ref="AE226:AJ226"/>
    <mergeCell ref="AK226:AP226"/>
    <mergeCell ref="AQ224:AV224"/>
    <mergeCell ref="AW232:BB232"/>
    <mergeCell ref="A233:B233"/>
    <mergeCell ref="C233:U233"/>
    <mergeCell ref="V233:X233"/>
    <mergeCell ref="Y233:AD233"/>
    <mergeCell ref="AE233:AJ233"/>
    <mergeCell ref="AK225:AP225"/>
    <mergeCell ref="AQ225:AV225"/>
    <mergeCell ref="AW225:BB225"/>
    <mergeCell ref="A224:B224"/>
    <mergeCell ref="C224:U224"/>
    <mergeCell ref="V224:X224"/>
    <mergeCell ref="Y224:AD224"/>
    <mergeCell ref="AE224:AJ224"/>
    <mergeCell ref="AK224:AP224"/>
    <mergeCell ref="AQ230:AV230"/>
    <mergeCell ref="AW230:BB230"/>
    <mergeCell ref="A231:B231"/>
    <mergeCell ref="C231:U231"/>
    <mergeCell ref="V231:X231"/>
    <mergeCell ref="Y239:AD239"/>
    <mergeCell ref="AE239:AJ239"/>
    <mergeCell ref="AK239:AP239"/>
    <mergeCell ref="AQ239:AV239"/>
    <mergeCell ref="AW239:BB239"/>
    <mergeCell ref="A238:B238"/>
    <mergeCell ref="C230:U230"/>
    <mergeCell ref="V230:X230"/>
    <mergeCell ref="Y230:AD230"/>
    <mergeCell ref="AE230:AJ230"/>
    <mergeCell ref="AK230:AP230"/>
    <mergeCell ref="AQ228:AV228"/>
    <mergeCell ref="AW236:BB236"/>
    <mergeCell ref="A237:B237"/>
    <mergeCell ref="C237:U237"/>
    <mergeCell ref="V237:X237"/>
    <mergeCell ref="Y237:AD237"/>
    <mergeCell ref="AE237:AJ237"/>
    <mergeCell ref="AK229:AP229"/>
    <mergeCell ref="AQ229:AV229"/>
    <mergeCell ref="AW229:BB229"/>
    <mergeCell ref="A228:B228"/>
    <mergeCell ref="C228:U228"/>
    <mergeCell ref="V228:X228"/>
    <mergeCell ref="Y228:AD228"/>
    <mergeCell ref="AE228:AJ228"/>
    <mergeCell ref="AK228:AP228"/>
    <mergeCell ref="AQ234:AV234"/>
    <mergeCell ref="AW234:BB234"/>
    <mergeCell ref="A235:B235"/>
    <mergeCell ref="C235:U235"/>
    <mergeCell ref="V235:X235"/>
    <mergeCell ref="Y243:AD243"/>
    <mergeCell ref="AE243:AJ243"/>
    <mergeCell ref="AK243:AP243"/>
    <mergeCell ref="AQ243:AV243"/>
    <mergeCell ref="AW243:BB243"/>
    <mergeCell ref="A242:B242"/>
    <mergeCell ref="C234:U234"/>
    <mergeCell ref="V234:X234"/>
    <mergeCell ref="Y234:AD234"/>
    <mergeCell ref="AE234:AJ234"/>
    <mergeCell ref="AK234:AP234"/>
    <mergeCell ref="AQ232:AV232"/>
    <mergeCell ref="AW240:BB240"/>
    <mergeCell ref="A241:B241"/>
    <mergeCell ref="C241:U241"/>
    <mergeCell ref="V241:X241"/>
    <mergeCell ref="Y241:AD241"/>
    <mergeCell ref="AE241:AJ241"/>
    <mergeCell ref="AK233:AP233"/>
    <mergeCell ref="AQ233:AV233"/>
    <mergeCell ref="AW233:BB233"/>
    <mergeCell ref="A232:B232"/>
    <mergeCell ref="C232:U232"/>
    <mergeCell ref="V232:X232"/>
    <mergeCell ref="Y232:AD232"/>
    <mergeCell ref="AE232:AJ232"/>
    <mergeCell ref="AK232:AP232"/>
    <mergeCell ref="AQ238:AV238"/>
    <mergeCell ref="AW238:BB238"/>
    <mergeCell ref="A239:B239"/>
    <mergeCell ref="C239:U239"/>
    <mergeCell ref="V239:X239"/>
    <mergeCell ref="Y247:AD247"/>
    <mergeCell ref="AE247:AJ247"/>
    <mergeCell ref="AK247:AP247"/>
    <mergeCell ref="AQ247:AV247"/>
    <mergeCell ref="AW247:BB247"/>
    <mergeCell ref="A246:B246"/>
    <mergeCell ref="C238:U238"/>
    <mergeCell ref="V238:X238"/>
    <mergeCell ref="Y238:AD238"/>
    <mergeCell ref="AE238:AJ238"/>
    <mergeCell ref="AK238:AP238"/>
    <mergeCell ref="AQ236:AV236"/>
    <mergeCell ref="AW244:BB244"/>
    <mergeCell ref="A245:B245"/>
    <mergeCell ref="C245:U245"/>
    <mergeCell ref="V245:X245"/>
    <mergeCell ref="Y245:AD245"/>
    <mergeCell ref="AE245:AJ245"/>
    <mergeCell ref="AK237:AP237"/>
    <mergeCell ref="AQ237:AV237"/>
    <mergeCell ref="AW237:BB237"/>
    <mergeCell ref="A236:B236"/>
    <mergeCell ref="C236:U236"/>
    <mergeCell ref="V236:X236"/>
    <mergeCell ref="Y236:AD236"/>
    <mergeCell ref="AE236:AJ236"/>
    <mergeCell ref="AK236:AP236"/>
    <mergeCell ref="AQ242:AV242"/>
    <mergeCell ref="AW242:BB242"/>
    <mergeCell ref="A243:B243"/>
    <mergeCell ref="C243:U243"/>
    <mergeCell ref="V243:X243"/>
    <mergeCell ref="Y251:AD251"/>
    <mergeCell ref="AE251:AJ251"/>
    <mergeCell ref="AK251:AP251"/>
    <mergeCell ref="AQ251:AV251"/>
    <mergeCell ref="AW251:BB251"/>
    <mergeCell ref="A250:B250"/>
    <mergeCell ref="C242:U242"/>
    <mergeCell ref="V242:X242"/>
    <mergeCell ref="Y242:AD242"/>
    <mergeCell ref="AE242:AJ242"/>
    <mergeCell ref="AK242:AP242"/>
    <mergeCell ref="AQ240:AV240"/>
    <mergeCell ref="AW248:BB248"/>
    <mergeCell ref="A249:B249"/>
    <mergeCell ref="C249:U249"/>
    <mergeCell ref="V249:X249"/>
    <mergeCell ref="Y249:AD249"/>
    <mergeCell ref="AE249:AJ249"/>
    <mergeCell ref="AK241:AP241"/>
    <mergeCell ref="AQ241:AV241"/>
    <mergeCell ref="AW241:BB241"/>
    <mergeCell ref="A240:B240"/>
    <mergeCell ref="C240:U240"/>
    <mergeCell ref="V240:X240"/>
    <mergeCell ref="Y240:AD240"/>
    <mergeCell ref="AE240:AJ240"/>
    <mergeCell ref="AK240:AP240"/>
    <mergeCell ref="AQ246:AV246"/>
    <mergeCell ref="AW246:BB246"/>
    <mergeCell ref="A247:B247"/>
    <mergeCell ref="C247:U247"/>
    <mergeCell ref="V247:X247"/>
    <mergeCell ref="Y255:AD255"/>
    <mergeCell ref="AE255:AJ255"/>
    <mergeCell ref="AK255:AP255"/>
    <mergeCell ref="AQ255:AV255"/>
    <mergeCell ref="AW255:BB255"/>
    <mergeCell ref="A254:B254"/>
    <mergeCell ref="C246:U246"/>
    <mergeCell ref="V246:X246"/>
    <mergeCell ref="Y246:AD246"/>
    <mergeCell ref="AE246:AJ246"/>
    <mergeCell ref="AK246:AP246"/>
    <mergeCell ref="AQ244:AV244"/>
    <mergeCell ref="AW252:BB252"/>
    <mergeCell ref="A253:B253"/>
    <mergeCell ref="C253:U253"/>
    <mergeCell ref="V253:X253"/>
    <mergeCell ref="Y253:AD253"/>
    <mergeCell ref="AE253:AJ253"/>
    <mergeCell ref="AK245:AP245"/>
    <mergeCell ref="AQ245:AV245"/>
    <mergeCell ref="AW245:BB245"/>
    <mergeCell ref="A244:B244"/>
    <mergeCell ref="C244:U244"/>
    <mergeCell ref="V244:X244"/>
    <mergeCell ref="Y244:AD244"/>
    <mergeCell ref="AE244:AJ244"/>
    <mergeCell ref="AK244:AP244"/>
    <mergeCell ref="AQ250:AV250"/>
    <mergeCell ref="AW250:BB250"/>
    <mergeCell ref="A251:B251"/>
    <mergeCell ref="C251:U251"/>
    <mergeCell ref="V251:X251"/>
    <mergeCell ref="Y259:AD259"/>
    <mergeCell ref="AE259:AJ259"/>
    <mergeCell ref="AK259:AP259"/>
    <mergeCell ref="AQ259:AV259"/>
    <mergeCell ref="AW259:BB259"/>
    <mergeCell ref="A258:B258"/>
    <mergeCell ref="C250:U250"/>
    <mergeCell ref="V250:X250"/>
    <mergeCell ref="Y250:AD250"/>
    <mergeCell ref="AE250:AJ250"/>
    <mergeCell ref="AK250:AP250"/>
    <mergeCell ref="AQ248:AV248"/>
    <mergeCell ref="AW256:BB256"/>
    <mergeCell ref="A257:B257"/>
    <mergeCell ref="C257:U257"/>
    <mergeCell ref="V257:X257"/>
    <mergeCell ref="Y257:AD257"/>
    <mergeCell ref="AE257:AJ257"/>
    <mergeCell ref="AK249:AP249"/>
    <mergeCell ref="AQ249:AV249"/>
    <mergeCell ref="AW249:BB249"/>
    <mergeCell ref="A248:B248"/>
    <mergeCell ref="C248:U248"/>
    <mergeCell ref="V248:X248"/>
    <mergeCell ref="Y248:AD248"/>
    <mergeCell ref="AE248:AJ248"/>
    <mergeCell ref="AK248:AP248"/>
    <mergeCell ref="AQ254:AV254"/>
    <mergeCell ref="AW254:BB254"/>
    <mergeCell ref="A255:B255"/>
    <mergeCell ref="C255:U255"/>
    <mergeCell ref="V255:X255"/>
    <mergeCell ref="Y263:AD263"/>
    <mergeCell ref="AE263:AJ263"/>
    <mergeCell ref="AK263:AP263"/>
    <mergeCell ref="AQ263:AV263"/>
    <mergeCell ref="AW263:BB263"/>
    <mergeCell ref="A262:B262"/>
    <mergeCell ref="C254:U254"/>
    <mergeCell ref="V254:X254"/>
    <mergeCell ref="Y254:AD254"/>
    <mergeCell ref="AE254:AJ254"/>
    <mergeCell ref="AK254:AP254"/>
    <mergeCell ref="AQ252:AV252"/>
    <mergeCell ref="AW260:BB260"/>
    <mergeCell ref="A261:B261"/>
    <mergeCell ref="C261:U261"/>
    <mergeCell ref="V261:X261"/>
    <mergeCell ref="Y261:AD261"/>
    <mergeCell ref="AE261:AJ261"/>
    <mergeCell ref="AK253:AP253"/>
    <mergeCell ref="AQ253:AV253"/>
    <mergeCell ref="AW253:BB253"/>
    <mergeCell ref="A252:B252"/>
    <mergeCell ref="C252:U252"/>
    <mergeCell ref="V252:X252"/>
    <mergeCell ref="Y252:AD252"/>
    <mergeCell ref="AE252:AJ252"/>
    <mergeCell ref="AK252:AP252"/>
    <mergeCell ref="AQ258:AV258"/>
    <mergeCell ref="AW258:BB258"/>
    <mergeCell ref="A259:B259"/>
    <mergeCell ref="C259:U259"/>
    <mergeCell ref="V259:X259"/>
    <mergeCell ref="Y267:AD267"/>
    <mergeCell ref="AE267:AJ267"/>
    <mergeCell ref="AK267:AP267"/>
    <mergeCell ref="AQ267:AV267"/>
    <mergeCell ref="AW267:BB267"/>
    <mergeCell ref="A266:B266"/>
    <mergeCell ref="C258:U258"/>
    <mergeCell ref="V258:X258"/>
    <mergeCell ref="Y258:AD258"/>
    <mergeCell ref="AE258:AJ258"/>
    <mergeCell ref="AK258:AP258"/>
    <mergeCell ref="AQ256:AV256"/>
    <mergeCell ref="AW264:BB264"/>
    <mergeCell ref="A265:B265"/>
    <mergeCell ref="C265:U265"/>
    <mergeCell ref="V265:X265"/>
    <mergeCell ref="Y265:AD265"/>
    <mergeCell ref="AE265:AJ265"/>
    <mergeCell ref="AK257:AP257"/>
    <mergeCell ref="AQ257:AV257"/>
    <mergeCell ref="AW257:BB257"/>
    <mergeCell ref="A256:B256"/>
    <mergeCell ref="C256:U256"/>
    <mergeCell ref="V256:X256"/>
    <mergeCell ref="Y256:AD256"/>
    <mergeCell ref="AE256:AJ256"/>
    <mergeCell ref="AK256:AP256"/>
    <mergeCell ref="AQ262:AV262"/>
    <mergeCell ref="AW262:BB262"/>
    <mergeCell ref="A263:B263"/>
    <mergeCell ref="C263:U263"/>
    <mergeCell ref="V263:X263"/>
    <mergeCell ref="Y271:AD271"/>
    <mergeCell ref="AE271:AJ271"/>
    <mergeCell ref="AK271:AP271"/>
    <mergeCell ref="AQ271:AV271"/>
    <mergeCell ref="AW271:BB271"/>
    <mergeCell ref="A270:B270"/>
    <mergeCell ref="C262:U262"/>
    <mergeCell ref="V262:X262"/>
    <mergeCell ref="Y262:AD262"/>
    <mergeCell ref="AE262:AJ262"/>
    <mergeCell ref="AK262:AP262"/>
    <mergeCell ref="AQ260:AV260"/>
    <mergeCell ref="AW268:BB268"/>
    <mergeCell ref="A269:B269"/>
    <mergeCell ref="C269:U269"/>
    <mergeCell ref="V269:X269"/>
    <mergeCell ref="Y269:AD269"/>
    <mergeCell ref="AE269:AJ269"/>
    <mergeCell ref="AK261:AP261"/>
    <mergeCell ref="AQ261:AV261"/>
    <mergeCell ref="AW261:BB261"/>
    <mergeCell ref="A260:B260"/>
    <mergeCell ref="C260:U260"/>
    <mergeCell ref="V260:X260"/>
    <mergeCell ref="Y260:AD260"/>
    <mergeCell ref="AE260:AJ260"/>
    <mergeCell ref="AK260:AP260"/>
    <mergeCell ref="AQ266:AV266"/>
    <mergeCell ref="AW266:BB266"/>
    <mergeCell ref="A267:B267"/>
    <mergeCell ref="C267:U267"/>
    <mergeCell ref="V267:X267"/>
    <mergeCell ref="Y275:AD275"/>
    <mergeCell ref="AE275:AJ275"/>
    <mergeCell ref="AK275:AP275"/>
    <mergeCell ref="AQ275:AV275"/>
    <mergeCell ref="AW275:BB275"/>
    <mergeCell ref="A274:B274"/>
    <mergeCell ref="C266:U266"/>
    <mergeCell ref="V266:X266"/>
    <mergeCell ref="Y266:AD266"/>
    <mergeCell ref="AE266:AJ266"/>
    <mergeCell ref="AK266:AP266"/>
    <mergeCell ref="AQ264:AV264"/>
    <mergeCell ref="AW272:BB272"/>
    <mergeCell ref="A273:B273"/>
    <mergeCell ref="C273:U273"/>
    <mergeCell ref="V273:X273"/>
    <mergeCell ref="Y273:AD273"/>
    <mergeCell ref="AE273:AJ273"/>
    <mergeCell ref="AK265:AP265"/>
    <mergeCell ref="AQ265:AV265"/>
    <mergeCell ref="AW265:BB265"/>
    <mergeCell ref="A264:B264"/>
    <mergeCell ref="C264:U264"/>
    <mergeCell ref="V264:X264"/>
    <mergeCell ref="Y264:AD264"/>
    <mergeCell ref="AE264:AJ264"/>
    <mergeCell ref="AK264:AP264"/>
    <mergeCell ref="AQ270:AV270"/>
    <mergeCell ref="AW270:BB270"/>
    <mergeCell ref="A271:B271"/>
    <mergeCell ref="C271:U271"/>
    <mergeCell ref="V271:X271"/>
    <mergeCell ref="Y279:AD279"/>
    <mergeCell ref="AE279:AJ279"/>
    <mergeCell ref="AK279:AP279"/>
    <mergeCell ref="AQ279:AV279"/>
    <mergeCell ref="AW279:BB279"/>
    <mergeCell ref="A278:B278"/>
    <mergeCell ref="C270:U270"/>
    <mergeCell ref="V270:X270"/>
    <mergeCell ref="Y270:AD270"/>
    <mergeCell ref="AE270:AJ270"/>
    <mergeCell ref="AK270:AP270"/>
    <mergeCell ref="AQ268:AV268"/>
    <mergeCell ref="AW276:BB276"/>
    <mergeCell ref="A277:B277"/>
    <mergeCell ref="C277:U277"/>
    <mergeCell ref="V277:X277"/>
    <mergeCell ref="Y277:AD277"/>
    <mergeCell ref="AE277:AJ277"/>
    <mergeCell ref="AK269:AP269"/>
    <mergeCell ref="AQ269:AV269"/>
    <mergeCell ref="AW269:BB269"/>
    <mergeCell ref="A268:B268"/>
    <mergeCell ref="C268:U268"/>
    <mergeCell ref="V268:X268"/>
    <mergeCell ref="Y268:AD268"/>
    <mergeCell ref="AE268:AJ268"/>
    <mergeCell ref="AK268:AP268"/>
    <mergeCell ref="AQ274:AV274"/>
    <mergeCell ref="AW274:BB274"/>
    <mergeCell ref="A275:B275"/>
    <mergeCell ref="C275:U275"/>
    <mergeCell ref="V275:X275"/>
    <mergeCell ref="Y283:AD283"/>
    <mergeCell ref="AE283:AJ283"/>
    <mergeCell ref="AK283:AP283"/>
    <mergeCell ref="AQ283:AV283"/>
    <mergeCell ref="AW283:BB283"/>
    <mergeCell ref="A282:B282"/>
    <mergeCell ref="C274:U274"/>
    <mergeCell ref="V274:X274"/>
    <mergeCell ref="Y274:AD274"/>
    <mergeCell ref="AE274:AJ274"/>
    <mergeCell ref="AK274:AP274"/>
    <mergeCell ref="AQ272:AV272"/>
    <mergeCell ref="AW280:BB280"/>
    <mergeCell ref="A281:B281"/>
    <mergeCell ref="C281:U281"/>
    <mergeCell ref="V281:X281"/>
    <mergeCell ref="Y281:AD281"/>
    <mergeCell ref="AE281:AJ281"/>
    <mergeCell ref="AK273:AP273"/>
    <mergeCell ref="AQ273:AV273"/>
    <mergeCell ref="AW273:BB273"/>
    <mergeCell ref="A272:B272"/>
    <mergeCell ref="C272:U272"/>
    <mergeCell ref="V272:X272"/>
    <mergeCell ref="Y272:AD272"/>
    <mergeCell ref="AE272:AJ272"/>
    <mergeCell ref="AK272:AP272"/>
    <mergeCell ref="AQ278:AV278"/>
    <mergeCell ref="AW278:BB278"/>
    <mergeCell ref="A279:B279"/>
    <mergeCell ref="C279:U279"/>
    <mergeCell ref="V279:X279"/>
    <mergeCell ref="Y287:AD287"/>
    <mergeCell ref="AE287:AJ287"/>
    <mergeCell ref="AK287:AP287"/>
    <mergeCell ref="AQ287:AV287"/>
    <mergeCell ref="AW287:BB287"/>
    <mergeCell ref="A286:B286"/>
    <mergeCell ref="C278:U278"/>
    <mergeCell ref="V278:X278"/>
    <mergeCell ref="Y278:AD278"/>
    <mergeCell ref="AE278:AJ278"/>
    <mergeCell ref="AK278:AP278"/>
    <mergeCell ref="AQ276:AV276"/>
    <mergeCell ref="AW284:BB284"/>
    <mergeCell ref="A285:B285"/>
    <mergeCell ref="C285:U285"/>
    <mergeCell ref="V285:X285"/>
    <mergeCell ref="Y285:AD285"/>
    <mergeCell ref="AE285:AJ285"/>
    <mergeCell ref="AK277:AP277"/>
    <mergeCell ref="AQ277:AV277"/>
    <mergeCell ref="AW277:BB277"/>
    <mergeCell ref="A276:B276"/>
    <mergeCell ref="C276:U276"/>
    <mergeCell ref="V276:X276"/>
    <mergeCell ref="Y276:AD276"/>
    <mergeCell ref="AE276:AJ276"/>
    <mergeCell ref="AK276:AP276"/>
    <mergeCell ref="AQ282:AV282"/>
    <mergeCell ref="AW282:BB282"/>
    <mergeCell ref="A283:B283"/>
    <mergeCell ref="C283:U283"/>
    <mergeCell ref="V283:X283"/>
    <mergeCell ref="Y291:AD291"/>
    <mergeCell ref="AE291:AJ291"/>
    <mergeCell ref="AK291:AP291"/>
    <mergeCell ref="AQ291:AV291"/>
    <mergeCell ref="AW291:BB291"/>
    <mergeCell ref="A290:B290"/>
    <mergeCell ref="C282:U282"/>
    <mergeCell ref="V282:X282"/>
    <mergeCell ref="Y282:AD282"/>
    <mergeCell ref="AE282:AJ282"/>
    <mergeCell ref="AK282:AP282"/>
    <mergeCell ref="AQ280:AV280"/>
    <mergeCell ref="AW288:BB288"/>
    <mergeCell ref="A289:B289"/>
    <mergeCell ref="C289:U289"/>
    <mergeCell ref="V289:X289"/>
    <mergeCell ref="Y289:AD289"/>
    <mergeCell ref="AE289:AJ289"/>
    <mergeCell ref="AK281:AP281"/>
    <mergeCell ref="AQ281:AV281"/>
    <mergeCell ref="AW281:BB281"/>
    <mergeCell ref="A280:B280"/>
    <mergeCell ref="C280:U280"/>
    <mergeCell ref="V280:X280"/>
    <mergeCell ref="Y280:AD280"/>
    <mergeCell ref="AE280:AJ280"/>
    <mergeCell ref="AK280:AP280"/>
    <mergeCell ref="AQ286:AV286"/>
    <mergeCell ref="AW286:BB286"/>
    <mergeCell ref="A287:B287"/>
    <mergeCell ref="C287:U287"/>
    <mergeCell ref="V287:X287"/>
    <mergeCell ref="Y295:AD295"/>
    <mergeCell ref="AE295:AJ295"/>
    <mergeCell ref="AK295:AP295"/>
    <mergeCell ref="AQ295:AV295"/>
    <mergeCell ref="AW295:BB295"/>
    <mergeCell ref="A294:B294"/>
    <mergeCell ref="C286:U286"/>
    <mergeCell ref="V286:X286"/>
    <mergeCell ref="Y286:AD286"/>
    <mergeCell ref="AE286:AJ286"/>
    <mergeCell ref="AK286:AP286"/>
    <mergeCell ref="AQ284:AV284"/>
    <mergeCell ref="AW292:BB292"/>
    <mergeCell ref="A293:B293"/>
    <mergeCell ref="C293:U293"/>
    <mergeCell ref="V293:X293"/>
    <mergeCell ref="Y293:AD293"/>
    <mergeCell ref="AE293:AJ293"/>
    <mergeCell ref="AK285:AP285"/>
    <mergeCell ref="AQ285:AV285"/>
    <mergeCell ref="AW285:BB285"/>
    <mergeCell ref="A284:B284"/>
    <mergeCell ref="C284:U284"/>
    <mergeCell ref="V284:X284"/>
    <mergeCell ref="Y284:AD284"/>
    <mergeCell ref="AE284:AJ284"/>
    <mergeCell ref="AK284:AP284"/>
    <mergeCell ref="AQ290:AV290"/>
    <mergeCell ref="AW290:BB290"/>
    <mergeCell ref="A291:B291"/>
    <mergeCell ref="C291:U291"/>
    <mergeCell ref="V291:X291"/>
    <mergeCell ref="Y299:AD299"/>
    <mergeCell ref="AE299:AJ299"/>
    <mergeCell ref="AK299:AP299"/>
    <mergeCell ref="AQ299:AV299"/>
    <mergeCell ref="AW299:BB299"/>
    <mergeCell ref="A298:B298"/>
    <mergeCell ref="C290:U290"/>
    <mergeCell ref="V290:X290"/>
    <mergeCell ref="Y290:AD290"/>
    <mergeCell ref="AE290:AJ290"/>
    <mergeCell ref="AK290:AP290"/>
    <mergeCell ref="AQ288:AV288"/>
    <mergeCell ref="AW296:BB296"/>
    <mergeCell ref="A297:B297"/>
    <mergeCell ref="C297:U297"/>
    <mergeCell ref="V297:X297"/>
    <mergeCell ref="Y297:AD297"/>
    <mergeCell ref="AE297:AJ297"/>
    <mergeCell ref="AK289:AP289"/>
    <mergeCell ref="AQ289:AV289"/>
    <mergeCell ref="AW289:BB289"/>
    <mergeCell ref="A288:B288"/>
    <mergeCell ref="C288:U288"/>
    <mergeCell ref="V288:X288"/>
    <mergeCell ref="Y288:AD288"/>
    <mergeCell ref="AE288:AJ288"/>
    <mergeCell ref="AK288:AP288"/>
    <mergeCell ref="AQ294:AV294"/>
    <mergeCell ref="AW294:BB294"/>
    <mergeCell ref="A295:B295"/>
    <mergeCell ref="C295:U295"/>
    <mergeCell ref="V295:X295"/>
    <mergeCell ref="Y303:AD303"/>
    <mergeCell ref="AE303:AJ303"/>
    <mergeCell ref="AK303:AP303"/>
    <mergeCell ref="AQ303:AV303"/>
    <mergeCell ref="AW303:BB303"/>
    <mergeCell ref="A302:B302"/>
    <mergeCell ref="C294:U294"/>
    <mergeCell ref="V294:X294"/>
    <mergeCell ref="Y294:AD294"/>
    <mergeCell ref="AE294:AJ294"/>
    <mergeCell ref="AK294:AP294"/>
    <mergeCell ref="AQ292:AV292"/>
    <mergeCell ref="AW300:BB300"/>
    <mergeCell ref="A301:B301"/>
    <mergeCell ref="C301:U301"/>
    <mergeCell ref="V301:X301"/>
    <mergeCell ref="Y301:AD301"/>
    <mergeCell ref="AE301:AJ301"/>
    <mergeCell ref="AK293:AP293"/>
    <mergeCell ref="AQ293:AV293"/>
    <mergeCell ref="AW293:BB293"/>
    <mergeCell ref="A292:B292"/>
    <mergeCell ref="C292:U292"/>
    <mergeCell ref="V292:X292"/>
    <mergeCell ref="Y292:AD292"/>
    <mergeCell ref="AE292:AJ292"/>
    <mergeCell ref="AK292:AP292"/>
    <mergeCell ref="AQ298:AV298"/>
    <mergeCell ref="AW298:BB298"/>
    <mergeCell ref="A299:B299"/>
    <mergeCell ref="C299:U299"/>
    <mergeCell ref="V299:X299"/>
    <mergeCell ref="Y307:AD307"/>
    <mergeCell ref="AE307:AJ307"/>
    <mergeCell ref="AK307:AP307"/>
    <mergeCell ref="AQ307:AV307"/>
    <mergeCell ref="AW307:BB307"/>
    <mergeCell ref="A306:B306"/>
    <mergeCell ref="C298:U298"/>
    <mergeCell ref="V298:X298"/>
    <mergeCell ref="Y298:AD298"/>
    <mergeCell ref="AE298:AJ298"/>
    <mergeCell ref="AK298:AP298"/>
    <mergeCell ref="AQ296:AV296"/>
    <mergeCell ref="AW304:BB304"/>
    <mergeCell ref="A305:B305"/>
    <mergeCell ref="C305:U305"/>
    <mergeCell ref="V305:X305"/>
    <mergeCell ref="Y305:AD305"/>
    <mergeCell ref="AE305:AJ305"/>
    <mergeCell ref="AK297:AP297"/>
    <mergeCell ref="AQ297:AV297"/>
    <mergeCell ref="AW297:BB297"/>
    <mergeCell ref="A296:B296"/>
    <mergeCell ref="C296:U296"/>
    <mergeCell ref="V296:X296"/>
    <mergeCell ref="Y296:AD296"/>
    <mergeCell ref="AE296:AJ296"/>
    <mergeCell ref="AK296:AP296"/>
    <mergeCell ref="AQ302:AV302"/>
    <mergeCell ref="AW302:BB302"/>
    <mergeCell ref="A303:B303"/>
    <mergeCell ref="C303:U303"/>
    <mergeCell ref="V303:X303"/>
    <mergeCell ref="C313:U313"/>
    <mergeCell ref="C306:U306"/>
    <mergeCell ref="V306:X306"/>
    <mergeCell ref="Y306:AD306"/>
    <mergeCell ref="AE306:AJ306"/>
    <mergeCell ref="AK306:AP306"/>
    <mergeCell ref="C302:U302"/>
    <mergeCell ref="V302:X302"/>
    <mergeCell ref="Y302:AD302"/>
    <mergeCell ref="AE302:AJ302"/>
    <mergeCell ref="AK302:AP302"/>
    <mergeCell ref="AQ300:AV300"/>
    <mergeCell ref="AW308:BB308"/>
    <mergeCell ref="A309:B309"/>
    <mergeCell ref="C309:U309"/>
    <mergeCell ref="V309:X309"/>
    <mergeCell ref="Y309:AD309"/>
    <mergeCell ref="AE309:AJ309"/>
    <mergeCell ref="AK301:AP301"/>
    <mergeCell ref="AQ301:AV301"/>
    <mergeCell ref="AW301:BB301"/>
    <mergeCell ref="A300:B300"/>
    <mergeCell ref="C300:U300"/>
    <mergeCell ref="V300:X300"/>
    <mergeCell ref="Y300:AD300"/>
    <mergeCell ref="AE300:AJ300"/>
    <mergeCell ref="AK300:AP300"/>
    <mergeCell ref="AQ306:AV306"/>
    <mergeCell ref="AW306:BB306"/>
    <mergeCell ref="A307:B307"/>
    <mergeCell ref="C307:U307"/>
    <mergeCell ref="V307:X307"/>
    <mergeCell ref="A314:B314"/>
    <mergeCell ref="C314:U314"/>
    <mergeCell ref="V314:X314"/>
    <mergeCell ref="Y314:AD314"/>
    <mergeCell ref="A312:B312"/>
    <mergeCell ref="C312:U312"/>
    <mergeCell ref="AW313:BB313"/>
    <mergeCell ref="AK305:AP305"/>
    <mergeCell ref="AQ305:AV305"/>
    <mergeCell ref="AW305:BB305"/>
    <mergeCell ref="A304:B304"/>
    <mergeCell ref="C304:U304"/>
    <mergeCell ref="V304:X304"/>
    <mergeCell ref="Y304:AD304"/>
    <mergeCell ref="AE304:AJ304"/>
    <mergeCell ref="AK304:AP304"/>
    <mergeCell ref="AQ310:AV310"/>
    <mergeCell ref="AW310:BB310"/>
    <mergeCell ref="A311:B311"/>
    <mergeCell ref="C311:U311"/>
    <mergeCell ref="V311:X311"/>
    <mergeCell ref="Y311:AD311"/>
    <mergeCell ref="AE311:AJ311"/>
    <mergeCell ref="AK311:AP311"/>
    <mergeCell ref="AQ311:AV311"/>
    <mergeCell ref="AW311:BB311"/>
    <mergeCell ref="A310:B310"/>
    <mergeCell ref="Y310:AD310"/>
    <mergeCell ref="AE310:AJ310"/>
    <mergeCell ref="AK310:AP310"/>
    <mergeCell ref="AQ308:AV308"/>
    <mergeCell ref="A313:B313"/>
    <mergeCell ref="A316:B316"/>
    <mergeCell ref="C316:U316"/>
    <mergeCell ref="V316:X316"/>
    <mergeCell ref="Y316:AD316"/>
    <mergeCell ref="AE316:AJ316"/>
    <mergeCell ref="AK316:AP316"/>
    <mergeCell ref="AQ304:AV304"/>
    <mergeCell ref="V313:X313"/>
    <mergeCell ref="Y313:AD313"/>
    <mergeCell ref="AE313:AJ313"/>
    <mergeCell ref="AK313:AP313"/>
    <mergeCell ref="AQ313:AV313"/>
    <mergeCell ref="AK318:AP318"/>
    <mergeCell ref="AW317:BB317"/>
    <mergeCell ref="AE314:AJ314"/>
    <mergeCell ref="AK314:AP314"/>
    <mergeCell ref="AQ312:AV312"/>
    <mergeCell ref="AW312:BB312"/>
    <mergeCell ref="AW309:BB309"/>
    <mergeCell ref="A308:B308"/>
    <mergeCell ref="C308:U308"/>
    <mergeCell ref="V308:X308"/>
    <mergeCell ref="Y308:AD308"/>
    <mergeCell ref="AE308:AJ308"/>
    <mergeCell ref="AK308:AP308"/>
    <mergeCell ref="C315:U315"/>
    <mergeCell ref="V315:X315"/>
    <mergeCell ref="Y315:AD315"/>
    <mergeCell ref="AE315:AJ315"/>
    <mergeCell ref="AK315:AP315"/>
    <mergeCell ref="AQ315:AV315"/>
    <mergeCell ref="AW315:BB315"/>
    <mergeCell ref="AK309:AP309"/>
    <mergeCell ref="AQ309:AV309"/>
    <mergeCell ref="AQ318:AV318"/>
    <mergeCell ref="AW318:BB318"/>
    <mergeCell ref="Y2:Z2"/>
    <mergeCell ref="AE2:AF2"/>
    <mergeCell ref="AK2:AL2"/>
    <mergeCell ref="AQ2:AR2"/>
    <mergeCell ref="AW2:AX2"/>
    <mergeCell ref="AQ316:AV316"/>
    <mergeCell ref="AW316:BB316"/>
    <mergeCell ref="AQ317:AV317"/>
    <mergeCell ref="Y317:AD317"/>
    <mergeCell ref="AE317:AJ317"/>
    <mergeCell ref="AK317:AP317"/>
    <mergeCell ref="A318:B318"/>
    <mergeCell ref="C318:U318"/>
    <mergeCell ref="V318:X318"/>
    <mergeCell ref="Y318:AD318"/>
    <mergeCell ref="AE318:AJ318"/>
    <mergeCell ref="V312:X312"/>
    <mergeCell ref="Y312:AD312"/>
    <mergeCell ref="AE312:AJ312"/>
    <mergeCell ref="AK312:AP312"/>
    <mergeCell ref="C310:U310"/>
    <mergeCell ref="V310:X310"/>
    <mergeCell ref="A317:B317"/>
    <mergeCell ref="C317:U317"/>
    <mergeCell ref="V317:X317"/>
    <mergeCell ref="AQ314:AV314"/>
    <mergeCell ref="AW314:BB314"/>
    <mergeCell ref="A315:B315"/>
  </mergeCells>
  <pageMargins left="0.7" right="0.7" top="0.75" bottom="0.75" header="0.3" footer="0.3"/>
  <pageSetup paperSize="9" orientation="portrait" horizontalDpi="4294967293" verticalDpi="4294967293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BB309"/>
  <sheetViews>
    <sheetView workbookViewId="0">
      <selection activeCell="BE20" sqref="BE20"/>
    </sheetView>
  </sheetViews>
  <sheetFormatPr defaultRowHeight="13.2" x14ac:dyDescent="0.25"/>
  <cols>
    <col min="2" max="2" width="0.109375" customWidth="1"/>
    <col min="8" max="8" width="9.33203125" customWidth="1"/>
    <col min="9" max="9" width="3.109375" customWidth="1"/>
    <col min="10" max="21" width="9.33203125" hidden="1" customWidth="1"/>
    <col min="22" max="22" width="8" customWidth="1"/>
    <col min="23" max="24" width="9.33203125" hidden="1" customWidth="1"/>
    <col min="26" max="26" width="4" customWidth="1"/>
    <col min="27" max="30" width="9.33203125" hidden="1" customWidth="1"/>
    <col min="32" max="32" width="5.109375" customWidth="1"/>
    <col min="33" max="36" width="9.33203125" hidden="1" customWidth="1"/>
    <col min="38" max="38" width="5.77734375" customWidth="1"/>
    <col min="39" max="42" width="9.33203125" hidden="1" customWidth="1"/>
    <col min="44" max="44" width="6" customWidth="1"/>
    <col min="45" max="48" width="9.33203125" hidden="1" customWidth="1"/>
    <col min="50" max="50" width="6.77734375" customWidth="1"/>
    <col min="51" max="52" width="9.33203125" hidden="1" customWidth="1"/>
    <col min="53" max="53" width="6.33203125" hidden="1" customWidth="1"/>
    <col min="54" max="54" width="9.33203125" hidden="1" customWidth="1"/>
  </cols>
  <sheetData>
    <row r="1" spans="1:54" x14ac:dyDescent="0.25">
      <c r="A1" s="1875" t="s">
        <v>487</v>
      </c>
      <c r="B1" s="1875"/>
      <c r="C1" s="1876" t="s">
        <v>754</v>
      </c>
      <c r="D1" s="1876"/>
      <c r="E1" s="1876"/>
      <c r="F1" s="1876"/>
      <c r="G1" s="1876"/>
      <c r="H1" s="1876"/>
      <c r="I1" s="1876"/>
      <c r="J1" s="1876"/>
      <c r="K1" s="1876"/>
      <c r="L1" s="1876"/>
      <c r="M1" s="1876"/>
      <c r="N1" s="1876"/>
      <c r="O1" s="1876"/>
      <c r="P1" s="1876"/>
      <c r="Q1" s="1876"/>
      <c r="R1" s="1876"/>
      <c r="S1" s="1876"/>
      <c r="T1" s="1876"/>
      <c r="U1" s="1876"/>
      <c r="V1" s="1875" t="s">
        <v>755</v>
      </c>
      <c r="W1" s="1875"/>
      <c r="X1" s="1875"/>
      <c r="Y1" s="1876" t="s">
        <v>756</v>
      </c>
      <c r="Z1" s="1876"/>
      <c r="AA1" s="1876"/>
      <c r="AB1" s="1876"/>
      <c r="AC1" s="1876"/>
      <c r="AD1" s="1876"/>
      <c r="AE1" s="1876"/>
      <c r="AF1" s="1876"/>
      <c r="AG1" s="1876"/>
      <c r="AH1" s="1876"/>
      <c r="AI1" s="1876"/>
      <c r="AJ1" s="1876"/>
      <c r="AK1" s="1876"/>
      <c r="AL1" s="1876"/>
      <c r="AM1" s="1876"/>
      <c r="AN1" s="1876"/>
      <c r="AO1" s="1876"/>
      <c r="AP1" s="1876"/>
      <c r="AQ1" s="1876"/>
      <c r="AR1" s="1876"/>
      <c r="AS1" s="1876"/>
      <c r="AT1" s="1876"/>
      <c r="AU1" s="1876"/>
      <c r="AV1" s="1876"/>
      <c r="AW1" s="1876"/>
      <c r="AX1" s="1876"/>
      <c r="AY1" s="1876"/>
      <c r="AZ1" s="1876"/>
      <c r="BA1" s="1876"/>
      <c r="BB1" s="1876"/>
    </row>
    <row r="2" spans="1:54" x14ac:dyDescent="0.25">
      <c r="A2" s="1875"/>
      <c r="B2" s="1875"/>
      <c r="C2" s="1876"/>
      <c r="D2" s="1876"/>
      <c r="E2" s="1876"/>
      <c r="F2" s="1876"/>
      <c r="G2" s="1876"/>
      <c r="H2" s="1876"/>
      <c r="I2" s="1876"/>
      <c r="J2" s="1876"/>
      <c r="K2" s="1876"/>
      <c r="L2" s="1876"/>
      <c r="M2" s="1876"/>
      <c r="N2" s="1876"/>
      <c r="O2" s="1876"/>
      <c r="P2" s="1876"/>
      <c r="Q2" s="1876"/>
      <c r="R2" s="1876"/>
      <c r="S2" s="1876"/>
      <c r="T2" s="1876"/>
      <c r="U2" s="1876"/>
      <c r="V2" s="1875"/>
      <c r="W2" s="1875"/>
      <c r="X2" s="1875"/>
      <c r="Y2" s="680"/>
      <c r="Z2" s="680"/>
      <c r="AA2" s="680"/>
      <c r="AB2" s="680"/>
      <c r="AC2" s="680"/>
      <c r="AD2" s="680"/>
      <c r="AE2" s="680"/>
      <c r="AF2" s="680"/>
      <c r="AG2" s="680"/>
      <c r="AH2" s="680"/>
      <c r="AI2" s="680"/>
      <c r="AJ2" s="680"/>
      <c r="AK2" s="680"/>
      <c r="AL2" s="680"/>
      <c r="AM2" s="680"/>
      <c r="AN2" s="680"/>
      <c r="AO2" s="680"/>
      <c r="AP2" s="680"/>
      <c r="AQ2" s="680"/>
      <c r="AR2" s="680"/>
      <c r="AS2" s="680"/>
      <c r="AT2" s="680"/>
      <c r="AU2" s="680"/>
      <c r="AV2" s="680"/>
      <c r="AW2" s="680"/>
      <c r="AX2" s="680"/>
      <c r="AY2" s="680"/>
      <c r="AZ2" s="680"/>
      <c r="BA2" s="680"/>
      <c r="BB2" s="680"/>
    </row>
    <row r="3" spans="1:54" x14ac:dyDescent="0.25">
      <c r="A3" s="1875"/>
      <c r="B3" s="1875"/>
      <c r="C3" s="1876"/>
      <c r="D3" s="1876"/>
      <c r="E3" s="1876"/>
      <c r="F3" s="1876"/>
      <c r="G3" s="1876"/>
      <c r="H3" s="1876"/>
      <c r="I3" s="1876"/>
      <c r="J3" s="1876"/>
      <c r="K3" s="1876"/>
      <c r="L3" s="1876"/>
      <c r="M3" s="1876"/>
      <c r="N3" s="1876"/>
      <c r="O3" s="1876"/>
      <c r="P3" s="1876"/>
      <c r="Q3" s="1876"/>
      <c r="R3" s="1876"/>
      <c r="S3" s="1876"/>
      <c r="T3" s="1876"/>
      <c r="U3" s="1876"/>
      <c r="V3" s="1875"/>
      <c r="W3" s="1875"/>
      <c r="X3" s="1875"/>
      <c r="Y3" s="1876"/>
      <c r="Z3" s="1876"/>
      <c r="AA3" s="1876"/>
      <c r="AB3" s="1876"/>
      <c r="AC3" s="1876"/>
      <c r="AD3" s="1876"/>
      <c r="AE3" s="1876"/>
      <c r="AF3" s="1876"/>
      <c r="AG3" s="1876"/>
      <c r="AH3" s="1876"/>
      <c r="AI3" s="1876"/>
      <c r="AJ3" s="1876"/>
      <c r="AK3" s="1876"/>
      <c r="AL3" s="1876"/>
      <c r="AM3" s="1876"/>
      <c r="AN3" s="1876"/>
      <c r="AO3" s="1876"/>
      <c r="AP3" s="1876"/>
      <c r="AQ3" s="1876"/>
      <c r="AR3" s="1876"/>
      <c r="AS3" s="1876"/>
      <c r="AT3" s="1876"/>
      <c r="AU3" s="1876"/>
      <c r="AV3" s="1876"/>
      <c r="AW3" s="1876"/>
      <c r="AX3" s="1876"/>
      <c r="AY3" s="1876"/>
      <c r="AZ3" s="1876"/>
      <c r="BA3" s="1876"/>
      <c r="BB3" s="1876"/>
    </row>
    <row r="4" spans="1:54" x14ac:dyDescent="0.25">
      <c r="A4" s="1874" t="s">
        <v>51</v>
      </c>
      <c r="B4" s="1874"/>
      <c r="C4" s="1874" t="s">
        <v>65</v>
      </c>
      <c r="D4" s="1874"/>
      <c r="E4" s="1874"/>
      <c r="F4" s="1874"/>
      <c r="G4" s="1874"/>
      <c r="H4" s="1874"/>
      <c r="I4" s="1874"/>
      <c r="J4" s="1874"/>
      <c r="K4" s="1874"/>
      <c r="L4" s="1874"/>
      <c r="M4" s="1874"/>
      <c r="N4" s="1874"/>
      <c r="O4" s="1874"/>
      <c r="P4" s="1874"/>
      <c r="Q4" s="1874"/>
      <c r="R4" s="1874"/>
      <c r="S4" s="1874"/>
      <c r="T4" s="1874"/>
      <c r="U4" s="1874"/>
      <c r="V4" s="1874" t="s">
        <v>79</v>
      </c>
      <c r="W4" s="1874"/>
      <c r="X4" s="1874"/>
      <c r="Y4" s="1874" t="s">
        <v>262</v>
      </c>
      <c r="Z4" s="1874"/>
      <c r="AA4" s="1874"/>
      <c r="AB4" s="1874"/>
      <c r="AC4" s="1874"/>
      <c r="AD4" s="1874"/>
      <c r="AE4" s="1874" t="s">
        <v>107</v>
      </c>
      <c r="AF4" s="1874"/>
      <c r="AG4" s="1874"/>
      <c r="AH4" s="1874"/>
      <c r="AI4" s="1874"/>
      <c r="AJ4" s="1874"/>
      <c r="AK4" s="1874" t="s">
        <v>129</v>
      </c>
      <c r="AL4" s="1874"/>
      <c r="AM4" s="1874"/>
      <c r="AN4" s="1874"/>
      <c r="AO4" s="1874"/>
      <c r="AP4" s="1874"/>
      <c r="AQ4" s="1874" t="s">
        <v>273</v>
      </c>
      <c r="AR4" s="1874"/>
      <c r="AS4" s="1874"/>
      <c r="AT4" s="1874"/>
      <c r="AU4" s="1874"/>
      <c r="AV4" s="1874"/>
      <c r="AW4" s="1874" t="s">
        <v>151</v>
      </c>
      <c r="AX4" s="1874"/>
      <c r="AY4" s="1874"/>
      <c r="AZ4" s="1874"/>
      <c r="BA4" s="1874"/>
      <c r="BB4" s="1874"/>
    </row>
    <row r="5" spans="1:54" x14ac:dyDescent="0.25">
      <c r="A5" s="1851" t="s">
        <v>422</v>
      </c>
      <c r="B5" s="1851"/>
      <c r="C5" s="1856" t="s">
        <v>54</v>
      </c>
      <c r="D5" s="1856"/>
      <c r="E5" s="1856"/>
      <c r="F5" s="1856"/>
      <c r="G5" s="1856"/>
      <c r="H5" s="1856"/>
      <c r="I5" s="1856"/>
      <c r="J5" s="1856"/>
      <c r="K5" s="1856"/>
      <c r="L5" s="1856"/>
      <c r="M5" s="1856"/>
      <c r="N5" s="1856"/>
      <c r="O5" s="1856"/>
      <c r="P5" s="1856"/>
      <c r="Q5" s="1856"/>
      <c r="R5" s="1856"/>
      <c r="S5" s="1856"/>
      <c r="T5" s="1856"/>
      <c r="U5" s="1856"/>
      <c r="V5" s="1865" t="s">
        <v>1117</v>
      </c>
      <c r="W5" s="1865"/>
      <c r="X5" s="1865"/>
      <c r="Y5" s="1851"/>
      <c r="Z5" s="1851"/>
      <c r="AA5" s="1851"/>
      <c r="AB5" s="1851"/>
      <c r="AC5" s="1851"/>
      <c r="AD5" s="1851"/>
      <c r="AE5" s="1851"/>
      <c r="AF5" s="1851"/>
      <c r="AG5" s="1851"/>
      <c r="AH5" s="1851"/>
      <c r="AI5" s="1851"/>
      <c r="AJ5" s="1851"/>
      <c r="AK5" s="1851"/>
      <c r="AL5" s="1851"/>
      <c r="AM5" s="1851"/>
      <c r="AN5" s="1851"/>
      <c r="AO5" s="1851"/>
      <c r="AP5" s="1851"/>
      <c r="AQ5" s="1851"/>
      <c r="AR5" s="1851"/>
      <c r="AS5" s="1851"/>
      <c r="AT5" s="1851"/>
      <c r="AU5" s="1851"/>
      <c r="AV5" s="1851"/>
      <c r="AW5" s="1851"/>
      <c r="AX5" s="1851"/>
      <c r="AY5" s="1851"/>
      <c r="AZ5" s="1851"/>
      <c r="BA5" s="1851"/>
      <c r="BB5" s="1851"/>
    </row>
    <row r="6" spans="1:54" x14ac:dyDescent="0.25">
      <c r="A6" s="1851" t="s">
        <v>440</v>
      </c>
      <c r="B6" s="1851"/>
      <c r="C6" s="1856" t="s">
        <v>1118</v>
      </c>
      <c r="D6" s="1856"/>
      <c r="E6" s="1856"/>
      <c r="F6" s="1856"/>
      <c r="G6" s="1856"/>
      <c r="H6" s="1856"/>
      <c r="I6" s="1856"/>
      <c r="J6" s="1856"/>
      <c r="K6" s="1856"/>
      <c r="L6" s="1856"/>
      <c r="M6" s="1856"/>
      <c r="N6" s="1856"/>
      <c r="O6" s="1856"/>
      <c r="P6" s="1856"/>
      <c r="Q6" s="1856"/>
      <c r="R6" s="1856"/>
      <c r="S6" s="1856"/>
      <c r="T6" s="1856"/>
      <c r="U6" s="1856"/>
      <c r="V6" s="1865" t="s">
        <v>1119</v>
      </c>
      <c r="W6" s="1865"/>
      <c r="X6" s="1865"/>
      <c r="Y6" s="1851"/>
      <c r="Z6" s="1851"/>
      <c r="AA6" s="1851"/>
      <c r="AB6" s="1851"/>
      <c r="AC6" s="1851"/>
      <c r="AD6" s="1851"/>
      <c r="AE6" s="1851"/>
      <c r="AF6" s="1851"/>
      <c r="AG6" s="1851"/>
      <c r="AH6" s="1851"/>
      <c r="AI6" s="1851"/>
      <c r="AJ6" s="1851"/>
      <c r="AK6" s="1851"/>
      <c r="AL6" s="1851"/>
      <c r="AM6" s="1851"/>
      <c r="AN6" s="1851"/>
      <c r="AO6" s="1851"/>
      <c r="AP6" s="1851"/>
      <c r="AQ6" s="1851"/>
      <c r="AR6" s="1851"/>
      <c r="AS6" s="1851"/>
      <c r="AT6" s="1851"/>
      <c r="AU6" s="1851"/>
      <c r="AV6" s="1851"/>
      <c r="AW6" s="1851"/>
      <c r="AX6" s="1851"/>
      <c r="AY6" s="1851"/>
      <c r="AZ6" s="1851"/>
      <c r="BA6" s="1851"/>
      <c r="BB6" s="1851"/>
    </row>
    <row r="7" spans="1:54" x14ac:dyDescent="0.25">
      <c r="A7" s="1851" t="s">
        <v>443</v>
      </c>
      <c r="B7" s="1851"/>
      <c r="C7" s="1856" t="s">
        <v>1120</v>
      </c>
      <c r="D7" s="1856"/>
      <c r="E7" s="1856"/>
      <c r="F7" s="1856"/>
      <c r="G7" s="1856"/>
      <c r="H7" s="1856"/>
      <c r="I7" s="1856"/>
      <c r="J7" s="1856"/>
      <c r="K7" s="1856"/>
      <c r="L7" s="1856"/>
      <c r="M7" s="1856"/>
      <c r="N7" s="1856"/>
      <c r="O7" s="1856"/>
      <c r="P7" s="1856"/>
      <c r="Q7" s="1856"/>
      <c r="R7" s="1856"/>
      <c r="S7" s="1856"/>
      <c r="T7" s="1856"/>
      <c r="U7" s="1856"/>
      <c r="V7" s="1865" t="s">
        <v>1121</v>
      </c>
      <c r="W7" s="1865"/>
      <c r="X7" s="1865"/>
      <c r="Y7" s="1851"/>
      <c r="Z7" s="1851"/>
      <c r="AA7" s="1851"/>
      <c r="AB7" s="1851"/>
      <c r="AC7" s="1851"/>
      <c r="AD7" s="1851"/>
      <c r="AE7" s="1851"/>
      <c r="AF7" s="1851"/>
      <c r="AG7" s="1851"/>
      <c r="AH7" s="1851"/>
      <c r="AI7" s="1851"/>
      <c r="AJ7" s="1851"/>
      <c r="AK7" s="1851"/>
      <c r="AL7" s="1851"/>
      <c r="AM7" s="1851"/>
      <c r="AN7" s="1851"/>
      <c r="AO7" s="1851"/>
      <c r="AP7" s="1851"/>
      <c r="AQ7" s="1851"/>
      <c r="AR7" s="1851"/>
      <c r="AS7" s="1851"/>
      <c r="AT7" s="1851"/>
      <c r="AU7" s="1851"/>
      <c r="AV7" s="1851"/>
      <c r="AW7" s="1851"/>
      <c r="AX7" s="1851"/>
      <c r="AY7" s="1851"/>
      <c r="AZ7" s="1851"/>
      <c r="BA7" s="1851"/>
      <c r="BB7" s="1851"/>
    </row>
    <row r="8" spans="1:54" x14ac:dyDescent="0.25">
      <c r="A8" s="1851" t="s">
        <v>445</v>
      </c>
      <c r="B8" s="1851"/>
      <c r="C8" s="1856" t="s">
        <v>1122</v>
      </c>
      <c r="D8" s="1856"/>
      <c r="E8" s="1856"/>
      <c r="F8" s="1856"/>
      <c r="G8" s="1856"/>
      <c r="H8" s="1856"/>
      <c r="I8" s="1856"/>
      <c r="J8" s="1856"/>
      <c r="K8" s="1856"/>
      <c r="L8" s="1856"/>
      <c r="M8" s="1856"/>
      <c r="N8" s="1856"/>
      <c r="O8" s="1856"/>
      <c r="P8" s="1856"/>
      <c r="Q8" s="1856"/>
      <c r="R8" s="1856"/>
      <c r="S8" s="1856"/>
      <c r="T8" s="1856"/>
      <c r="U8" s="1856"/>
      <c r="V8" s="1865" t="s">
        <v>1123</v>
      </c>
      <c r="W8" s="1865"/>
      <c r="X8" s="1865"/>
      <c r="Y8" s="1851"/>
      <c r="Z8" s="1851"/>
      <c r="AA8" s="1851"/>
      <c r="AB8" s="1851"/>
      <c r="AC8" s="1851"/>
      <c r="AD8" s="1851"/>
      <c r="AE8" s="1851"/>
      <c r="AF8" s="1851"/>
      <c r="AG8" s="1851"/>
      <c r="AH8" s="1851"/>
      <c r="AI8" s="1851"/>
      <c r="AJ8" s="1851"/>
      <c r="AK8" s="1851"/>
      <c r="AL8" s="1851"/>
      <c r="AM8" s="1851"/>
      <c r="AN8" s="1851"/>
      <c r="AO8" s="1851"/>
      <c r="AP8" s="1851"/>
      <c r="AQ8" s="1851"/>
      <c r="AR8" s="1851"/>
      <c r="AS8" s="1851"/>
      <c r="AT8" s="1851"/>
      <c r="AU8" s="1851"/>
      <c r="AV8" s="1851"/>
      <c r="AW8" s="1851"/>
      <c r="AX8" s="1851"/>
      <c r="AY8" s="1851"/>
      <c r="AZ8" s="1851"/>
      <c r="BA8" s="1851"/>
      <c r="BB8" s="1851"/>
    </row>
    <row r="9" spans="1:54" x14ac:dyDescent="0.25">
      <c r="A9" s="1851" t="s">
        <v>485</v>
      </c>
      <c r="B9" s="1851"/>
      <c r="C9" s="1856" t="s">
        <v>287</v>
      </c>
      <c r="D9" s="1856"/>
      <c r="E9" s="1856"/>
      <c r="F9" s="1856"/>
      <c r="G9" s="1856"/>
      <c r="H9" s="1856"/>
      <c r="I9" s="1856"/>
      <c r="J9" s="1856"/>
      <c r="K9" s="1856"/>
      <c r="L9" s="1856"/>
      <c r="M9" s="1856"/>
      <c r="N9" s="1856"/>
      <c r="O9" s="1856"/>
      <c r="P9" s="1856"/>
      <c r="Q9" s="1856"/>
      <c r="R9" s="1856"/>
      <c r="S9" s="1856"/>
      <c r="T9" s="1856"/>
      <c r="U9" s="1856"/>
      <c r="V9" s="1865" t="s">
        <v>1124</v>
      </c>
      <c r="W9" s="1865"/>
      <c r="X9" s="1865"/>
      <c r="Y9" s="1851"/>
      <c r="Z9" s="1851"/>
      <c r="AA9" s="1851"/>
      <c r="AB9" s="1851"/>
      <c r="AC9" s="1851"/>
      <c r="AD9" s="1851"/>
      <c r="AE9" s="1851"/>
      <c r="AF9" s="1851"/>
      <c r="AG9" s="1851"/>
      <c r="AH9" s="1851"/>
      <c r="AI9" s="1851"/>
      <c r="AJ9" s="1851"/>
      <c r="AK9" s="1851"/>
      <c r="AL9" s="1851"/>
      <c r="AM9" s="1851"/>
      <c r="AN9" s="1851"/>
      <c r="AO9" s="1851"/>
      <c r="AP9" s="1851"/>
      <c r="AQ9" s="1851"/>
      <c r="AR9" s="1851"/>
      <c r="AS9" s="1851"/>
      <c r="AT9" s="1851"/>
      <c r="AU9" s="1851"/>
      <c r="AV9" s="1851"/>
      <c r="AW9" s="1851"/>
      <c r="AX9" s="1851"/>
      <c r="AY9" s="1851"/>
      <c r="AZ9" s="1851"/>
      <c r="BA9" s="1851"/>
      <c r="BB9" s="1851"/>
    </row>
    <row r="10" spans="1:54" x14ac:dyDescent="0.25">
      <c r="A10" s="1851" t="s">
        <v>767</v>
      </c>
      <c r="B10" s="1851"/>
      <c r="C10" s="1856" t="s">
        <v>64</v>
      </c>
      <c r="D10" s="1856"/>
      <c r="E10" s="1856"/>
      <c r="F10" s="1856"/>
      <c r="G10" s="1856"/>
      <c r="H10" s="1856"/>
      <c r="I10" s="1856"/>
      <c r="J10" s="1856"/>
      <c r="K10" s="1856"/>
      <c r="L10" s="1856"/>
      <c r="M10" s="1856"/>
      <c r="N10" s="1856"/>
      <c r="O10" s="1856"/>
      <c r="P10" s="1856"/>
      <c r="Q10" s="1856"/>
      <c r="R10" s="1856"/>
      <c r="S10" s="1856"/>
      <c r="T10" s="1856"/>
      <c r="U10" s="1856"/>
      <c r="V10" s="1865" t="s">
        <v>1125</v>
      </c>
      <c r="W10" s="1865"/>
      <c r="X10" s="1865"/>
      <c r="Y10" s="1851"/>
      <c r="Z10" s="1851"/>
      <c r="AA10" s="1851"/>
      <c r="AB10" s="1851"/>
      <c r="AC10" s="1851"/>
      <c r="AD10" s="1851"/>
      <c r="AE10" s="1851"/>
      <c r="AF10" s="1851"/>
      <c r="AG10" s="1851"/>
      <c r="AH10" s="1851"/>
      <c r="AI10" s="1851"/>
      <c r="AJ10" s="1851"/>
      <c r="AK10" s="1851"/>
      <c r="AL10" s="1851"/>
      <c r="AM10" s="1851"/>
      <c r="AN10" s="1851"/>
      <c r="AO10" s="1851"/>
      <c r="AP10" s="1851"/>
      <c r="AQ10" s="1851"/>
      <c r="AR10" s="1851"/>
      <c r="AS10" s="1851"/>
      <c r="AT10" s="1851"/>
      <c r="AU10" s="1851"/>
      <c r="AV10" s="1851"/>
      <c r="AW10" s="1851"/>
      <c r="AX10" s="1851"/>
      <c r="AY10" s="1851"/>
      <c r="AZ10" s="1851"/>
      <c r="BA10" s="1851"/>
      <c r="BB10" s="1851"/>
    </row>
    <row r="11" spans="1:54" x14ac:dyDescent="0.25">
      <c r="A11" s="1854" t="s">
        <v>770</v>
      </c>
      <c r="B11" s="1854"/>
      <c r="C11" s="1855" t="s">
        <v>1126</v>
      </c>
      <c r="D11" s="1855"/>
      <c r="E11" s="1855"/>
      <c r="F11" s="1855"/>
      <c r="G11" s="1855"/>
      <c r="H11" s="1855"/>
      <c r="I11" s="1855"/>
      <c r="J11" s="1855"/>
      <c r="K11" s="1855"/>
      <c r="L11" s="1855"/>
      <c r="M11" s="1855"/>
      <c r="N11" s="1855"/>
      <c r="O11" s="1855"/>
      <c r="P11" s="1855"/>
      <c r="Q11" s="1855"/>
      <c r="R11" s="1855"/>
      <c r="S11" s="1855"/>
      <c r="T11" s="1855"/>
      <c r="U11" s="1855"/>
      <c r="V11" s="1864" t="s">
        <v>1127</v>
      </c>
      <c r="W11" s="1864"/>
      <c r="X11" s="1864"/>
      <c r="Y11" s="1857"/>
      <c r="Z11" s="1877"/>
      <c r="AA11" s="1877"/>
      <c r="AB11" s="1877"/>
      <c r="AC11" s="1859"/>
      <c r="AD11" s="1859"/>
      <c r="AE11" s="1857"/>
      <c r="AF11" s="1877"/>
      <c r="AG11" s="1877"/>
      <c r="AH11" s="1877"/>
      <c r="AI11" s="1859"/>
      <c r="AJ11" s="1859"/>
      <c r="AK11" s="1857"/>
      <c r="AL11" s="1877"/>
      <c r="AM11" s="1877"/>
      <c r="AN11" s="1877"/>
      <c r="AO11" s="1859"/>
      <c r="AP11" s="1859"/>
      <c r="AQ11" s="1857"/>
      <c r="AR11" s="1877"/>
      <c r="AS11" s="1877"/>
      <c r="AT11" s="1877"/>
      <c r="AU11" s="1859"/>
      <c r="AV11" s="1859"/>
      <c r="AW11" s="1857"/>
      <c r="AX11" s="1877"/>
      <c r="AY11" s="1877"/>
      <c r="AZ11" s="1877"/>
      <c r="BA11" s="1859"/>
      <c r="BB11" s="1859"/>
    </row>
    <row r="12" spans="1:54" x14ac:dyDescent="0.25">
      <c r="A12" s="1851" t="s">
        <v>773</v>
      </c>
      <c r="B12" s="1851"/>
      <c r="C12" s="1856" t="s">
        <v>68</v>
      </c>
      <c r="D12" s="1856"/>
      <c r="E12" s="1856"/>
      <c r="F12" s="1856"/>
      <c r="G12" s="1856"/>
      <c r="H12" s="1856"/>
      <c r="I12" s="1856"/>
      <c r="J12" s="1856"/>
      <c r="K12" s="1856"/>
      <c r="L12" s="1856"/>
      <c r="M12" s="1856"/>
      <c r="N12" s="1856"/>
      <c r="O12" s="1856"/>
      <c r="P12" s="1856"/>
      <c r="Q12" s="1856"/>
      <c r="R12" s="1856"/>
      <c r="S12" s="1856"/>
      <c r="T12" s="1856"/>
      <c r="U12" s="1856"/>
      <c r="V12" s="1865" t="s">
        <v>1128</v>
      </c>
      <c r="W12" s="1865"/>
      <c r="X12" s="1865"/>
      <c r="Y12" s="1851"/>
      <c r="Z12" s="1851"/>
      <c r="AA12" s="1851"/>
      <c r="AB12" s="1851"/>
      <c r="AC12" s="1851"/>
      <c r="AD12" s="1851"/>
      <c r="AE12" s="1851"/>
      <c r="AF12" s="1851"/>
      <c r="AG12" s="1851"/>
      <c r="AH12" s="1851"/>
      <c r="AI12" s="1851"/>
      <c r="AJ12" s="1851"/>
      <c r="AK12" s="1851"/>
      <c r="AL12" s="1851"/>
      <c r="AM12" s="1851"/>
      <c r="AN12" s="1851"/>
      <c r="AO12" s="1851"/>
      <c r="AP12" s="1851"/>
      <c r="AQ12" s="1851"/>
      <c r="AR12" s="1851"/>
      <c r="AS12" s="1851"/>
      <c r="AT12" s="1851"/>
      <c r="AU12" s="1851"/>
      <c r="AV12" s="1851"/>
      <c r="AW12" s="1851"/>
      <c r="AX12" s="1851"/>
      <c r="AY12" s="1851"/>
      <c r="AZ12" s="1851"/>
      <c r="BA12" s="1851"/>
      <c r="BB12" s="1851"/>
    </row>
    <row r="13" spans="1:54" x14ac:dyDescent="0.25">
      <c r="A13" s="1851" t="s">
        <v>776</v>
      </c>
      <c r="B13" s="1851"/>
      <c r="C13" s="1856" t="s">
        <v>1129</v>
      </c>
      <c r="D13" s="1856"/>
      <c r="E13" s="1856"/>
      <c r="F13" s="1856"/>
      <c r="G13" s="1856"/>
      <c r="H13" s="1856"/>
      <c r="I13" s="1856"/>
      <c r="J13" s="1856"/>
      <c r="K13" s="1856"/>
      <c r="L13" s="1856"/>
      <c r="M13" s="1856"/>
      <c r="N13" s="1856"/>
      <c r="O13" s="1856"/>
      <c r="P13" s="1856"/>
      <c r="Q13" s="1856"/>
      <c r="R13" s="1856"/>
      <c r="S13" s="1856"/>
      <c r="T13" s="1856"/>
      <c r="U13" s="1856"/>
      <c r="V13" s="1865" t="s">
        <v>1130</v>
      </c>
      <c r="W13" s="1865"/>
      <c r="X13" s="1865"/>
      <c r="Y13" s="1851"/>
      <c r="Z13" s="1851"/>
      <c r="AA13" s="1851"/>
      <c r="AB13" s="1851"/>
      <c r="AC13" s="1851"/>
      <c r="AD13" s="1851"/>
      <c r="AE13" s="1851"/>
      <c r="AF13" s="1851"/>
      <c r="AG13" s="1851"/>
      <c r="AH13" s="1851"/>
      <c r="AI13" s="1851"/>
      <c r="AJ13" s="1851"/>
      <c r="AK13" s="1851"/>
      <c r="AL13" s="1851"/>
      <c r="AM13" s="1851"/>
      <c r="AN13" s="1851"/>
      <c r="AO13" s="1851"/>
      <c r="AP13" s="1851"/>
      <c r="AQ13" s="1851"/>
      <c r="AR13" s="1851"/>
      <c r="AS13" s="1851"/>
      <c r="AT13" s="1851"/>
      <c r="AU13" s="1851"/>
      <c r="AV13" s="1851"/>
      <c r="AW13" s="1851"/>
      <c r="AX13" s="1851"/>
      <c r="AY13" s="1851"/>
      <c r="AZ13" s="1851"/>
      <c r="BA13" s="1851"/>
      <c r="BB13" s="1851"/>
    </row>
    <row r="14" spans="1:54" x14ac:dyDescent="0.25">
      <c r="A14" s="1851" t="s">
        <v>779</v>
      </c>
      <c r="B14" s="1851"/>
      <c r="C14" s="1856" t="s">
        <v>1131</v>
      </c>
      <c r="D14" s="1856"/>
      <c r="E14" s="1856"/>
      <c r="F14" s="1856"/>
      <c r="G14" s="1856"/>
      <c r="H14" s="1856"/>
      <c r="I14" s="1856"/>
      <c r="J14" s="1856"/>
      <c r="K14" s="1856"/>
      <c r="L14" s="1856"/>
      <c r="M14" s="1856"/>
      <c r="N14" s="1856"/>
      <c r="O14" s="1856"/>
      <c r="P14" s="1856"/>
      <c r="Q14" s="1856"/>
      <c r="R14" s="1856"/>
      <c r="S14" s="1856"/>
      <c r="T14" s="1856"/>
      <c r="U14" s="1856"/>
      <c r="V14" s="1865" t="s">
        <v>1132</v>
      </c>
      <c r="W14" s="1865"/>
      <c r="X14" s="1865"/>
      <c r="Y14" s="1857"/>
      <c r="Z14" s="1877"/>
      <c r="AA14" s="1877"/>
      <c r="AB14" s="1877"/>
      <c r="AC14" s="1859"/>
      <c r="AD14" s="1859"/>
      <c r="AE14" s="1857"/>
      <c r="AF14" s="1877"/>
      <c r="AG14" s="1877"/>
      <c r="AH14" s="1877"/>
      <c r="AI14" s="1859"/>
      <c r="AJ14" s="1859"/>
      <c r="AK14" s="1857"/>
      <c r="AL14" s="1877"/>
      <c r="AM14" s="1877"/>
      <c r="AN14" s="1877"/>
      <c r="AO14" s="1859"/>
      <c r="AP14" s="1859"/>
      <c r="AQ14" s="1857"/>
      <c r="AR14" s="1877"/>
      <c r="AS14" s="1877"/>
      <c r="AT14" s="1877"/>
      <c r="AU14" s="1859"/>
      <c r="AV14" s="1859"/>
      <c r="AW14" s="1857"/>
      <c r="AX14" s="1877"/>
      <c r="AY14" s="1877"/>
      <c r="AZ14" s="1877"/>
      <c r="BA14" s="1859"/>
      <c r="BB14" s="1859"/>
    </row>
    <row r="15" spans="1:54" x14ac:dyDescent="0.25">
      <c r="A15" s="1851" t="s">
        <v>782</v>
      </c>
      <c r="B15" s="1851"/>
      <c r="C15" s="1868" t="s">
        <v>977</v>
      </c>
      <c r="D15" s="1868"/>
      <c r="E15" s="1868"/>
      <c r="F15" s="1868"/>
      <c r="G15" s="1868"/>
      <c r="H15" s="1868"/>
      <c r="I15" s="1868"/>
      <c r="J15" s="1868"/>
      <c r="K15" s="1868"/>
      <c r="L15" s="1868"/>
      <c r="M15" s="1868"/>
      <c r="N15" s="1868"/>
      <c r="O15" s="1868"/>
      <c r="P15" s="1868"/>
      <c r="Q15" s="1868"/>
      <c r="R15" s="1868"/>
      <c r="S15" s="1868"/>
      <c r="T15" s="1868"/>
      <c r="U15" s="1868"/>
      <c r="V15" s="1865" t="s">
        <v>1132</v>
      </c>
      <c r="W15" s="1865"/>
      <c r="X15" s="1865"/>
      <c r="Y15" s="1851"/>
      <c r="Z15" s="1851"/>
      <c r="AA15" s="1851"/>
      <c r="AB15" s="1851"/>
      <c r="AC15" s="1851"/>
      <c r="AD15" s="1851"/>
      <c r="AE15" s="1851"/>
      <c r="AF15" s="1851"/>
      <c r="AG15" s="1851"/>
      <c r="AH15" s="1851"/>
      <c r="AI15" s="1851"/>
      <c r="AJ15" s="1851"/>
      <c r="AK15" s="1851"/>
      <c r="AL15" s="1851"/>
      <c r="AM15" s="1851"/>
      <c r="AN15" s="1851"/>
      <c r="AO15" s="1851"/>
      <c r="AP15" s="1851"/>
      <c r="AQ15" s="1851"/>
      <c r="AR15" s="1851"/>
      <c r="AS15" s="1851"/>
      <c r="AT15" s="1851"/>
      <c r="AU15" s="1851"/>
      <c r="AV15" s="1851"/>
      <c r="AW15" s="1851"/>
      <c r="AX15" s="1851"/>
      <c r="AY15" s="1851"/>
      <c r="AZ15" s="1851"/>
      <c r="BA15" s="1851"/>
      <c r="BB15" s="1851"/>
    </row>
    <row r="16" spans="1:54" x14ac:dyDescent="0.25">
      <c r="A16" s="1851" t="s">
        <v>785</v>
      </c>
      <c r="B16" s="1851"/>
      <c r="C16" s="1868" t="s">
        <v>978</v>
      </c>
      <c r="D16" s="1868"/>
      <c r="E16" s="1868"/>
      <c r="F16" s="1868"/>
      <c r="G16" s="1868"/>
      <c r="H16" s="1868"/>
      <c r="I16" s="1868"/>
      <c r="J16" s="1868"/>
      <c r="K16" s="1868"/>
      <c r="L16" s="1868"/>
      <c r="M16" s="1868"/>
      <c r="N16" s="1868"/>
      <c r="O16" s="1868"/>
      <c r="P16" s="1868"/>
      <c r="Q16" s="1868"/>
      <c r="R16" s="1868"/>
      <c r="S16" s="1868"/>
      <c r="T16" s="1868"/>
      <c r="U16" s="1868"/>
      <c r="V16" s="1865" t="s">
        <v>1132</v>
      </c>
      <c r="W16" s="1865"/>
      <c r="X16" s="1865"/>
      <c r="Y16" s="1851"/>
      <c r="Z16" s="1851"/>
      <c r="AA16" s="1851"/>
      <c r="AB16" s="1851"/>
      <c r="AC16" s="1851"/>
      <c r="AD16" s="1851"/>
      <c r="AE16" s="1851"/>
      <c r="AF16" s="1851"/>
      <c r="AG16" s="1851"/>
      <c r="AH16" s="1851"/>
      <c r="AI16" s="1851"/>
      <c r="AJ16" s="1851"/>
      <c r="AK16" s="1851"/>
      <c r="AL16" s="1851"/>
      <c r="AM16" s="1851"/>
      <c r="AN16" s="1851"/>
      <c r="AO16" s="1851"/>
      <c r="AP16" s="1851"/>
      <c r="AQ16" s="1851"/>
      <c r="AR16" s="1851"/>
      <c r="AS16" s="1851"/>
      <c r="AT16" s="1851"/>
      <c r="AU16" s="1851"/>
      <c r="AV16" s="1851"/>
      <c r="AW16" s="1851"/>
      <c r="AX16" s="1851"/>
      <c r="AY16" s="1851"/>
      <c r="AZ16" s="1851"/>
      <c r="BA16" s="1851"/>
      <c r="BB16" s="1851"/>
    </row>
    <row r="17" spans="1:54" x14ac:dyDescent="0.25">
      <c r="A17" s="1851" t="s">
        <v>788</v>
      </c>
      <c r="B17" s="1851"/>
      <c r="C17" s="1868" t="s">
        <v>979</v>
      </c>
      <c r="D17" s="1868"/>
      <c r="E17" s="1868"/>
      <c r="F17" s="1868"/>
      <c r="G17" s="1868"/>
      <c r="H17" s="1868"/>
      <c r="I17" s="1868"/>
      <c r="J17" s="1868"/>
      <c r="K17" s="1868"/>
      <c r="L17" s="1868"/>
      <c r="M17" s="1868"/>
      <c r="N17" s="1868"/>
      <c r="O17" s="1868"/>
      <c r="P17" s="1868"/>
      <c r="Q17" s="1868"/>
      <c r="R17" s="1868"/>
      <c r="S17" s="1868"/>
      <c r="T17" s="1868"/>
      <c r="U17" s="1868"/>
      <c r="V17" s="1865" t="s">
        <v>1132</v>
      </c>
      <c r="W17" s="1865"/>
      <c r="X17" s="1865"/>
      <c r="Y17" s="1851"/>
      <c r="Z17" s="1851"/>
      <c r="AA17" s="1851"/>
      <c r="AB17" s="1851"/>
      <c r="AC17" s="1851"/>
      <c r="AD17" s="1851"/>
      <c r="AE17" s="1851"/>
      <c r="AF17" s="1851"/>
      <c r="AG17" s="1851"/>
      <c r="AH17" s="1851"/>
      <c r="AI17" s="1851"/>
      <c r="AJ17" s="1851"/>
      <c r="AK17" s="1851"/>
      <c r="AL17" s="1851"/>
      <c r="AM17" s="1851"/>
      <c r="AN17" s="1851"/>
      <c r="AO17" s="1851"/>
      <c r="AP17" s="1851"/>
      <c r="AQ17" s="1851"/>
      <c r="AR17" s="1851"/>
      <c r="AS17" s="1851"/>
      <c r="AT17" s="1851"/>
      <c r="AU17" s="1851"/>
      <c r="AV17" s="1851"/>
      <c r="AW17" s="1851"/>
      <c r="AX17" s="1851"/>
      <c r="AY17" s="1851"/>
      <c r="AZ17" s="1851"/>
      <c r="BA17" s="1851"/>
      <c r="BB17" s="1851"/>
    </row>
    <row r="18" spans="1:54" x14ac:dyDescent="0.25">
      <c r="A18" s="1851" t="s">
        <v>791</v>
      </c>
      <c r="B18" s="1851"/>
      <c r="C18" s="1868" t="s">
        <v>980</v>
      </c>
      <c r="D18" s="1868"/>
      <c r="E18" s="1868"/>
      <c r="F18" s="1868"/>
      <c r="G18" s="1868"/>
      <c r="H18" s="1868"/>
      <c r="I18" s="1868"/>
      <c r="J18" s="1868"/>
      <c r="K18" s="1868"/>
      <c r="L18" s="1868"/>
      <c r="M18" s="1868"/>
      <c r="N18" s="1868"/>
      <c r="O18" s="1868"/>
      <c r="P18" s="1868"/>
      <c r="Q18" s="1868"/>
      <c r="R18" s="1868"/>
      <c r="S18" s="1868"/>
      <c r="T18" s="1868"/>
      <c r="U18" s="1868"/>
      <c r="V18" s="1865" t="s">
        <v>1132</v>
      </c>
      <c r="W18" s="1865"/>
      <c r="X18" s="1865"/>
      <c r="Y18" s="1851"/>
      <c r="Z18" s="1851"/>
      <c r="AA18" s="1851"/>
      <c r="AB18" s="1851"/>
      <c r="AC18" s="1851"/>
      <c r="AD18" s="1851"/>
      <c r="AE18" s="1851"/>
      <c r="AF18" s="1851"/>
      <c r="AG18" s="1851"/>
      <c r="AH18" s="1851"/>
      <c r="AI18" s="1851"/>
      <c r="AJ18" s="1851"/>
      <c r="AK18" s="1851"/>
      <c r="AL18" s="1851"/>
      <c r="AM18" s="1851"/>
      <c r="AN18" s="1851"/>
      <c r="AO18" s="1851"/>
      <c r="AP18" s="1851"/>
      <c r="AQ18" s="1851"/>
      <c r="AR18" s="1851"/>
      <c r="AS18" s="1851"/>
      <c r="AT18" s="1851"/>
      <c r="AU18" s="1851"/>
      <c r="AV18" s="1851"/>
      <c r="AW18" s="1851"/>
      <c r="AX18" s="1851"/>
      <c r="AY18" s="1851"/>
      <c r="AZ18" s="1851"/>
      <c r="BA18" s="1851"/>
      <c r="BB18" s="1851"/>
    </row>
    <row r="19" spans="1:54" x14ac:dyDescent="0.25">
      <c r="A19" s="1851" t="s">
        <v>793</v>
      </c>
      <c r="B19" s="1851"/>
      <c r="C19" s="1868" t="s">
        <v>981</v>
      </c>
      <c r="D19" s="1868"/>
      <c r="E19" s="1868"/>
      <c r="F19" s="1868"/>
      <c r="G19" s="1868"/>
      <c r="H19" s="1868"/>
      <c r="I19" s="1868"/>
      <c r="J19" s="1868"/>
      <c r="K19" s="1868"/>
      <c r="L19" s="1868"/>
      <c r="M19" s="1868"/>
      <c r="N19" s="1868"/>
      <c r="O19" s="1868"/>
      <c r="P19" s="1868"/>
      <c r="Q19" s="1868"/>
      <c r="R19" s="1868"/>
      <c r="S19" s="1868"/>
      <c r="T19" s="1868"/>
      <c r="U19" s="1868"/>
      <c r="V19" s="1865" t="s">
        <v>1132</v>
      </c>
      <c r="W19" s="1865"/>
      <c r="X19" s="1865"/>
      <c r="Y19" s="1851"/>
      <c r="Z19" s="1851"/>
      <c r="AA19" s="1851"/>
      <c r="AB19" s="1851"/>
      <c r="AC19" s="1851"/>
      <c r="AD19" s="1851"/>
      <c r="AE19" s="1851"/>
      <c r="AF19" s="1851"/>
      <c r="AG19" s="1851"/>
      <c r="AH19" s="1851"/>
      <c r="AI19" s="1851"/>
      <c r="AJ19" s="1851"/>
      <c r="AK19" s="1851"/>
      <c r="AL19" s="1851"/>
      <c r="AM19" s="1851"/>
      <c r="AN19" s="1851"/>
      <c r="AO19" s="1851"/>
      <c r="AP19" s="1851"/>
      <c r="AQ19" s="1851"/>
      <c r="AR19" s="1851"/>
      <c r="AS19" s="1851"/>
      <c r="AT19" s="1851"/>
      <c r="AU19" s="1851"/>
      <c r="AV19" s="1851"/>
      <c r="AW19" s="1851"/>
      <c r="AX19" s="1851"/>
      <c r="AY19" s="1851"/>
      <c r="AZ19" s="1851"/>
      <c r="BA19" s="1851"/>
      <c r="BB19" s="1851"/>
    </row>
    <row r="20" spans="1:54" x14ac:dyDescent="0.25">
      <c r="A20" s="1851" t="s">
        <v>796</v>
      </c>
      <c r="B20" s="1851"/>
      <c r="C20" s="1868" t="s">
        <v>982</v>
      </c>
      <c r="D20" s="1868"/>
      <c r="E20" s="1868"/>
      <c r="F20" s="1868"/>
      <c r="G20" s="1868"/>
      <c r="H20" s="1868"/>
      <c r="I20" s="1868"/>
      <c r="J20" s="1868"/>
      <c r="K20" s="1868"/>
      <c r="L20" s="1868"/>
      <c r="M20" s="1868"/>
      <c r="N20" s="1868"/>
      <c r="O20" s="1868"/>
      <c r="P20" s="1868"/>
      <c r="Q20" s="1868"/>
      <c r="R20" s="1868"/>
      <c r="S20" s="1868"/>
      <c r="T20" s="1868"/>
      <c r="U20" s="1868"/>
      <c r="V20" s="1865" t="s">
        <v>1132</v>
      </c>
      <c r="W20" s="1865"/>
      <c r="X20" s="1865"/>
      <c r="Y20" s="1851"/>
      <c r="Z20" s="1851"/>
      <c r="AA20" s="1851"/>
      <c r="AB20" s="1851"/>
      <c r="AC20" s="1851"/>
      <c r="AD20" s="1851"/>
      <c r="AE20" s="1851"/>
      <c r="AF20" s="1851"/>
      <c r="AG20" s="1851"/>
      <c r="AH20" s="1851"/>
      <c r="AI20" s="1851"/>
      <c r="AJ20" s="1851"/>
      <c r="AK20" s="1851"/>
      <c r="AL20" s="1851"/>
      <c r="AM20" s="1851"/>
      <c r="AN20" s="1851"/>
      <c r="AO20" s="1851"/>
      <c r="AP20" s="1851"/>
      <c r="AQ20" s="1851"/>
      <c r="AR20" s="1851"/>
      <c r="AS20" s="1851"/>
      <c r="AT20" s="1851"/>
      <c r="AU20" s="1851"/>
      <c r="AV20" s="1851"/>
      <c r="AW20" s="1851"/>
      <c r="AX20" s="1851"/>
      <c r="AY20" s="1851"/>
      <c r="AZ20" s="1851"/>
      <c r="BA20" s="1851"/>
      <c r="BB20" s="1851"/>
    </row>
    <row r="21" spans="1:54" x14ac:dyDescent="0.25">
      <c r="A21" s="1851" t="s">
        <v>799</v>
      </c>
      <c r="B21" s="1851"/>
      <c r="C21" s="1868" t="s">
        <v>983</v>
      </c>
      <c r="D21" s="1868"/>
      <c r="E21" s="1868"/>
      <c r="F21" s="1868"/>
      <c r="G21" s="1868"/>
      <c r="H21" s="1868"/>
      <c r="I21" s="1868"/>
      <c r="J21" s="1868"/>
      <c r="K21" s="1868"/>
      <c r="L21" s="1868"/>
      <c r="M21" s="1868"/>
      <c r="N21" s="1868"/>
      <c r="O21" s="1868"/>
      <c r="P21" s="1868"/>
      <c r="Q21" s="1868"/>
      <c r="R21" s="1868"/>
      <c r="S21" s="1868"/>
      <c r="T21" s="1868"/>
      <c r="U21" s="1868"/>
      <c r="V21" s="1865" t="s">
        <v>1132</v>
      </c>
      <c r="W21" s="1865"/>
      <c r="X21" s="1865"/>
      <c r="Y21" s="1851"/>
      <c r="Z21" s="1851"/>
      <c r="AA21" s="1851"/>
      <c r="AB21" s="1851"/>
      <c r="AC21" s="1851"/>
      <c r="AD21" s="1851"/>
      <c r="AE21" s="1851"/>
      <c r="AF21" s="1851"/>
      <c r="AG21" s="1851"/>
      <c r="AH21" s="1851"/>
      <c r="AI21" s="1851"/>
      <c r="AJ21" s="1851"/>
      <c r="AK21" s="1851"/>
      <c r="AL21" s="1851"/>
      <c r="AM21" s="1851"/>
      <c r="AN21" s="1851"/>
      <c r="AO21" s="1851"/>
      <c r="AP21" s="1851"/>
      <c r="AQ21" s="1851"/>
      <c r="AR21" s="1851"/>
      <c r="AS21" s="1851"/>
      <c r="AT21" s="1851"/>
      <c r="AU21" s="1851"/>
      <c r="AV21" s="1851"/>
      <c r="AW21" s="1851"/>
      <c r="AX21" s="1851"/>
      <c r="AY21" s="1851"/>
      <c r="AZ21" s="1851"/>
      <c r="BA21" s="1851"/>
      <c r="BB21" s="1851"/>
    </row>
    <row r="22" spans="1:54" x14ac:dyDescent="0.25">
      <c r="A22" s="1851" t="s">
        <v>802</v>
      </c>
      <c r="B22" s="1851"/>
      <c r="C22" s="1868" t="s">
        <v>984</v>
      </c>
      <c r="D22" s="1868"/>
      <c r="E22" s="1868"/>
      <c r="F22" s="1868"/>
      <c r="G22" s="1868"/>
      <c r="H22" s="1868"/>
      <c r="I22" s="1868"/>
      <c r="J22" s="1868"/>
      <c r="K22" s="1868"/>
      <c r="L22" s="1868"/>
      <c r="M22" s="1868"/>
      <c r="N22" s="1868"/>
      <c r="O22" s="1868"/>
      <c r="P22" s="1868"/>
      <c r="Q22" s="1868"/>
      <c r="R22" s="1868"/>
      <c r="S22" s="1868"/>
      <c r="T22" s="1868"/>
      <c r="U22" s="1868"/>
      <c r="V22" s="1865" t="s">
        <v>1132</v>
      </c>
      <c r="W22" s="1865"/>
      <c r="X22" s="1865"/>
      <c r="Y22" s="1851"/>
      <c r="Z22" s="1851"/>
      <c r="AA22" s="1851"/>
      <c r="AB22" s="1851"/>
      <c r="AC22" s="1851"/>
      <c r="AD22" s="1851"/>
      <c r="AE22" s="1851"/>
      <c r="AF22" s="1851"/>
      <c r="AG22" s="1851"/>
      <c r="AH22" s="1851"/>
      <c r="AI22" s="1851"/>
      <c r="AJ22" s="1851"/>
      <c r="AK22" s="1851"/>
      <c r="AL22" s="1851"/>
      <c r="AM22" s="1851"/>
      <c r="AN22" s="1851"/>
      <c r="AO22" s="1851"/>
      <c r="AP22" s="1851"/>
      <c r="AQ22" s="1851"/>
      <c r="AR22" s="1851"/>
      <c r="AS22" s="1851"/>
      <c r="AT22" s="1851"/>
      <c r="AU22" s="1851"/>
      <c r="AV22" s="1851"/>
      <c r="AW22" s="1851"/>
      <c r="AX22" s="1851"/>
      <c r="AY22" s="1851"/>
      <c r="AZ22" s="1851"/>
      <c r="BA22" s="1851"/>
      <c r="BB22" s="1851"/>
    </row>
    <row r="23" spans="1:54" x14ac:dyDescent="0.25">
      <c r="A23" s="1851" t="s">
        <v>805</v>
      </c>
      <c r="B23" s="1851"/>
      <c r="C23" s="1868" t="s">
        <v>985</v>
      </c>
      <c r="D23" s="1868"/>
      <c r="E23" s="1868"/>
      <c r="F23" s="1868"/>
      <c r="G23" s="1868"/>
      <c r="H23" s="1868"/>
      <c r="I23" s="1868"/>
      <c r="J23" s="1868"/>
      <c r="K23" s="1868"/>
      <c r="L23" s="1868"/>
      <c r="M23" s="1868"/>
      <c r="N23" s="1868"/>
      <c r="O23" s="1868"/>
      <c r="P23" s="1868"/>
      <c r="Q23" s="1868"/>
      <c r="R23" s="1868"/>
      <c r="S23" s="1868"/>
      <c r="T23" s="1868"/>
      <c r="U23" s="1868"/>
      <c r="V23" s="1865" t="s">
        <v>1132</v>
      </c>
      <c r="W23" s="1865"/>
      <c r="X23" s="1865"/>
      <c r="Y23" s="1851"/>
      <c r="Z23" s="1851"/>
      <c r="AA23" s="1851"/>
      <c r="AB23" s="1851"/>
      <c r="AC23" s="1851"/>
      <c r="AD23" s="1851"/>
      <c r="AE23" s="1851"/>
      <c r="AF23" s="1851"/>
      <c r="AG23" s="1851"/>
      <c r="AH23" s="1851"/>
      <c r="AI23" s="1851"/>
      <c r="AJ23" s="1851"/>
      <c r="AK23" s="1851"/>
      <c r="AL23" s="1851"/>
      <c r="AM23" s="1851"/>
      <c r="AN23" s="1851"/>
      <c r="AO23" s="1851"/>
      <c r="AP23" s="1851"/>
      <c r="AQ23" s="1851"/>
      <c r="AR23" s="1851"/>
      <c r="AS23" s="1851"/>
      <c r="AT23" s="1851"/>
      <c r="AU23" s="1851"/>
      <c r="AV23" s="1851"/>
      <c r="AW23" s="1851"/>
      <c r="AX23" s="1851"/>
      <c r="AY23" s="1851"/>
      <c r="AZ23" s="1851"/>
      <c r="BA23" s="1851"/>
      <c r="BB23" s="1851"/>
    </row>
    <row r="24" spans="1:54" x14ac:dyDescent="0.25">
      <c r="A24" s="1851" t="s">
        <v>808</v>
      </c>
      <c r="B24" s="1851"/>
      <c r="C24" s="1868" t="s">
        <v>986</v>
      </c>
      <c r="D24" s="1868"/>
      <c r="E24" s="1868"/>
      <c r="F24" s="1868"/>
      <c r="G24" s="1868"/>
      <c r="H24" s="1868"/>
      <c r="I24" s="1868"/>
      <c r="J24" s="1868"/>
      <c r="K24" s="1868"/>
      <c r="L24" s="1868"/>
      <c r="M24" s="1868"/>
      <c r="N24" s="1868"/>
      <c r="O24" s="1868"/>
      <c r="P24" s="1868"/>
      <c r="Q24" s="1868"/>
      <c r="R24" s="1868"/>
      <c r="S24" s="1868"/>
      <c r="T24" s="1868"/>
      <c r="U24" s="1868"/>
      <c r="V24" s="1865" t="s">
        <v>1132</v>
      </c>
      <c r="W24" s="1865"/>
      <c r="X24" s="1865"/>
      <c r="Y24" s="1851"/>
      <c r="Z24" s="1851"/>
      <c r="AA24" s="1851"/>
      <c r="AB24" s="1851"/>
      <c r="AC24" s="1851"/>
      <c r="AD24" s="1851"/>
      <c r="AE24" s="1851"/>
      <c r="AF24" s="1851"/>
      <c r="AG24" s="1851"/>
      <c r="AH24" s="1851"/>
      <c r="AI24" s="1851"/>
      <c r="AJ24" s="1851"/>
      <c r="AK24" s="1851"/>
      <c r="AL24" s="1851"/>
      <c r="AM24" s="1851"/>
      <c r="AN24" s="1851"/>
      <c r="AO24" s="1851"/>
      <c r="AP24" s="1851"/>
      <c r="AQ24" s="1851"/>
      <c r="AR24" s="1851"/>
      <c r="AS24" s="1851"/>
      <c r="AT24" s="1851"/>
      <c r="AU24" s="1851"/>
      <c r="AV24" s="1851"/>
      <c r="AW24" s="1851"/>
      <c r="AX24" s="1851"/>
      <c r="AY24" s="1851"/>
      <c r="AZ24" s="1851"/>
      <c r="BA24" s="1851"/>
      <c r="BB24" s="1851"/>
    </row>
    <row r="25" spans="1:54" x14ac:dyDescent="0.25">
      <c r="A25" s="1851" t="s">
        <v>1133</v>
      </c>
      <c r="B25" s="1851"/>
      <c r="C25" s="1856" t="s">
        <v>1134</v>
      </c>
      <c r="D25" s="1856"/>
      <c r="E25" s="1856"/>
      <c r="F25" s="1856"/>
      <c r="G25" s="1856"/>
      <c r="H25" s="1856"/>
      <c r="I25" s="1856"/>
      <c r="J25" s="1856"/>
      <c r="K25" s="1856"/>
      <c r="L25" s="1856"/>
      <c r="M25" s="1856"/>
      <c r="N25" s="1856"/>
      <c r="O25" s="1856"/>
      <c r="P25" s="1856"/>
      <c r="Q25" s="1856"/>
      <c r="R25" s="1856"/>
      <c r="S25" s="1856"/>
      <c r="T25" s="1856"/>
      <c r="U25" s="1856"/>
      <c r="V25" s="1865" t="s">
        <v>1135</v>
      </c>
      <c r="W25" s="1865"/>
      <c r="X25" s="1865"/>
      <c r="Y25" s="1857"/>
      <c r="Z25" s="1877"/>
      <c r="AA25" s="1877"/>
      <c r="AB25" s="1877"/>
      <c r="AC25" s="1859"/>
      <c r="AD25" s="1859"/>
      <c r="AE25" s="1857"/>
      <c r="AF25" s="1877"/>
      <c r="AG25" s="1877"/>
      <c r="AH25" s="1877"/>
      <c r="AI25" s="1859"/>
      <c r="AJ25" s="1859"/>
      <c r="AK25" s="1857"/>
      <c r="AL25" s="1877"/>
      <c r="AM25" s="1877"/>
      <c r="AN25" s="1877"/>
      <c r="AO25" s="1859"/>
      <c r="AP25" s="1859"/>
      <c r="AQ25" s="1857"/>
      <c r="AR25" s="1877"/>
      <c r="AS25" s="1877"/>
      <c r="AT25" s="1877"/>
      <c r="AU25" s="1859"/>
      <c r="AV25" s="1859"/>
      <c r="AW25" s="1857"/>
      <c r="AX25" s="1877"/>
      <c r="AY25" s="1877"/>
      <c r="AZ25" s="1877"/>
      <c r="BA25" s="1859"/>
      <c r="BB25" s="1859"/>
    </row>
    <row r="26" spans="1:54" x14ac:dyDescent="0.25">
      <c r="A26" s="1851" t="s">
        <v>1136</v>
      </c>
      <c r="B26" s="1851"/>
      <c r="C26" s="1868" t="s">
        <v>977</v>
      </c>
      <c r="D26" s="1868"/>
      <c r="E26" s="1868"/>
      <c r="F26" s="1868"/>
      <c r="G26" s="1868"/>
      <c r="H26" s="1868"/>
      <c r="I26" s="1868"/>
      <c r="J26" s="1868"/>
      <c r="K26" s="1868"/>
      <c r="L26" s="1868"/>
      <c r="M26" s="1868"/>
      <c r="N26" s="1868"/>
      <c r="O26" s="1868"/>
      <c r="P26" s="1868"/>
      <c r="Q26" s="1868"/>
      <c r="R26" s="1868"/>
      <c r="S26" s="1868"/>
      <c r="T26" s="1868"/>
      <c r="U26" s="1868"/>
      <c r="V26" s="1865" t="s">
        <v>1135</v>
      </c>
      <c r="W26" s="1865"/>
      <c r="X26" s="1865"/>
      <c r="Y26" s="1851"/>
      <c r="Z26" s="1851"/>
      <c r="AA26" s="1851"/>
      <c r="AB26" s="1851"/>
      <c r="AC26" s="1851"/>
      <c r="AD26" s="1851"/>
      <c r="AE26" s="1851"/>
      <c r="AF26" s="1851"/>
      <c r="AG26" s="1851"/>
      <c r="AH26" s="1851"/>
      <c r="AI26" s="1851"/>
      <c r="AJ26" s="1851"/>
      <c r="AK26" s="1851"/>
      <c r="AL26" s="1851"/>
      <c r="AM26" s="1851"/>
      <c r="AN26" s="1851"/>
      <c r="AO26" s="1851"/>
      <c r="AP26" s="1851"/>
      <c r="AQ26" s="1851"/>
      <c r="AR26" s="1851"/>
      <c r="AS26" s="1851"/>
      <c r="AT26" s="1851"/>
      <c r="AU26" s="1851"/>
      <c r="AV26" s="1851"/>
      <c r="AW26" s="1851"/>
      <c r="AX26" s="1851"/>
      <c r="AY26" s="1851"/>
      <c r="AZ26" s="1851"/>
      <c r="BA26" s="1851"/>
      <c r="BB26" s="1851"/>
    </row>
    <row r="27" spans="1:54" x14ac:dyDescent="0.25">
      <c r="A27" s="1851" t="s">
        <v>1137</v>
      </c>
      <c r="B27" s="1851"/>
      <c r="C27" s="1868" t="s">
        <v>978</v>
      </c>
      <c r="D27" s="1868"/>
      <c r="E27" s="1868"/>
      <c r="F27" s="1868"/>
      <c r="G27" s="1868"/>
      <c r="H27" s="1868"/>
      <c r="I27" s="1868"/>
      <c r="J27" s="1868"/>
      <c r="K27" s="1868"/>
      <c r="L27" s="1868"/>
      <c r="M27" s="1868"/>
      <c r="N27" s="1868"/>
      <c r="O27" s="1868"/>
      <c r="P27" s="1868"/>
      <c r="Q27" s="1868"/>
      <c r="R27" s="1868"/>
      <c r="S27" s="1868"/>
      <c r="T27" s="1868"/>
      <c r="U27" s="1868"/>
      <c r="V27" s="1865" t="s">
        <v>1135</v>
      </c>
      <c r="W27" s="1865"/>
      <c r="X27" s="1865"/>
      <c r="Y27" s="1851"/>
      <c r="Z27" s="1851"/>
      <c r="AA27" s="1851"/>
      <c r="AB27" s="1851"/>
      <c r="AC27" s="1851"/>
      <c r="AD27" s="1851"/>
      <c r="AE27" s="1851"/>
      <c r="AF27" s="1851"/>
      <c r="AG27" s="1851"/>
      <c r="AH27" s="1851"/>
      <c r="AI27" s="1851"/>
      <c r="AJ27" s="1851"/>
      <c r="AK27" s="1851"/>
      <c r="AL27" s="1851"/>
      <c r="AM27" s="1851"/>
      <c r="AN27" s="1851"/>
      <c r="AO27" s="1851"/>
      <c r="AP27" s="1851"/>
      <c r="AQ27" s="1851"/>
      <c r="AR27" s="1851"/>
      <c r="AS27" s="1851"/>
      <c r="AT27" s="1851"/>
      <c r="AU27" s="1851"/>
      <c r="AV27" s="1851"/>
      <c r="AW27" s="1851"/>
      <c r="AX27" s="1851"/>
      <c r="AY27" s="1851"/>
      <c r="AZ27" s="1851"/>
      <c r="BA27" s="1851"/>
      <c r="BB27" s="1851"/>
    </row>
    <row r="28" spans="1:54" x14ac:dyDescent="0.25">
      <c r="A28" s="1851" t="s">
        <v>1138</v>
      </c>
      <c r="B28" s="1851"/>
      <c r="C28" s="1868" t="s">
        <v>979</v>
      </c>
      <c r="D28" s="1868"/>
      <c r="E28" s="1868"/>
      <c r="F28" s="1868"/>
      <c r="G28" s="1868"/>
      <c r="H28" s="1868"/>
      <c r="I28" s="1868"/>
      <c r="J28" s="1868"/>
      <c r="K28" s="1868"/>
      <c r="L28" s="1868"/>
      <c r="M28" s="1868"/>
      <c r="N28" s="1868"/>
      <c r="O28" s="1868"/>
      <c r="P28" s="1868"/>
      <c r="Q28" s="1868"/>
      <c r="R28" s="1868"/>
      <c r="S28" s="1868"/>
      <c r="T28" s="1868"/>
      <c r="U28" s="1868"/>
      <c r="V28" s="1865" t="s">
        <v>1135</v>
      </c>
      <c r="W28" s="1865"/>
      <c r="X28" s="1865"/>
      <c r="Y28" s="1851"/>
      <c r="Z28" s="1851"/>
      <c r="AA28" s="1851"/>
      <c r="AB28" s="1851"/>
      <c r="AC28" s="1851"/>
      <c r="AD28" s="1851"/>
      <c r="AE28" s="1851"/>
      <c r="AF28" s="1851"/>
      <c r="AG28" s="1851"/>
      <c r="AH28" s="1851"/>
      <c r="AI28" s="1851"/>
      <c r="AJ28" s="1851"/>
      <c r="AK28" s="1851"/>
      <c r="AL28" s="1851"/>
      <c r="AM28" s="1851"/>
      <c r="AN28" s="1851"/>
      <c r="AO28" s="1851"/>
      <c r="AP28" s="1851"/>
      <c r="AQ28" s="1851"/>
      <c r="AR28" s="1851"/>
      <c r="AS28" s="1851"/>
      <c r="AT28" s="1851"/>
      <c r="AU28" s="1851"/>
      <c r="AV28" s="1851"/>
      <c r="AW28" s="1851"/>
      <c r="AX28" s="1851"/>
      <c r="AY28" s="1851"/>
      <c r="AZ28" s="1851"/>
      <c r="BA28" s="1851"/>
      <c r="BB28" s="1851"/>
    </row>
    <row r="29" spans="1:54" x14ac:dyDescent="0.25">
      <c r="A29" s="1851" t="s">
        <v>1139</v>
      </c>
      <c r="B29" s="1851"/>
      <c r="C29" s="1868" t="s">
        <v>980</v>
      </c>
      <c r="D29" s="1868"/>
      <c r="E29" s="1868"/>
      <c r="F29" s="1868"/>
      <c r="G29" s="1868"/>
      <c r="H29" s="1868"/>
      <c r="I29" s="1868"/>
      <c r="J29" s="1868"/>
      <c r="K29" s="1868"/>
      <c r="L29" s="1868"/>
      <c r="M29" s="1868"/>
      <c r="N29" s="1868"/>
      <c r="O29" s="1868"/>
      <c r="P29" s="1868"/>
      <c r="Q29" s="1868"/>
      <c r="R29" s="1868"/>
      <c r="S29" s="1868"/>
      <c r="T29" s="1868"/>
      <c r="U29" s="1868"/>
      <c r="V29" s="1865" t="s">
        <v>1135</v>
      </c>
      <c r="W29" s="1865"/>
      <c r="X29" s="1865"/>
      <c r="Y29" s="1851"/>
      <c r="Z29" s="1851"/>
      <c r="AA29" s="1851"/>
      <c r="AB29" s="1851"/>
      <c r="AC29" s="1851"/>
      <c r="AD29" s="1851"/>
      <c r="AE29" s="1851"/>
      <c r="AF29" s="1851"/>
      <c r="AG29" s="1851"/>
      <c r="AH29" s="1851"/>
      <c r="AI29" s="1851"/>
      <c r="AJ29" s="1851"/>
      <c r="AK29" s="1851"/>
      <c r="AL29" s="1851"/>
      <c r="AM29" s="1851"/>
      <c r="AN29" s="1851"/>
      <c r="AO29" s="1851"/>
      <c r="AP29" s="1851"/>
      <c r="AQ29" s="1851"/>
      <c r="AR29" s="1851"/>
      <c r="AS29" s="1851"/>
      <c r="AT29" s="1851"/>
      <c r="AU29" s="1851"/>
      <c r="AV29" s="1851"/>
      <c r="AW29" s="1851"/>
      <c r="AX29" s="1851"/>
      <c r="AY29" s="1851"/>
      <c r="AZ29" s="1851"/>
      <c r="BA29" s="1851"/>
      <c r="BB29" s="1851"/>
    </row>
    <row r="30" spans="1:54" x14ac:dyDescent="0.25">
      <c r="A30" s="1851" t="s">
        <v>1140</v>
      </c>
      <c r="B30" s="1851"/>
      <c r="C30" s="1868" t="s">
        <v>981</v>
      </c>
      <c r="D30" s="1868"/>
      <c r="E30" s="1868"/>
      <c r="F30" s="1868"/>
      <c r="G30" s="1868"/>
      <c r="H30" s="1868"/>
      <c r="I30" s="1868"/>
      <c r="J30" s="1868"/>
      <c r="K30" s="1868"/>
      <c r="L30" s="1868"/>
      <c r="M30" s="1868"/>
      <c r="N30" s="1868"/>
      <c r="O30" s="1868"/>
      <c r="P30" s="1868"/>
      <c r="Q30" s="1868"/>
      <c r="R30" s="1868"/>
      <c r="S30" s="1868"/>
      <c r="T30" s="1868"/>
      <c r="U30" s="1868"/>
      <c r="V30" s="1865" t="s">
        <v>1135</v>
      </c>
      <c r="W30" s="1865"/>
      <c r="X30" s="1865"/>
      <c r="Y30" s="1851"/>
      <c r="Z30" s="1851"/>
      <c r="AA30" s="1851"/>
      <c r="AB30" s="1851"/>
      <c r="AC30" s="1851"/>
      <c r="AD30" s="1851"/>
      <c r="AE30" s="1851"/>
      <c r="AF30" s="1851"/>
      <c r="AG30" s="1851"/>
      <c r="AH30" s="1851"/>
      <c r="AI30" s="1851"/>
      <c r="AJ30" s="1851"/>
      <c r="AK30" s="1851"/>
      <c r="AL30" s="1851"/>
      <c r="AM30" s="1851"/>
      <c r="AN30" s="1851"/>
      <c r="AO30" s="1851"/>
      <c r="AP30" s="1851"/>
      <c r="AQ30" s="1851"/>
      <c r="AR30" s="1851"/>
      <c r="AS30" s="1851"/>
      <c r="AT30" s="1851"/>
      <c r="AU30" s="1851"/>
      <c r="AV30" s="1851"/>
      <c r="AW30" s="1851"/>
      <c r="AX30" s="1851"/>
      <c r="AY30" s="1851"/>
      <c r="AZ30" s="1851"/>
      <c r="BA30" s="1851"/>
      <c r="BB30" s="1851"/>
    </row>
    <row r="31" spans="1:54" x14ac:dyDescent="0.25">
      <c r="A31" s="1851" t="s">
        <v>1141</v>
      </c>
      <c r="B31" s="1851"/>
      <c r="C31" s="1868" t="s">
        <v>982</v>
      </c>
      <c r="D31" s="1868"/>
      <c r="E31" s="1868"/>
      <c r="F31" s="1868"/>
      <c r="G31" s="1868"/>
      <c r="H31" s="1868"/>
      <c r="I31" s="1868"/>
      <c r="J31" s="1868"/>
      <c r="K31" s="1868"/>
      <c r="L31" s="1868"/>
      <c r="M31" s="1868"/>
      <c r="N31" s="1868"/>
      <c r="O31" s="1868"/>
      <c r="P31" s="1868"/>
      <c r="Q31" s="1868"/>
      <c r="R31" s="1868"/>
      <c r="S31" s="1868"/>
      <c r="T31" s="1868"/>
      <c r="U31" s="1868"/>
      <c r="V31" s="1865" t="s">
        <v>1135</v>
      </c>
      <c r="W31" s="1865"/>
      <c r="X31" s="1865"/>
      <c r="Y31" s="1851"/>
      <c r="Z31" s="1851"/>
      <c r="AA31" s="1851"/>
      <c r="AB31" s="1851"/>
      <c r="AC31" s="1851"/>
      <c r="AD31" s="1851"/>
      <c r="AE31" s="1851"/>
      <c r="AF31" s="1851"/>
      <c r="AG31" s="1851"/>
      <c r="AH31" s="1851"/>
      <c r="AI31" s="1851"/>
      <c r="AJ31" s="1851"/>
      <c r="AK31" s="1851"/>
      <c r="AL31" s="1851"/>
      <c r="AM31" s="1851"/>
      <c r="AN31" s="1851"/>
      <c r="AO31" s="1851"/>
      <c r="AP31" s="1851"/>
      <c r="AQ31" s="1851"/>
      <c r="AR31" s="1851"/>
      <c r="AS31" s="1851"/>
      <c r="AT31" s="1851"/>
      <c r="AU31" s="1851"/>
      <c r="AV31" s="1851"/>
      <c r="AW31" s="1851"/>
      <c r="AX31" s="1851"/>
      <c r="AY31" s="1851"/>
      <c r="AZ31" s="1851"/>
      <c r="BA31" s="1851"/>
      <c r="BB31" s="1851"/>
    </row>
    <row r="32" spans="1:54" x14ac:dyDescent="0.25">
      <c r="A32" s="1851" t="s">
        <v>1142</v>
      </c>
      <c r="B32" s="1851"/>
      <c r="C32" s="1868" t="s">
        <v>983</v>
      </c>
      <c r="D32" s="1868"/>
      <c r="E32" s="1868"/>
      <c r="F32" s="1868"/>
      <c r="G32" s="1868"/>
      <c r="H32" s="1868"/>
      <c r="I32" s="1868"/>
      <c r="J32" s="1868"/>
      <c r="K32" s="1868"/>
      <c r="L32" s="1868"/>
      <c r="M32" s="1868"/>
      <c r="N32" s="1868"/>
      <c r="O32" s="1868"/>
      <c r="P32" s="1868"/>
      <c r="Q32" s="1868"/>
      <c r="R32" s="1868"/>
      <c r="S32" s="1868"/>
      <c r="T32" s="1868"/>
      <c r="U32" s="1868"/>
      <c r="V32" s="1865" t="s">
        <v>1135</v>
      </c>
      <c r="W32" s="1865"/>
      <c r="X32" s="1865"/>
      <c r="Y32" s="1851"/>
      <c r="Z32" s="1851"/>
      <c r="AA32" s="1851"/>
      <c r="AB32" s="1851"/>
      <c r="AC32" s="1851"/>
      <c r="AD32" s="1851"/>
      <c r="AE32" s="1851"/>
      <c r="AF32" s="1851"/>
      <c r="AG32" s="1851"/>
      <c r="AH32" s="1851"/>
      <c r="AI32" s="1851"/>
      <c r="AJ32" s="1851"/>
      <c r="AK32" s="1851"/>
      <c r="AL32" s="1851"/>
      <c r="AM32" s="1851"/>
      <c r="AN32" s="1851"/>
      <c r="AO32" s="1851"/>
      <c r="AP32" s="1851"/>
      <c r="AQ32" s="1851"/>
      <c r="AR32" s="1851"/>
      <c r="AS32" s="1851"/>
      <c r="AT32" s="1851"/>
      <c r="AU32" s="1851"/>
      <c r="AV32" s="1851"/>
      <c r="AW32" s="1851"/>
      <c r="AX32" s="1851"/>
      <c r="AY32" s="1851"/>
      <c r="AZ32" s="1851"/>
      <c r="BA32" s="1851"/>
      <c r="BB32" s="1851"/>
    </row>
    <row r="33" spans="1:54" x14ac:dyDescent="0.25">
      <c r="A33" s="1851" t="s">
        <v>820</v>
      </c>
      <c r="B33" s="1851"/>
      <c r="C33" s="1868" t="s">
        <v>984</v>
      </c>
      <c r="D33" s="1868"/>
      <c r="E33" s="1868"/>
      <c r="F33" s="1868"/>
      <c r="G33" s="1868"/>
      <c r="H33" s="1868"/>
      <c r="I33" s="1868"/>
      <c r="J33" s="1868"/>
      <c r="K33" s="1868"/>
      <c r="L33" s="1868"/>
      <c r="M33" s="1868"/>
      <c r="N33" s="1868"/>
      <c r="O33" s="1868"/>
      <c r="P33" s="1868"/>
      <c r="Q33" s="1868"/>
      <c r="R33" s="1868"/>
      <c r="S33" s="1868"/>
      <c r="T33" s="1868"/>
      <c r="U33" s="1868"/>
      <c r="V33" s="1865" t="s">
        <v>1135</v>
      </c>
      <c r="W33" s="1865"/>
      <c r="X33" s="1865"/>
      <c r="Y33" s="1851"/>
      <c r="Z33" s="1851"/>
      <c r="AA33" s="1851"/>
      <c r="AB33" s="1851"/>
      <c r="AC33" s="1851"/>
      <c r="AD33" s="1851"/>
      <c r="AE33" s="1851"/>
      <c r="AF33" s="1851"/>
      <c r="AG33" s="1851"/>
      <c r="AH33" s="1851"/>
      <c r="AI33" s="1851"/>
      <c r="AJ33" s="1851"/>
      <c r="AK33" s="1851"/>
      <c r="AL33" s="1851"/>
      <c r="AM33" s="1851"/>
      <c r="AN33" s="1851"/>
      <c r="AO33" s="1851"/>
      <c r="AP33" s="1851"/>
      <c r="AQ33" s="1851"/>
      <c r="AR33" s="1851"/>
      <c r="AS33" s="1851"/>
      <c r="AT33" s="1851"/>
      <c r="AU33" s="1851"/>
      <c r="AV33" s="1851"/>
      <c r="AW33" s="1851"/>
      <c r="AX33" s="1851"/>
      <c r="AY33" s="1851"/>
      <c r="AZ33" s="1851"/>
      <c r="BA33" s="1851"/>
      <c r="BB33" s="1851"/>
    </row>
    <row r="34" spans="1:54" x14ac:dyDescent="0.25">
      <c r="A34" s="1851" t="s">
        <v>823</v>
      </c>
      <c r="B34" s="1851"/>
      <c r="C34" s="1868" t="s">
        <v>985</v>
      </c>
      <c r="D34" s="1868"/>
      <c r="E34" s="1868"/>
      <c r="F34" s="1868"/>
      <c r="G34" s="1868"/>
      <c r="H34" s="1868"/>
      <c r="I34" s="1868"/>
      <c r="J34" s="1868"/>
      <c r="K34" s="1868"/>
      <c r="L34" s="1868"/>
      <c r="M34" s="1868"/>
      <c r="N34" s="1868"/>
      <c r="O34" s="1868"/>
      <c r="P34" s="1868"/>
      <c r="Q34" s="1868"/>
      <c r="R34" s="1868"/>
      <c r="S34" s="1868"/>
      <c r="T34" s="1868"/>
      <c r="U34" s="1868"/>
      <c r="V34" s="1865" t="s">
        <v>1135</v>
      </c>
      <c r="W34" s="1865"/>
      <c r="X34" s="1865"/>
      <c r="Y34" s="1851"/>
      <c r="Z34" s="1851"/>
      <c r="AA34" s="1851"/>
      <c r="AB34" s="1851"/>
      <c r="AC34" s="1851"/>
      <c r="AD34" s="1851"/>
      <c r="AE34" s="1851"/>
      <c r="AF34" s="1851"/>
      <c r="AG34" s="1851"/>
      <c r="AH34" s="1851"/>
      <c r="AI34" s="1851"/>
      <c r="AJ34" s="1851"/>
      <c r="AK34" s="1851"/>
      <c r="AL34" s="1851"/>
      <c r="AM34" s="1851"/>
      <c r="AN34" s="1851"/>
      <c r="AO34" s="1851"/>
      <c r="AP34" s="1851"/>
      <c r="AQ34" s="1851"/>
      <c r="AR34" s="1851"/>
      <c r="AS34" s="1851"/>
      <c r="AT34" s="1851"/>
      <c r="AU34" s="1851"/>
      <c r="AV34" s="1851"/>
      <c r="AW34" s="1851"/>
      <c r="AX34" s="1851"/>
      <c r="AY34" s="1851"/>
      <c r="AZ34" s="1851"/>
      <c r="BA34" s="1851"/>
      <c r="BB34" s="1851"/>
    </row>
    <row r="35" spans="1:54" x14ac:dyDescent="0.25">
      <c r="A35" s="1851" t="s">
        <v>826</v>
      </c>
      <c r="B35" s="1851"/>
      <c r="C35" s="1868" t="s">
        <v>986</v>
      </c>
      <c r="D35" s="1868"/>
      <c r="E35" s="1868"/>
      <c r="F35" s="1868"/>
      <c r="G35" s="1868"/>
      <c r="H35" s="1868"/>
      <c r="I35" s="1868"/>
      <c r="J35" s="1868"/>
      <c r="K35" s="1868"/>
      <c r="L35" s="1868"/>
      <c r="M35" s="1868"/>
      <c r="N35" s="1868"/>
      <c r="O35" s="1868"/>
      <c r="P35" s="1868"/>
      <c r="Q35" s="1868"/>
      <c r="R35" s="1868"/>
      <c r="S35" s="1868"/>
      <c r="T35" s="1868"/>
      <c r="U35" s="1868"/>
      <c r="V35" s="1865" t="s">
        <v>1135</v>
      </c>
      <c r="W35" s="1865"/>
      <c r="X35" s="1865"/>
      <c r="Y35" s="1851"/>
      <c r="Z35" s="1851"/>
      <c r="AA35" s="1851"/>
      <c r="AB35" s="1851"/>
      <c r="AC35" s="1851"/>
      <c r="AD35" s="1851"/>
      <c r="AE35" s="1851"/>
      <c r="AF35" s="1851"/>
      <c r="AG35" s="1851"/>
      <c r="AH35" s="1851"/>
      <c r="AI35" s="1851"/>
      <c r="AJ35" s="1851"/>
      <c r="AK35" s="1851"/>
      <c r="AL35" s="1851"/>
      <c r="AM35" s="1851"/>
      <c r="AN35" s="1851"/>
      <c r="AO35" s="1851"/>
      <c r="AP35" s="1851"/>
      <c r="AQ35" s="1851"/>
      <c r="AR35" s="1851"/>
      <c r="AS35" s="1851"/>
      <c r="AT35" s="1851"/>
      <c r="AU35" s="1851"/>
      <c r="AV35" s="1851"/>
      <c r="AW35" s="1851"/>
      <c r="AX35" s="1851"/>
      <c r="AY35" s="1851"/>
      <c r="AZ35" s="1851"/>
      <c r="BA35" s="1851"/>
      <c r="BB35" s="1851"/>
    </row>
    <row r="36" spans="1:54" x14ac:dyDescent="0.25">
      <c r="A36" s="1851" t="s">
        <v>829</v>
      </c>
      <c r="B36" s="1851"/>
      <c r="C36" s="1856" t="s">
        <v>1143</v>
      </c>
      <c r="D36" s="1856"/>
      <c r="E36" s="1856"/>
      <c r="F36" s="1856"/>
      <c r="G36" s="1856"/>
      <c r="H36" s="1856"/>
      <c r="I36" s="1856"/>
      <c r="J36" s="1856"/>
      <c r="K36" s="1856"/>
      <c r="L36" s="1856"/>
      <c r="M36" s="1856"/>
      <c r="N36" s="1856"/>
      <c r="O36" s="1856"/>
      <c r="P36" s="1856"/>
      <c r="Q36" s="1856"/>
      <c r="R36" s="1856"/>
      <c r="S36" s="1856"/>
      <c r="T36" s="1856"/>
      <c r="U36" s="1856"/>
      <c r="V36" s="1865" t="s">
        <v>1144</v>
      </c>
      <c r="W36" s="1865"/>
      <c r="X36" s="1865"/>
      <c r="Y36" s="1857"/>
      <c r="Z36" s="1877"/>
      <c r="AA36" s="1877"/>
      <c r="AB36" s="1877"/>
      <c r="AC36" s="1859"/>
      <c r="AD36" s="1859"/>
      <c r="AE36" s="1857"/>
      <c r="AF36" s="1877"/>
      <c r="AG36" s="1877"/>
      <c r="AH36" s="1877"/>
      <c r="AI36" s="1859"/>
      <c r="AJ36" s="1859"/>
      <c r="AK36" s="1857"/>
      <c r="AL36" s="1877"/>
      <c r="AM36" s="1877"/>
      <c r="AN36" s="1877"/>
      <c r="AO36" s="1859"/>
      <c r="AP36" s="1859"/>
      <c r="AQ36" s="1857"/>
      <c r="AR36" s="1877"/>
      <c r="AS36" s="1877"/>
      <c r="AT36" s="1877"/>
      <c r="AU36" s="1859"/>
      <c r="AV36" s="1859"/>
      <c r="AW36" s="1857"/>
      <c r="AX36" s="1877"/>
      <c r="AY36" s="1877"/>
      <c r="AZ36" s="1877"/>
      <c r="BA36" s="1859"/>
      <c r="BB36" s="1859"/>
    </row>
    <row r="37" spans="1:54" x14ac:dyDescent="0.25">
      <c r="A37" s="1851" t="s">
        <v>832</v>
      </c>
      <c r="B37" s="1851"/>
      <c r="C37" s="1868" t="s">
        <v>977</v>
      </c>
      <c r="D37" s="1868"/>
      <c r="E37" s="1868"/>
      <c r="F37" s="1868"/>
      <c r="G37" s="1868"/>
      <c r="H37" s="1868"/>
      <c r="I37" s="1868"/>
      <c r="J37" s="1868"/>
      <c r="K37" s="1868"/>
      <c r="L37" s="1868"/>
      <c r="M37" s="1868"/>
      <c r="N37" s="1868"/>
      <c r="O37" s="1868"/>
      <c r="P37" s="1868"/>
      <c r="Q37" s="1868"/>
      <c r="R37" s="1868"/>
      <c r="S37" s="1868"/>
      <c r="T37" s="1868"/>
      <c r="U37" s="1868"/>
      <c r="V37" s="1865" t="s">
        <v>1144</v>
      </c>
      <c r="W37" s="1865"/>
      <c r="X37" s="1865"/>
      <c r="Y37" s="1851"/>
      <c r="Z37" s="1851"/>
      <c r="AA37" s="1851"/>
      <c r="AB37" s="1851"/>
      <c r="AC37" s="1851"/>
      <c r="AD37" s="1851"/>
      <c r="AE37" s="1851"/>
      <c r="AF37" s="1851"/>
      <c r="AG37" s="1851"/>
      <c r="AH37" s="1851"/>
      <c r="AI37" s="1851"/>
      <c r="AJ37" s="1851"/>
      <c r="AK37" s="1851"/>
      <c r="AL37" s="1851"/>
      <c r="AM37" s="1851"/>
      <c r="AN37" s="1851"/>
      <c r="AO37" s="1851"/>
      <c r="AP37" s="1851"/>
      <c r="AQ37" s="1851"/>
      <c r="AR37" s="1851"/>
      <c r="AS37" s="1851"/>
      <c r="AT37" s="1851"/>
      <c r="AU37" s="1851"/>
      <c r="AV37" s="1851"/>
      <c r="AW37" s="1851"/>
      <c r="AX37" s="1851"/>
      <c r="AY37" s="1851"/>
      <c r="AZ37" s="1851"/>
      <c r="BA37" s="1851"/>
      <c r="BB37" s="1851"/>
    </row>
    <row r="38" spans="1:54" x14ac:dyDescent="0.25">
      <c r="A38" s="1851" t="s">
        <v>835</v>
      </c>
      <c r="B38" s="1851"/>
      <c r="C38" s="1868" t="s">
        <v>978</v>
      </c>
      <c r="D38" s="1868"/>
      <c r="E38" s="1868"/>
      <c r="F38" s="1868"/>
      <c r="G38" s="1868"/>
      <c r="H38" s="1868"/>
      <c r="I38" s="1868"/>
      <c r="J38" s="1868"/>
      <c r="K38" s="1868"/>
      <c r="L38" s="1868"/>
      <c r="M38" s="1868"/>
      <c r="N38" s="1868"/>
      <c r="O38" s="1868"/>
      <c r="P38" s="1868"/>
      <c r="Q38" s="1868"/>
      <c r="R38" s="1868"/>
      <c r="S38" s="1868"/>
      <c r="T38" s="1868"/>
      <c r="U38" s="1868"/>
      <c r="V38" s="1865" t="s">
        <v>1144</v>
      </c>
      <c r="W38" s="1865"/>
      <c r="X38" s="1865"/>
      <c r="Y38" s="1851"/>
      <c r="Z38" s="1851"/>
      <c r="AA38" s="1851"/>
      <c r="AB38" s="1851"/>
      <c r="AC38" s="1851"/>
      <c r="AD38" s="1851"/>
      <c r="AE38" s="1851"/>
      <c r="AF38" s="1851"/>
      <c r="AG38" s="1851"/>
      <c r="AH38" s="1851"/>
      <c r="AI38" s="1851"/>
      <c r="AJ38" s="1851"/>
      <c r="AK38" s="1851"/>
      <c r="AL38" s="1851"/>
      <c r="AM38" s="1851"/>
      <c r="AN38" s="1851"/>
      <c r="AO38" s="1851"/>
      <c r="AP38" s="1851"/>
      <c r="AQ38" s="1851"/>
      <c r="AR38" s="1851"/>
      <c r="AS38" s="1851"/>
      <c r="AT38" s="1851"/>
      <c r="AU38" s="1851"/>
      <c r="AV38" s="1851"/>
      <c r="AW38" s="1851"/>
      <c r="AX38" s="1851"/>
      <c r="AY38" s="1851"/>
      <c r="AZ38" s="1851"/>
      <c r="BA38" s="1851"/>
      <c r="BB38" s="1851"/>
    </row>
    <row r="39" spans="1:54" x14ac:dyDescent="0.25">
      <c r="A39" s="1851" t="s">
        <v>838</v>
      </c>
      <c r="B39" s="1851"/>
      <c r="C39" s="1868" t="s">
        <v>979</v>
      </c>
      <c r="D39" s="1868"/>
      <c r="E39" s="1868"/>
      <c r="F39" s="1868"/>
      <c r="G39" s="1868"/>
      <c r="H39" s="1868"/>
      <c r="I39" s="1868"/>
      <c r="J39" s="1868"/>
      <c r="K39" s="1868"/>
      <c r="L39" s="1868"/>
      <c r="M39" s="1868"/>
      <c r="N39" s="1868"/>
      <c r="O39" s="1868"/>
      <c r="P39" s="1868"/>
      <c r="Q39" s="1868"/>
      <c r="R39" s="1868"/>
      <c r="S39" s="1868"/>
      <c r="T39" s="1868"/>
      <c r="U39" s="1868"/>
      <c r="V39" s="1865" t="s">
        <v>1144</v>
      </c>
      <c r="W39" s="1865"/>
      <c r="X39" s="1865"/>
      <c r="Y39" s="1851"/>
      <c r="Z39" s="1851"/>
      <c r="AA39" s="1851"/>
      <c r="AB39" s="1851"/>
      <c r="AC39" s="1851"/>
      <c r="AD39" s="1851"/>
      <c r="AE39" s="1851"/>
      <c r="AF39" s="1851"/>
      <c r="AG39" s="1851"/>
      <c r="AH39" s="1851"/>
      <c r="AI39" s="1851"/>
      <c r="AJ39" s="1851"/>
      <c r="AK39" s="1851"/>
      <c r="AL39" s="1851"/>
      <c r="AM39" s="1851"/>
      <c r="AN39" s="1851"/>
      <c r="AO39" s="1851"/>
      <c r="AP39" s="1851"/>
      <c r="AQ39" s="1851"/>
      <c r="AR39" s="1851"/>
      <c r="AS39" s="1851"/>
      <c r="AT39" s="1851"/>
      <c r="AU39" s="1851"/>
      <c r="AV39" s="1851"/>
      <c r="AW39" s="1851"/>
      <c r="AX39" s="1851"/>
      <c r="AY39" s="1851"/>
      <c r="AZ39" s="1851"/>
      <c r="BA39" s="1851"/>
      <c r="BB39" s="1851"/>
    </row>
    <row r="40" spans="1:54" x14ac:dyDescent="0.25">
      <c r="A40" s="1851" t="s">
        <v>841</v>
      </c>
      <c r="B40" s="1851"/>
      <c r="C40" s="1868" t="s">
        <v>980</v>
      </c>
      <c r="D40" s="1868"/>
      <c r="E40" s="1868"/>
      <c r="F40" s="1868"/>
      <c r="G40" s="1868"/>
      <c r="H40" s="1868"/>
      <c r="I40" s="1868"/>
      <c r="J40" s="1868"/>
      <c r="K40" s="1868"/>
      <c r="L40" s="1868"/>
      <c r="M40" s="1868"/>
      <c r="N40" s="1868"/>
      <c r="O40" s="1868"/>
      <c r="P40" s="1868"/>
      <c r="Q40" s="1868"/>
      <c r="R40" s="1868"/>
      <c r="S40" s="1868"/>
      <c r="T40" s="1868"/>
      <c r="U40" s="1868"/>
      <c r="V40" s="1865" t="s">
        <v>1144</v>
      </c>
      <c r="W40" s="1865"/>
      <c r="X40" s="1865"/>
      <c r="Y40" s="1851"/>
      <c r="Z40" s="1851"/>
      <c r="AA40" s="1851"/>
      <c r="AB40" s="1851"/>
      <c r="AC40" s="1851"/>
      <c r="AD40" s="1851"/>
      <c r="AE40" s="1851"/>
      <c r="AF40" s="1851"/>
      <c r="AG40" s="1851"/>
      <c r="AH40" s="1851"/>
      <c r="AI40" s="1851"/>
      <c r="AJ40" s="1851"/>
      <c r="AK40" s="1851"/>
      <c r="AL40" s="1851"/>
      <c r="AM40" s="1851"/>
      <c r="AN40" s="1851"/>
      <c r="AO40" s="1851"/>
      <c r="AP40" s="1851"/>
      <c r="AQ40" s="1851"/>
      <c r="AR40" s="1851"/>
      <c r="AS40" s="1851"/>
      <c r="AT40" s="1851"/>
      <c r="AU40" s="1851"/>
      <c r="AV40" s="1851"/>
      <c r="AW40" s="1851"/>
      <c r="AX40" s="1851"/>
      <c r="AY40" s="1851"/>
      <c r="AZ40" s="1851"/>
      <c r="BA40" s="1851"/>
      <c r="BB40" s="1851"/>
    </row>
    <row r="41" spans="1:54" x14ac:dyDescent="0.25">
      <c r="A41" s="1851" t="s">
        <v>844</v>
      </c>
      <c r="B41" s="1851"/>
      <c r="C41" s="1868" t="s">
        <v>981</v>
      </c>
      <c r="D41" s="1868"/>
      <c r="E41" s="1868"/>
      <c r="F41" s="1868"/>
      <c r="G41" s="1868"/>
      <c r="H41" s="1868"/>
      <c r="I41" s="1868"/>
      <c r="J41" s="1868"/>
      <c r="K41" s="1868"/>
      <c r="L41" s="1868"/>
      <c r="M41" s="1868"/>
      <c r="N41" s="1868"/>
      <c r="O41" s="1868"/>
      <c r="P41" s="1868"/>
      <c r="Q41" s="1868"/>
      <c r="R41" s="1868"/>
      <c r="S41" s="1868"/>
      <c r="T41" s="1868"/>
      <c r="U41" s="1868"/>
      <c r="V41" s="1865" t="s">
        <v>1144</v>
      </c>
      <c r="W41" s="1865"/>
      <c r="X41" s="1865"/>
      <c r="Y41" s="1851"/>
      <c r="Z41" s="1851"/>
      <c r="AA41" s="1851"/>
      <c r="AB41" s="1851"/>
      <c r="AC41" s="1851"/>
      <c r="AD41" s="1851"/>
      <c r="AE41" s="1851"/>
      <c r="AF41" s="1851"/>
      <c r="AG41" s="1851"/>
      <c r="AH41" s="1851"/>
      <c r="AI41" s="1851"/>
      <c r="AJ41" s="1851"/>
      <c r="AK41" s="1851"/>
      <c r="AL41" s="1851"/>
      <c r="AM41" s="1851"/>
      <c r="AN41" s="1851"/>
      <c r="AO41" s="1851"/>
      <c r="AP41" s="1851"/>
      <c r="AQ41" s="1851"/>
      <c r="AR41" s="1851"/>
      <c r="AS41" s="1851"/>
      <c r="AT41" s="1851"/>
      <c r="AU41" s="1851"/>
      <c r="AV41" s="1851"/>
      <c r="AW41" s="1851"/>
      <c r="AX41" s="1851"/>
      <c r="AY41" s="1851"/>
      <c r="AZ41" s="1851"/>
      <c r="BA41" s="1851"/>
      <c r="BB41" s="1851"/>
    </row>
    <row r="42" spans="1:54" x14ac:dyDescent="0.25">
      <c r="A42" s="1851" t="s">
        <v>847</v>
      </c>
      <c r="B42" s="1851"/>
      <c r="C42" s="1868" t="s">
        <v>982</v>
      </c>
      <c r="D42" s="1868"/>
      <c r="E42" s="1868"/>
      <c r="F42" s="1868"/>
      <c r="G42" s="1868"/>
      <c r="H42" s="1868"/>
      <c r="I42" s="1868"/>
      <c r="J42" s="1868"/>
      <c r="K42" s="1868"/>
      <c r="L42" s="1868"/>
      <c r="M42" s="1868"/>
      <c r="N42" s="1868"/>
      <c r="O42" s="1868"/>
      <c r="P42" s="1868"/>
      <c r="Q42" s="1868"/>
      <c r="R42" s="1868"/>
      <c r="S42" s="1868"/>
      <c r="T42" s="1868"/>
      <c r="U42" s="1868"/>
      <c r="V42" s="1865" t="s">
        <v>1144</v>
      </c>
      <c r="W42" s="1865"/>
      <c r="X42" s="1865"/>
      <c r="Y42" s="1851"/>
      <c r="Z42" s="1851"/>
      <c r="AA42" s="1851"/>
      <c r="AB42" s="1851"/>
      <c r="AC42" s="1851"/>
      <c r="AD42" s="1851"/>
      <c r="AE42" s="1851"/>
      <c r="AF42" s="1851"/>
      <c r="AG42" s="1851"/>
      <c r="AH42" s="1851"/>
      <c r="AI42" s="1851"/>
      <c r="AJ42" s="1851"/>
      <c r="AK42" s="1851"/>
      <c r="AL42" s="1851"/>
      <c r="AM42" s="1851"/>
      <c r="AN42" s="1851"/>
      <c r="AO42" s="1851"/>
      <c r="AP42" s="1851"/>
      <c r="AQ42" s="1851"/>
      <c r="AR42" s="1851"/>
      <c r="AS42" s="1851"/>
      <c r="AT42" s="1851"/>
      <c r="AU42" s="1851"/>
      <c r="AV42" s="1851"/>
      <c r="AW42" s="1851"/>
      <c r="AX42" s="1851"/>
      <c r="AY42" s="1851"/>
      <c r="AZ42" s="1851"/>
      <c r="BA42" s="1851"/>
      <c r="BB42" s="1851"/>
    </row>
    <row r="43" spans="1:54" x14ac:dyDescent="0.25">
      <c r="A43" s="1851" t="s">
        <v>850</v>
      </c>
      <c r="B43" s="1851"/>
      <c r="C43" s="1868" t="s">
        <v>983</v>
      </c>
      <c r="D43" s="1868"/>
      <c r="E43" s="1868"/>
      <c r="F43" s="1868"/>
      <c r="G43" s="1868"/>
      <c r="H43" s="1868"/>
      <c r="I43" s="1868"/>
      <c r="J43" s="1868"/>
      <c r="K43" s="1868"/>
      <c r="L43" s="1868"/>
      <c r="M43" s="1868"/>
      <c r="N43" s="1868"/>
      <c r="O43" s="1868"/>
      <c r="P43" s="1868"/>
      <c r="Q43" s="1868"/>
      <c r="R43" s="1868"/>
      <c r="S43" s="1868"/>
      <c r="T43" s="1868"/>
      <c r="U43" s="1868"/>
      <c r="V43" s="1865" t="s">
        <v>1144</v>
      </c>
      <c r="W43" s="1865"/>
      <c r="X43" s="1865"/>
      <c r="Y43" s="1851"/>
      <c r="Z43" s="1851"/>
      <c r="AA43" s="1851"/>
      <c r="AB43" s="1851"/>
      <c r="AC43" s="1851"/>
      <c r="AD43" s="1851"/>
      <c r="AE43" s="1851"/>
      <c r="AF43" s="1851"/>
      <c r="AG43" s="1851"/>
      <c r="AH43" s="1851"/>
      <c r="AI43" s="1851"/>
      <c r="AJ43" s="1851"/>
      <c r="AK43" s="1851"/>
      <c r="AL43" s="1851"/>
      <c r="AM43" s="1851"/>
      <c r="AN43" s="1851"/>
      <c r="AO43" s="1851"/>
      <c r="AP43" s="1851"/>
      <c r="AQ43" s="1851"/>
      <c r="AR43" s="1851"/>
      <c r="AS43" s="1851"/>
      <c r="AT43" s="1851"/>
      <c r="AU43" s="1851"/>
      <c r="AV43" s="1851"/>
      <c r="AW43" s="1851"/>
      <c r="AX43" s="1851"/>
      <c r="AY43" s="1851"/>
      <c r="AZ43" s="1851"/>
      <c r="BA43" s="1851"/>
      <c r="BB43" s="1851"/>
    </row>
    <row r="44" spans="1:54" x14ac:dyDescent="0.25">
      <c r="A44" s="1851" t="s">
        <v>852</v>
      </c>
      <c r="B44" s="1851"/>
      <c r="C44" s="1868" t="s">
        <v>984</v>
      </c>
      <c r="D44" s="1868"/>
      <c r="E44" s="1868"/>
      <c r="F44" s="1868"/>
      <c r="G44" s="1868"/>
      <c r="H44" s="1868"/>
      <c r="I44" s="1868"/>
      <c r="J44" s="1868"/>
      <c r="K44" s="1868"/>
      <c r="L44" s="1868"/>
      <c r="M44" s="1868"/>
      <c r="N44" s="1868"/>
      <c r="O44" s="1868"/>
      <c r="P44" s="1868"/>
      <c r="Q44" s="1868"/>
      <c r="R44" s="1868"/>
      <c r="S44" s="1868"/>
      <c r="T44" s="1868"/>
      <c r="U44" s="1868"/>
      <c r="V44" s="1865" t="s">
        <v>1144</v>
      </c>
      <c r="W44" s="1865"/>
      <c r="X44" s="1865"/>
      <c r="Y44" s="1851"/>
      <c r="Z44" s="1851"/>
      <c r="AA44" s="1851"/>
      <c r="AB44" s="1851"/>
      <c r="AC44" s="1851"/>
      <c r="AD44" s="1851"/>
      <c r="AE44" s="1851"/>
      <c r="AF44" s="1851"/>
      <c r="AG44" s="1851"/>
      <c r="AH44" s="1851"/>
      <c r="AI44" s="1851"/>
      <c r="AJ44" s="1851"/>
      <c r="AK44" s="1851"/>
      <c r="AL44" s="1851"/>
      <c r="AM44" s="1851"/>
      <c r="AN44" s="1851"/>
      <c r="AO44" s="1851"/>
      <c r="AP44" s="1851"/>
      <c r="AQ44" s="1851"/>
      <c r="AR44" s="1851"/>
      <c r="AS44" s="1851"/>
      <c r="AT44" s="1851"/>
      <c r="AU44" s="1851"/>
      <c r="AV44" s="1851"/>
      <c r="AW44" s="1851"/>
      <c r="AX44" s="1851"/>
      <c r="AY44" s="1851"/>
      <c r="AZ44" s="1851"/>
      <c r="BA44" s="1851"/>
      <c r="BB44" s="1851"/>
    </row>
    <row r="45" spans="1:54" x14ac:dyDescent="0.25">
      <c r="A45" s="1851" t="s">
        <v>855</v>
      </c>
      <c r="B45" s="1851"/>
      <c r="C45" s="1868" t="s">
        <v>985</v>
      </c>
      <c r="D45" s="1868"/>
      <c r="E45" s="1868"/>
      <c r="F45" s="1868"/>
      <c r="G45" s="1868"/>
      <c r="H45" s="1868"/>
      <c r="I45" s="1868"/>
      <c r="J45" s="1868"/>
      <c r="K45" s="1868"/>
      <c r="L45" s="1868"/>
      <c r="M45" s="1868"/>
      <c r="N45" s="1868"/>
      <c r="O45" s="1868"/>
      <c r="P45" s="1868"/>
      <c r="Q45" s="1868"/>
      <c r="R45" s="1868"/>
      <c r="S45" s="1868"/>
      <c r="T45" s="1868"/>
      <c r="U45" s="1868"/>
      <c r="V45" s="1865" t="s">
        <v>1144</v>
      </c>
      <c r="W45" s="1865"/>
      <c r="X45" s="1865"/>
      <c r="Y45" s="1851"/>
      <c r="Z45" s="1851"/>
      <c r="AA45" s="1851"/>
      <c r="AB45" s="1851"/>
      <c r="AC45" s="1851"/>
      <c r="AD45" s="1851"/>
      <c r="AE45" s="1851"/>
      <c r="AF45" s="1851"/>
      <c r="AG45" s="1851"/>
      <c r="AH45" s="1851"/>
      <c r="AI45" s="1851"/>
      <c r="AJ45" s="1851"/>
      <c r="AK45" s="1851"/>
      <c r="AL45" s="1851"/>
      <c r="AM45" s="1851"/>
      <c r="AN45" s="1851"/>
      <c r="AO45" s="1851"/>
      <c r="AP45" s="1851"/>
      <c r="AQ45" s="1851"/>
      <c r="AR45" s="1851"/>
      <c r="AS45" s="1851"/>
      <c r="AT45" s="1851"/>
      <c r="AU45" s="1851"/>
      <c r="AV45" s="1851"/>
      <c r="AW45" s="1851"/>
      <c r="AX45" s="1851"/>
      <c r="AY45" s="1851"/>
      <c r="AZ45" s="1851"/>
      <c r="BA45" s="1851"/>
      <c r="BB45" s="1851"/>
    </row>
    <row r="46" spans="1:54" x14ac:dyDescent="0.25">
      <c r="A46" s="1851" t="s">
        <v>858</v>
      </c>
      <c r="B46" s="1851"/>
      <c r="C46" s="1868" t="s">
        <v>986</v>
      </c>
      <c r="D46" s="1868"/>
      <c r="E46" s="1868"/>
      <c r="F46" s="1868"/>
      <c r="G46" s="1868"/>
      <c r="H46" s="1868"/>
      <c r="I46" s="1868"/>
      <c r="J46" s="1868"/>
      <c r="K46" s="1868"/>
      <c r="L46" s="1868"/>
      <c r="M46" s="1868"/>
      <c r="N46" s="1868"/>
      <c r="O46" s="1868"/>
      <c r="P46" s="1868"/>
      <c r="Q46" s="1868"/>
      <c r="R46" s="1868"/>
      <c r="S46" s="1868"/>
      <c r="T46" s="1868"/>
      <c r="U46" s="1868"/>
      <c r="V46" s="1865" t="s">
        <v>1144</v>
      </c>
      <c r="W46" s="1865"/>
      <c r="X46" s="1865"/>
      <c r="Y46" s="1851"/>
      <c r="Z46" s="1851"/>
      <c r="AA46" s="1851"/>
      <c r="AB46" s="1851"/>
      <c r="AC46" s="1851"/>
      <c r="AD46" s="1851"/>
      <c r="AE46" s="1851"/>
      <c r="AF46" s="1851"/>
      <c r="AG46" s="1851"/>
      <c r="AH46" s="1851"/>
      <c r="AI46" s="1851"/>
      <c r="AJ46" s="1851"/>
      <c r="AK46" s="1851"/>
      <c r="AL46" s="1851"/>
      <c r="AM46" s="1851"/>
      <c r="AN46" s="1851"/>
      <c r="AO46" s="1851"/>
      <c r="AP46" s="1851"/>
      <c r="AQ46" s="1851"/>
      <c r="AR46" s="1851"/>
      <c r="AS46" s="1851"/>
      <c r="AT46" s="1851"/>
      <c r="AU46" s="1851"/>
      <c r="AV46" s="1851"/>
      <c r="AW46" s="1851"/>
      <c r="AX46" s="1851"/>
      <c r="AY46" s="1851"/>
      <c r="AZ46" s="1851"/>
      <c r="BA46" s="1851"/>
      <c r="BB46" s="1851"/>
    </row>
    <row r="47" spans="1:54" x14ac:dyDescent="0.25">
      <c r="A47" s="1854" t="s">
        <v>860</v>
      </c>
      <c r="B47" s="1854"/>
      <c r="C47" s="1855" t="s">
        <v>1145</v>
      </c>
      <c r="D47" s="1855"/>
      <c r="E47" s="1855"/>
      <c r="F47" s="1855"/>
      <c r="G47" s="1855"/>
      <c r="H47" s="1855"/>
      <c r="I47" s="1855"/>
      <c r="J47" s="1855"/>
      <c r="K47" s="1855"/>
      <c r="L47" s="1855"/>
      <c r="M47" s="1855"/>
      <c r="N47" s="1855"/>
      <c r="O47" s="1855"/>
      <c r="P47" s="1855"/>
      <c r="Q47" s="1855"/>
      <c r="R47" s="1855"/>
      <c r="S47" s="1855"/>
      <c r="T47" s="1855"/>
      <c r="U47" s="1855"/>
      <c r="V47" s="1864" t="s">
        <v>1146</v>
      </c>
      <c r="W47" s="1864"/>
      <c r="X47" s="1864"/>
      <c r="Y47" s="1857"/>
      <c r="Z47" s="1877"/>
      <c r="AA47" s="1877"/>
      <c r="AB47" s="1877"/>
      <c r="AC47" s="1859"/>
      <c r="AD47" s="1859"/>
      <c r="AE47" s="1857"/>
      <c r="AF47" s="1877"/>
      <c r="AG47" s="1877"/>
      <c r="AH47" s="1877"/>
      <c r="AI47" s="1859"/>
      <c r="AJ47" s="1859"/>
      <c r="AK47" s="1857"/>
      <c r="AL47" s="1877"/>
      <c r="AM47" s="1877"/>
      <c r="AN47" s="1877"/>
      <c r="AO47" s="1859"/>
      <c r="AP47" s="1859"/>
      <c r="AQ47" s="1857"/>
      <c r="AR47" s="1877"/>
      <c r="AS47" s="1877"/>
      <c r="AT47" s="1877"/>
      <c r="AU47" s="1859"/>
      <c r="AV47" s="1859"/>
      <c r="AW47" s="1857"/>
      <c r="AX47" s="1877"/>
      <c r="AY47" s="1877"/>
      <c r="AZ47" s="1877"/>
      <c r="BA47" s="1859"/>
      <c r="BB47" s="1859"/>
    </row>
    <row r="48" spans="1:54" x14ac:dyDescent="0.25">
      <c r="A48" s="1851" t="s">
        <v>863</v>
      </c>
      <c r="B48" s="1851"/>
      <c r="C48" s="1856" t="s">
        <v>82</v>
      </c>
      <c r="D48" s="1856"/>
      <c r="E48" s="1856"/>
      <c r="F48" s="1856"/>
      <c r="G48" s="1856"/>
      <c r="H48" s="1856"/>
      <c r="I48" s="1856"/>
      <c r="J48" s="1856"/>
      <c r="K48" s="1856"/>
      <c r="L48" s="1856"/>
      <c r="M48" s="1856"/>
      <c r="N48" s="1856"/>
      <c r="O48" s="1856"/>
      <c r="P48" s="1856"/>
      <c r="Q48" s="1856"/>
      <c r="R48" s="1856"/>
      <c r="S48" s="1856"/>
      <c r="T48" s="1856"/>
      <c r="U48" s="1856"/>
      <c r="V48" s="1865" t="s">
        <v>1147</v>
      </c>
      <c r="W48" s="1865"/>
      <c r="X48" s="1865"/>
      <c r="Y48" s="1851"/>
      <c r="Z48" s="1851"/>
      <c r="AA48" s="1851"/>
      <c r="AB48" s="1851"/>
      <c r="AC48" s="1851"/>
      <c r="AD48" s="1851"/>
      <c r="AE48" s="1851"/>
      <c r="AF48" s="1851"/>
      <c r="AG48" s="1851"/>
      <c r="AH48" s="1851"/>
      <c r="AI48" s="1851"/>
      <c r="AJ48" s="1851"/>
      <c r="AK48" s="1851"/>
      <c r="AL48" s="1851"/>
      <c r="AM48" s="1851"/>
      <c r="AN48" s="1851"/>
      <c r="AO48" s="1851"/>
      <c r="AP48" s="1851"/>
      <c r="AQ48" s="1851"/>
      <c r="AR48" s="1851"/>
      <c r="AS48" s="1851"/>
      <c r="AT48" s="1851"/>
      <c r="AU48" s="1851"/>
      <c r="AV48" s="1851"/>
      <c r="AW48" s="1851"/>
      <c r="AX48" s="1851"/>
      <c r="AY48" s="1851"/>
      <c r="AZ48" s="1851"/>
      <c r="BA48" s="1851"/>
      <c r="BB48" s="1851"/>
    </row>
    <row r="49" spans="1:54" x14ac:dyDescent="0.25">
      <c r="A49" s="1851" t="s">
        <v>1148</v>
      </c>
      <c r="B49" s="1851"/>
      <c r="C49" s="1856" t="s">
        <v>1149</v>
      </c>
      <c r="D49" s="1856"/>
      <c r="E49" s="1856"/>
      <c r="F49" s="1856"/>
      <c r="G49" s="1856"/>
      <c r="H49" s="1856"/>
      <c r="I49" s="1856"/>
      <c r="J49" s="1856"/>
      <c r="K49" s="1856"/>
      <c r="L49" s="1856"/>
      <c r="M49" s="1856"/>
      <c r="N49" s="1856"/>
      <c r="O49" s="1856"/>
      <c r="P49" s="1856"/>
      <c r="Q49" s="1856"/>
      <c r="R49" s="1856"/>
      <c r="S49" s="1856"/>
      <c r="T49" s="1856"/>
      <c r="U49" s="1856"/>
      <c r="V49" s="1865" t="s">
        <v>1150</v>
      </c>
      <c r="W49" s="1865"/>
      <c r="X49" s="1865"/>
      <c r="Y49" s="1851"/>
      <c r="Z49" s="1851"/>
      <c r="AA49" s="1851"/>
      <c r="AB49" s="1851"/>
      <c r="AC49" s="1851"/>
      <c r="AD49" s="1851"/>
      <c r="AE49" s="1851"/>
      <c r="AF49" s="1851"/>
      <c r="AG49" s="1851"/>
      <c r="AH49" s="1851"/>
      <c r="AI49" s="1851"/>
      <c r="AJ49" s="1851"/>
      <c r="AK49" s="1851"/>
      <c r="AL49" s="1851"/>
      <c r="AM49" s="1851"/>
      <c r="AN49" s="1851"/>
      <c r="AO49" s="1851"/>
      <c r="AP49" s="1851"/>
      <c r="AQ49" s="1851"/>
      <c r="AR49" s="1851"/>
      <c r="AS49" s="1851"/>
      <c r="AT49" s="1851"/>
      <c r="AU49" s="1851"/>
      <c r="AV49" s="1851"/>
      <c r="AW49" s="1851"/>
      <c r="AX49" s="1851"/>
      <c r="AY49" s="1851"/>
      <c r="AZ49" s="1851"/>
      <c r="BA49" s="1851"/>
      <c r="BB49" s="1851"/>
    </row>
    <row r="50" spans="1:54" x14ac:dyDescent="0.25">
      <c r="A50" s="1851" t="s">
        <v>1151</v>
      </c>
      <c r="B50" s="1851"/>
      <c r="C50" s="1856" t="s">
        <v>1152</v>
      </c>
      <c r="D50" s="1856"/>
      <c r="E50" s="1856"/>
      <c r="F50" s="1856"/>
      <c r="G50" s="1856"/>
      <c r="H50" s="1856"/>
      <c r="I50" s="1856"/>
      <c r="J50" s="1856"/>
      <c r="K50" s="1856"/>
      <c r="L50" s="1856"/>
      <c r="M50" s="1856"/>
      <c r="N50" s="1856"/>
      <c r="O50" s="1856"/>
      <c r="P50" s="1856"/>
      <c r="Q50" s="1856"/>
      <c r="R50" s="1856"/>
      <c r="S50" s="1856"/>
      <c r="T50" s="1856"/>
      <c r="U50" s="1856"/>
      <c r="V50" s="1865" t="s">
        <v>1153</v>
      </c>
      <c r="W50" s="1865"/>
      <c r="X50" s="1865"/>
      <c r="Y50" s="1857"/>
      <c r="Z50" s="1877"/>
      <c r="AA50" s="1877"/>
      <c r="AB50" s="1877"/>
      <c r="AC50" s="1859"/>
      <c r="AD50" s="1859"/>
      <c r="AE50" s="1857"/>
      <c r="AF50" s="1877"/>
      <c r="AG50" s="1877"/>
      <c r="AH50" s="1877"/>
      <c r="AI50" s="1859"/>
      <c r="AJ50" s="1859"/>
      <c r="AK50" s="1857"/>
      <c r="AL50" s="1877"/>
      <c r="AM50" s="1877"/>
      <c r="AN50" s="1877"/>
      <c r="AO50" s="1859"/>
      <c r="AP50" s="1859"/>
      <c r="AQ50" s="1857"/>
      <c r="AR50" s="1877"/>
      <c r="AS50" s="1877"/>
      <c r="AT50" s="1877"/>
      <c r="AU50" s="1859"/>
      <c r="AV50" s="1859"/>
      <c r="AW50" s="1857"/>
      <c r="AX50" s="1877"/>
      <c r="AY50" s="1877"/>
      <c r="AZ50" s="1877"/>
      <c r="BA50" s="1859"/>
      <c r="BB50" s="1859"/>
    </row>
    <row r="51" spans="1:54" x14ac:dyDescent="0.25">
      <c r="A51" s="1851" t="s">
        <v>1154</v>
      </c>
      <c r="B51" s="1851"/>
      <c r="C51" s="1868" t="s">
        <v>977</v>
      </c>
      <c r="D51" s="1868"/>
      <c r="E51" s="1868"/>
      <c r="F51" s="1868"/>
      <c r="G51" s="1868"/>
      <c r="H51" s="1868"/>
      <c r="I51" s="1868"/>
      <c r="J51" s="1868"/>
      <c r="K51" s="1868"/>
      <c r="L51" s="1868"/>
      <c r="M51" s="1868"/>
      <c r="N51" s="1868"/>
      <c r="O51" s="1868"/>
      <c r="P51" s="1868"/>
      <c r="Q51" s="1868"/>
      <c r="R51" s="1868"/>
      <c r="S51" s="1868"/>
      <c r="T51" s="1868"/>
      <c r="U51" s="1868"/>
      <c r="V51" s="1865" t="s">
        <v>1153</v>
      </c>
      <c r="W51" s="1865"/>
      <c r="X51" s="1865"/>
      <c r="Y51" s="1851"/>
      <c r="Z51" s="1851"/>
      <c r="AA51" s="1851"/>
      <c r="AB51" s="1851"/>
      <c r="AC51" s="1851"/>
      <c r="AD51" s="1851"/>
      <c r="AE51" s="1851"/>
      <c r="AF51" s="1851"/>
      <c r="AG51" s="1851"/>
      <c r="AH51" s="1851"/>
      <c r="AI51" s="1851"/>
      <c r="AJ51" s="1851"/>
      <c r="AK51" s="1851"/>
      <c r="AL51" s="1851"/>
      <c r="AM51" s="1851"/>
      <c r="AN51" s="1851"/>
      <c r="AO51" s="1851"/>
      <c r="AP51" s="1851"/>
      <c r="AQ51" s="1851"/>
      <c r="AR51" s="1851"/>
      <c r="AS51" s="1851"/>
      <c r="AT51" s="1851"/>
      <c r="AU51" s="1851"/>
      <c r="AV51" s="1851"/>
      <c r="AW51" s="1851"/>
      <c r="AX51" s="1851"/>
      <c r="AY51" s="1851"/>
      <c r="AZ51" s="1851"/>
      <c r="BA51" s="1851"/>
      <c r="BB51" s="1851"/>
    </row>
    <row r="52" spans="1:54" x14ac:dyDescent="0.25">
      <c r="A52" s="1851" t="s">
        <v>1155</v>
      </c>
      <c r="B52" s="1851"/>
      <c r="C52" s="1868" t="s">
        <v>978</v>
      </c>
      <c r="D52" s="1868"/>
      <c r="E52" s="1868"/>
      <c r="F52" s="1868"/>
      <c r="G52" s="1868"/>
      <c r="H52" s="1868"/>
      <c r="I52" s="1868"/>
      <c r="J52" s="1868"/>
      <c r="K52" s="1868"/>
      <c r="L52" s="1868"/>
      <c r="M52" s="1868"/>
      <c r="N52" s="1868"/>
      <c r="O52" s="1868"/>
      <c r="P52" s="1868"/>
      <c r="Q52" s="1868"/>
      <c r="R52" s="1868"/>
      <c r="S52" s="1868"/>
      <c r="T52" s="1868"/>
      <c r="U52" s="1868"/>
      <c r="V52" s="1865" t="s">
        <v>1153</v>
      </c>
      <c r="W52" s="1865"/>
      <c r="X52" s="1865"/>
      <c r="Y52" s="1851"/>
      <c r="Z52" s="1851"/>
      <c r="AA52" s="1851"/>
      <c r="AB52" s="1851"/>
      <c r="AC52" s="1851"/>
      <c r="AD52" s="1851"/>
      <c r="AE52" s="1851"/>
      <c r="AF52" s="1851"/>
      <c r="AG52" s="1851"/>
      <c r="AH52" s="1851"/>
      <c r="AI52" s="1851"/>
      <c r="AJ52" s="1851"/>
      <c r="AK52" s="1851"/>
      <c r="AL52" s="1851"/>
      <c r="AM52" s="1851"/>
      <c r="AN52" s="1851"/>
      <c r="AO52" s="1851"/>
      <c r="AP52" s="1851"/>
      <c r="AQ52" s="1851"/>
      <c r="AR52" s="1851"/>
      <c r="AS52" s="1851"/>
      <c r="AT52" s="1851"/>
      <c r="AU52" s="1851"/>
      <c r="AV52" s="1851"/>
      <c r="AW52" s="1851"/>
      <c r="AX52" s="1851"/>
      <c r="AY52" s="1851"/>
      <c r="AZ52" s="1851"/>
      <c r="BA52" s="1851"/>
      <c r="BB52" s="1851"/>
    </row>
    <row r="53" spans="1:54" x14ac:dyDescent="0.25">
      <c r="A53" s="1851" t="s">
        <v>1156</v>
      </c>
      <c r="B53" s="1851"/>
      <c r="C53" s="1868" t="s">
        <v>979</v>
      </c>
      <c r="D53" s="1868"/>
      <c r="E53" s="1868"/>
      <c r="F53" s="1868"/>
      <c r="G53" s="1868"/>
      <c r="H53" s="1868"/>
      <c r="I53" s="1868"/>
      <c r="J53" s="1868"/>
      <c r="K53" s="1868"/>
      <c r="L53" s="1868"/>
      <c r="M53" s="1868"/>
      <c r="N53" s="1868"/>
      <c r="O53" s="1868"/>
      <c r="P53" s="1868"/>
      <c r="Q53" s="1868"/>
      <c r="R53" s="1868"/>
      <c r="S53" s="1868"/>
      <c r="T53" s="1868"/>
      <c r="U53" s="1868"/>
      <c r="V53" s="1865" t="s">
        <v>1153</v>
      </c>
      <c r="W53" s="1865"/>
      <c r="X53" s="1865"/>
      <c r="Y53" s="1851"/>
      <c r="Z53" s="1851"/>
      <c r="AA53" s="1851"/>
      <c r="AB53" s="1851"/>
      <c r="AC53" s="1851"/>
      <c r="AD53" s="1851"/>
      <c r="AE53" s="1851"/>
      <c r="AF53" s="1851"/>
      <c r="AG53" s="1851"/>
      <c r="AH53" s="1851"/>
      <c r="AI53" s="1851"/>
      <c r="AJ53" s="1851"/>
      <c r="AK53" s="1851"/>
      <c r="AL53" s="1851"/>
      <c r="AM53" s="1851"/>
      <c r="AN53" s="1851"/>
      <c r="AO53" s="1851"/>
      <c r="AP53" s="1851"/>
      <c r="AQ53" s="1851"/>
      <c r="AR53" s="1851"/>
      <c r="AS53" s="1851"/>
      <c r="AT53" s="1851"/>
      <c r="AU53" s="1851"/>
      <c r="AV53" s="1851"/>
      <c r="AW53" s="1851"/>
      <c r="AX53" s="1851"/>
      <c r="AY53" s="1851"/>
      <c r="AZ53" s="1851"/>
      <c r="BA53" s="1851"/>
      <c r="BB53" s="1851"/>
    </row>
    <row r="54" spans="1:54" x14ac:dyDescent="0.25">
      <c r="A54" s="1851" t="s">
        <v>1157</v>
      </c>
      <c r="B54" s="1851"/>
      <c r="C54" s="1868" t="s">
        <v>980</v>
      </c>
      <c r="D54" s="1868"/>
      <c r="E54" s="1868"/>
      <c r="F54" s="1868"/>
      <c r="G54" s="1868"/>
      <c r="H54" s="1868"/>
      <c r="I54" s="1868"/>
      <c r="J54" s="1868"/>
      <c r="K54" s="1868"/>
      <c r="L54" s="1868"/>
      <c r="M54" s="1868"/>
      <c r="N54" s="1868"/>
      <c r="O54" s="1868"/>
      <c r="P54" s="1868"/>
      <c r="Q54" s="1868"/>
      <c r="R54" s="1868"/>
      <c r="S54" s="1868"/>
      <c r="T54" s="1868"/>
      <c r="U54" s="1868"/>
      <c r="V54" s="1865" t="s">
        <v>1153</v>
      </c>
      <c r="W54" s="1865"/>
      <c r="X54" s="1865"/>
      <c r="Y54" s="1851"/>
      <c r="Z54" s="1851"/>
      <c r="AA54" s="1851"/>
      <c r="AB54" s="1851"/>
      <c r="AC54" s="1851"/>
      <c r="AD54" s="1851"/>
      <c r="AE54" s="1851"/>
      <c r="AF54" s="1851"/>
      <c r="AG54" s="1851"/>
      <c r="AH54" s="1851"/>
      <c r="AI54" s="1851"/>
      <c r="AJ54" s="1851"/>
      <c r="AK54" s="1851"/>
      <c r="AL54" s="1851"/>
      <c r="AM54" s="1851"/>
      <c r="AN54" s="1851"/>
      <c r="AO54" s="1851"/>
      <c r="AP54" s="1851"/>
      <c r="AQ54" s="1851"/>
      <c r="AR54" s="1851"/>
      <c r="AS54" s="1851"/>
      <c r="AT54" s="1851"/>
      <c r="AU54" s="1851"/>
      <c r="AV54" s="1851"/>
      <c r="AW54" s="1851"/>
      <c r="AX54" s="1851"/>
      <c r="AY54" s="1851"/>
      <c r="AZ54" s="1851"/>
      <c r="BA54" s="1851"/>
      <c r="BB54" s="1851"/>
    </row>
    <row r="55" spans="1:54" x14ac:dyDescent="0.25">
      <c r="A55" s="1851" t="s">
        <v>1158</v>
      </c>
      <c r="B55" s="1851"/>
      <c r="C55" s="1868" t="s">
        <v>981</v>
      </c>
      <c r="D55" s="1868"/>
      <c r="E55" s="1868"/>
      <c r="F55" s="1868"/>
      <c r="G55" s="1868"/>
      <c r="H55" s="1868"/>
      <c r="I55" s="1868"/>
      <c r="J55" s="1868"/>
      <c r="K55" s="1868"/>
      <c r="L55" s="1868"/>
      <c r="M55" s="1868"/>
      <c r="N55" s="1868"/>
      <c r="O55" s="1868"/>
      <c r="P55" s="1868"/>
      <c r="Q55" s="1868"/>
      <c r="R55" s="1868"/>
      <c r="S55" s="1868"/>
      <c r="T55" s="1868"/>
      <c r="U55" s="1868"/>
      <c r="V55" s="1865" t="s">
        <v>1153</v>
      </c>
      <c r="W55" s="1865"/>
      <c r="X55" s="1865"/>
      <c r="Y55" s="1851"/>
      <c r="Z55" s="1851"/>
      <c r="AA55" s="1851"/>
      <c r="AB55" s="1851"/>
      <c r="AC55" s="1851"/>
      <c r="AD55" s="1851"/>
      <c r="AE55" s="1851"/>
      <c r="AF55" s="1851"/>
      <c r="AG55" s="1851"/>
      <c r="AH55" s="1851"/>
      <c r="AI55" s="1851"/>
      <c r="AJ55" s="1851"/>
      <c r="AK55" s="1851"/>
      <c r="AL55" s="1851"/>
      <c r="AM55" s="1851"/>
      <c r="AN55" s="1851"/>
      <c r="AO55" s="1851"/>
      <c r="AP55" s="1851"/>
      <c r="AQ55" s="1851"/>
      <c r="AR55" s="1851"/>
      <c r="AS55" s="1851"/>
      <c r="AT55" s="1851"/>
      <c r="AU55" s="1851"/>
      <c r="AV55" s="1851"/>
      <c r="AW55" s="1851"/>
      <c r="AX55" s="1851"/>
      <c r="AY55" s="1851"/>
      <c r="AZ55" s="1851"/>
      <c r="BA55" s="1851"/>
      <c r="BB55" s="1851"/>
    </row>
    <row r="56" spans="1:54" x14ac:dyDescent="0.25">
      <c r="A56" s="1851" t="s">
        <v>1159</v>
      </c>
      <c r="B56" s="1851"/>
      <c r="C56" s="1868" t="s">
        <v>982</v>
      </c>
      <c r="D56" s="1868"/>
      <c r="E56" s="1868"/>
      <c r="F56" s="1868"/>
      <c r="G56" s="1868"/>
      <c r="H56" s="1868"/>
      <c r="I56" s="1868"/>
      <c r="J56" s="1868"/>
      <c r="K56" s="1868"/>
      <c r="L56" s="1868"/>
      <c r="M56" s="1868"/>
      <c r="N56" s="1868"/>
      <c r="O56" s="1868"/>
      <c r="P56" s="1868"/>
      <c r="Q56" s="1868"/>
      <c r="R56" s="1868"/>
      <c r="S56" s="1868"/>
      <c r="T56" s="1868"/>
      <c r="U56" s="1868"/>
      <c r="V56" s="1865" t="s">
        <v>1153</v>
      </c>
      <c r="W56" s="1865"/>
      <c r="X56" s="1865"/>
      <c r="Y56" s="1851"/>
      <c r="Z56" s="1851"/>
      <c r="AA56" s="1851"/>
      <c r="AB56" s="1851"/>
      <c r="AC56" s="1851"/>
      <c r="AD56" s="1851"/>
      <c r="AE56" s="1851"/>
      <c r="AF56" s="1851"/>
      <c r="AG56" s="1851"/>
      <c r="AH56" s="1851"/>
      <c r="AI56" s="1851"/>
      <c r="AJ56" s="1851"/>
      <c r="AK56" s="1851"/>
      <c r="AL56" s="1851"/>
      <c r="AM56" s="1851"/>
      <c r="AN56" s="1851"/>
      <c r="AO56" s="1851"/>
      <c r="AP56" s="1851"/>
      <c r="AQ56" s="1851"/>
      <c r="AR56" s="1851"/>
      <c r="AS56" s="1851"/>
      <c r="AT56" s="1851"/>
      <c r="AU56" s="1851"/>
      <c r="AV56" s="1851"/>
      <c r="AW56" s="1851"/>
      <c r="AX56" s="1851"/>
      <c r="AY56" s="1851"/>
      <c r="AZ56" s="1851"/>
      <c r="BA56" s="1851"/>
      <c r="BB56" s="1851"/>
    </row>
    <row r="57" spans="1:54" x14ac:dyDescent="0.25">
      <c r="A57" s="1851" t="s">
        <v>1160</v>
      </c>
      <c r="B57" s="1851"/>
      <c r="C57" s="1868" t="s">
        <v>983</v>
      </c>
      <c r="D57" s="1868"/>
      <c r="E57" s="1868"/>
      <c r="F57" s="1868"/>
      <c r="G57" s="1868"/>
      <c r="H57" s="1868"/>
      <c r="I57" s="1868"/>
      <c r="J57" s="1868"/>
      <c r="K57" s="1868"/>
      <c r="L57" s="1868"/>
      <c r="M57" s="1868"/>
      <c r="N57" s="1868"/>
      <c r="O57" s="1868"/>
      <c r="P57" s="1868"/>
      <c r="Q57" s="1868"/>
      <c r="R57" s="1868"/>
      <c r="S57" s="1868"/>
      <c r="T57" s="1868"/>
      <c r="U57" s="1868"/>
      <c r="V57" s="1865" t="s">
        <v>1153</v>
      </c>
      <c r="W57" s="1865"/>
      <c r="X57" s="1865"/>
      <c r="Y57" s="1851"/>
      <c r="Z57" s="1851"/>
      <c r="AA57" s="1851"/>
      <c r="AB57" s="1851"/>
      <c r="AC57" s="1851"/>
      <c r="AD57" s="1851"/>
      <c r="AE57" s="1851"/>
      <c r="AF57" s="1851"/>
      <c r="AG57" s="1851"/>
      <c r="AH57" s="1851"/>
      <c r="AI57" s="1851"/>
      <c r="AJ57" s="1851"/>
      <c r="AK57" s="1851"/>
      <c r="AL57" s="1851"/>
      <c r="AM57" s="1851"/>
      <c r="AN57" s="1851"/>
      <c r="AO57" s="1851"/>
      <c r="AP57" s="1851"/>
      <c r="AQ57" s="1851"/>
      <c r="AR57" s="1851"/>
      <c r="AS57" s="1851"/>
      <c r="AT57" s="1851"/>
      <c r="AU57" s="1851"/>
      <c r="AV57" s="1851"/>
      <c r="AW57" s="1851"/>
      <c r="AX57" s="1851"/>
      <c r="AY57" s="1851"/>
      <c r="AZ57" s="1851"/>
      <c r="BA57" s="1851"/>
      <c r="BB57" s="1851"/>
    </row>
    <row r="58" spans="1:54" x14ac:dyDescent="0.25">
      <c r="A58" s="1851" t="s">
        <v>1161</v>
      </c>
      <c r="B58" s="1851"/>
      <c r="C58" s="1868" t="s">
        <v>984</v>
      </c>
      <c r="D58" s="1868"/>
      <c r="E58" s="1868"/>
      <c r="F58" s="1868"/>
      <c r="G58" s="1868"/>
      <c r="H58" s="1868"/>
      <c r="I58" s="1868"/>
      <c r="J58" s="1868"/>
      <c r="K58" s="1868"/>
      <c r="L58" s="1868"/>
      <c r="M58" s="1868"/>
      <c r="N58" s="1868"/>
      <c r="O58" s="1868"/>
      <c r="P58" s="1868"/>
      <c r="Q58" s="1868"/>
      <c r="R58" s="1868"/>
      <c r="S58" s="1868"/>
      <c r="T58" s="1868"/>
      <c r="U58" s="1868"/>
      <c r="V58" s="1865" t="s">
        <v>1153</v>
      </c>
      <c r="W58" s="1865"/>
      <c r="X58" s="1865"/>
      <c r="Y58" s="1851"/>
      <c r="Z58" s="1851"/>
      <c r="AA58" s="1851"/>
      <c r="AB58" s="1851"/>
      <c r="AC58" s="1851"/>
      <c r="AD58" s="1851"/>
      <c r="AE58" s="1851"/>
      <c r="AF58" s="1851"/>
      <c r="AG58" s="1851"/>
      <c r="AH58" s="1851"/>
      <c r="AI58" s="1851"/>
      <c r="AJ58" s="1851"/>
      <c r="AK58" s="1851"/>
      <c r="AL58" s="1851"/>
      <c r="AM58" s="1851"/>
      <c r="AN58" s="1851"/>
      <c r="AO58" s="1851"/>
      <c r="AP58" s="1851"/>
      <c r="AQ58" s="1851"/>
      <c r="AR58" s="1851"/>
      <c r="AS58" s="1851"/>
      <c r="AT58" s="1851"/>
      <c r="AU58" s="1851"/>
      <c r="AV58" s="1851"/>
      <c r="AW58" s="1851"/>
      <c r="AX58" s="1851"/>
      <c r="AY58" s="1851"/>
      <c r="AZ58" s="1851"/>
      <c r="BA58" s="1851"/>
      <c r="BB58" s="1851"/>
    </row>
    <row r="59" spans="1:54" x14ac:dyDescent="0.25">
      <c r="A59" s="1851" t="s">
        <v>1162</v>
      </c>
      <c r="B59" s="1851"/>
      <c r="C59" s="1868" t="s">
        <v>985</v>
      </c>
      <c r="D59" s="1868"/>
      <c r="E59" s="1868"/>
      <c r="F59" s="1868"/>
      <c r="G59" s="1868"/>
      <c r="H59" s="1868"/>
      <c r="I59" s="1868"/>
      <c r="J59" s="1868"/>
      <c r="K59" s="1868"/>
      <c r="L59" s="1868"/>
      <c r="M59" s="1868"/>
      <c r="N59" s="1868"/>
      <c r="O59" s="1868"/>
      <c r="P59" s="1868"/>
      <c r="Q59" s="1868"/>
      <c r="R59" s="1868"/>
      <c r="S59" s="1868"/>
      <c r="T59" s="1868"/>
      <c r="U59" s="1868"/>
      <c r="V59" s="1865" t="s">
        <v>1153</v>
      </c>
      <c r="W59" s="1865"/>
      <c r="X59" s="1865"/>
      <c r="Y59" s="1851"/>
      <c r="Z59" s="1851"/>
      <c r="AA59" s="1851"/>
      <c r="AB59" s="1851"/>
      <c r="AC59" s="1851"/>
      <c r="AD59" s="1851"/>
      <c r="AE59" s="1851"/>
      <c r="AF59" s="1851"/>
      <c r="AG59" s="1851"/>
      <c r="AH59" s="1851"/>
      <c r="AI59" s="1851"/>
      <c r="AJ59" s="1851"/>
      <c r="AK59" s="1851"/>
      <c r="AL59" s="1851"/>
      <c r="AM59" s="1851"/>
      <c r="AN59" s="1851"/>
      <c r="AO59" s="1851"/>
      <c r="AP59" s="1851"/>
      <c r="AQ59" s="1851"/>
      <c r="AR59" s="1851"/>
      <c r="AS59" s="1851"/>
      <c r="AT59" s="1851"/>
      <c r="AU59" s="1851"/>
      <c r="AV59" s="1851"/>
      <c r="AW59" s="1851"/>
      <c r="AX59" s="1851"/>
      <c r="AY59" s="1851"/>
      <c r="AZ59" s="1851"/>
      <c r="BA59" s="1851"/>
      <c r="BB59" s="1851"/>
    </row>
    <row r="60" spans="1:54" x14ac:dyDescent="0.25">
      <c r="A60" s="1851" t="s">
        <v>1163</v>
      </c>
      <c r="B60" s="1851"/>
      <c r="C60" s="1868" t="s">
        <v>986</v>
      </c>
      <c r="D60" s="1868"/>
      <c r="E60" s="1868"/>
      <c r="F60" s="1868"/>
      <c r="G60" s="1868"/>
      <c r="H60" s="1868"/>
      <c r="I60" s="1868"/>
      <c r="J60" s="1868"/>
      <c r="K60" s="1868"/>
      <c r="L60" s="1868"/>
      <c r="M60" s="1868"/>
      <c r="N60" s="1868"/>
      <c r="O60" s="1868"/>
      <c r="P60" s="1868"/>
      <c r="Q60" s="1868"/>
      <c r="R60" s="1868"/>
      <c r="S60" s="1868"/>
      <c r="T60" s="1868"/>
      <c r="U60" s="1868"/>
      <c r="V60" s="1865" t="s">
        <v>1153</v>
      </c>
      <c r="W60" s="1865"/>
      <c r="X60" s="1865"/>
      <c r="Y60" s="1851"/>
      <c r="Z60" s="1851"/>
      <c r="AA60" s="1851"/>
      <c r="AB60" s="1851"/>
      <c r="AC60" s="1851"/>
      <c r="AD60" s="1851"/>
      <c r="AE60" s="1851"/>
      <c r="AF60" s="1851"/>
      <c r="AG60" s="1851"/>
      <c r="AH60" s="1851"/>
      <c r="AI60" s="1851"/>
      <c r="AJ60" s="1851"/>
      <c r="AK60" s="1851"/>
      <c r="AL60" s="1851"/>
      <c r="AM60" s="1851"/>
      <c r="AN60" s="1851"/>
      <c r="AO60" s="1851"/>
      <c r="AP60" s="1851"/>
      <c r="AQ60" s="1851"/>
      <c r="AR60" s="1851"/>
      <c r="AS60" s="1851"/>
      <c r="AT60" s="1851"/>
      <c r="AU60" s="1851"/>
      <c r="AV60" s="1851"/>
      <c r="AW60" s="1851"/>
      <c r="AX60" s="1851"/>
      <c r="AY60" s="1851"/>
      <c r="AZ60" s="1851"/>
      <c r="BA60" s="1851"/>
      <c r="BB60" s="1851"/>
    </row>
    <row r="61" spans="1:54" x14ac:dyDescent="0.25">
      <c r="A61" s="1851" t="s">
        <v>1164</v>
      </c>
      <c r="B61" s="1851"/>
      <c r="C61" s="1856" t="s">
        <v>1165</v>
      </c>
      <c r="D61" s="1856"/>
      <c r="E61" s="1856"/>
      <c r="F61" s="1856"/>
      <c r="G61" s="1856"/>
      <c r="H61" s="1856"/>
      <c r="I61" s="1856"/>
      <c r="J61" s="1856"/>
      <c r="K61" s="1856"/>
      <c r="L61" s="1856"/>
      <c r="M61" s="1856"/>
      <c r="N61" s="1856"/>
      <c r="O61" s="1856"/>
      <c r="P61" s="1856"/>
      <c r="Q61" s="1856"/>
      <c r="R61" s="1856"/>
      <c r="S61" s="1856"/>
      <c r="T61" s="1856"/>
      <c r="U61" s="1856"/>
      <c r="V61" s="1865" t="s">
        <v>1166</v>
      </c>
      <c r="W61" s="1865"/>
      <c r="X61" s="1865"/>
      <c r="Y61" s="1857"/>
      <c r="Z61" s="1877"/>
      <c r="AA61" s="1877"/>
      <c r="AB61" s="1877"/>
      <c r="AC61" s="1859"/>
      <c r="AD61" s="1859"/>
      <c r="AE61" s="1857"/>
      <c r="AF61" s="1877"/>
      <c r="AG61" s="1877"/>
      <c r="AH61" s="1877"/>
      <c r="AI61" s="1859"/>
      <c r="AJ61" s="1859"/>
      <c r="AK61" s="1857"/>
      <c r="AL61" s="1877"/>
      <c r="AM61" s="1877"/>
      <c r="AN61" s="1877"/>
      <c r="AO61" s="1859"/>
      <c r="AP61" s="1859"/>
      <c r="AQ61" s="1857"/>
      <c r="AR61" s="1877"/>
      <c r="AS61" s="1877"/>
      <c r="AT61" s="1877"/>
      <c r="AU61" s="1859"/>
      <c r="AV61" s="1859"/>
      <c r="AW61" s="1857"/>
      <c r="AX61" s="1877"/>
      <c r="AY61" s="1877"/>
      <c r="AZ61" s="1877"/>
      <c r="BA61" s="1859"/>
      <c r="BB61" s="1859"/>
    </row>
    <row r="62" spans="1:54" x14ac:dyDescent="0.25">
      <c r="A62" s="1851" t="s">
        <v>1167</v>
      </c>
      <c r="B62" s="1851"/>
      <c r="C62" s="1868" t="s">
        <v>977</v>
      </c>
      <c r="D62" s="1868"/>
      <c r="E62" s="1868"/>
      <c r="F62" s="1868"/>
      <c r="G62" s="1868"/>
      <c r="H62" s="1868"/>
      <c r="I62" s="1868"/>
      <c r="J62" s="1868"/>
      <c r="K62" s="1868"/>
      <c r="L62" s="1868"/>
      <c r="M62" s="1868"/>
      <c r="N62" s="1868"/>
      <c r="O62" s="1868"/>
      <c r="P62" s="1868"/>
      <c r="Q62" s="1868"/>
      <c r="R62" s="1868"/>
      <c r="S62" s="1868"/>
      <c r="T62" s="1868"/>
      <c r="U62" s="1868"/>
      <c r="V62" s="1865" t="s">
        <v>1166</v>
      </c>
      <c r="W62" s="1865"/>
      <c r="X62" s="1865"/>
      <c r="Y62" s="1851"/>
      <c r="Z62" s="1851"/>
      <c r="AA62" s="1851"/>
      <c r="AB62" s="1851"/>
      <c r="AC62" s="1851"/>
      <c r="AD62" s="1851"/>
      <c r="AE62" s="1851"/>
      <c r="AF62" s="1851"/>
      <c r="AG62" s="1851"/>
      <c r="AH62" s="1851"/>
      <c r="AI62" s="1851"/>
      <c r="AJ62" s="1851"/>
      <c r="AK62" s="1851"/>
      <c r="AL62" s="1851"/>
      <c r="AM62" s="1851"/>
      <c r="AN62" s="1851"/>
      <c r="AO62" s="1851"/>
      <c r="AP62" s="1851"/>
      <c r="AQ62" s="1851"/>
      <c r="AR62" s="1851"/>
      <c r="AS62" s="1851"/>
      <c r="AT62" s="1851"/>
      <c r="AU62" s="1851"/>
      <c r="AV62" s="1851"/>
      <c r="AW62" s="1851"/>
      <c r="AX62" s="1851"/>
      <c r="AY62" s="1851"/>
      <c r="AZ62" s="1851"/>
      <c r="BA62" s="1851"/>
      <c r="BB62" s="1851"/>
    </row>
    <row r="63" spans="1:54" x14ac:dyDescent="0.25">
      <c r="A63" s="1851" t="s">
        <v>1168</v>
      </c>
      <c r="B63" s="1851"/>
      <c r="C63" s="1868" t="s">
        <v>978</v>
      </c>
      <c r="D63" s="1868"/>
      <c r="E63" s="1868"/>
      <c r="F63" s="1868"/>
      <c r="G63" s="1868"/>
      <c r="H63" s="1868"/>
      <c r="I63" s="1868"/>
      <c r="J63" s="1868"/>
      <c r="K63" s="1868"/>
      <c r="L63" s="1868"/>
      <c r="M63" s="1868"/>
      <c r="N63" s="1868"/>
      <c r="O63" s="1868"/>
      <c r="P63" s="1868"/>
      <c r="Q63" s="1868"/>
      <c r="R63" s="1868"/>
      <c r="S63" s="1868"/>
      <c r="T63" s="1868"/>
      <c r="U63" s="1868"/>
      <c r="V63" s="1865" t="s">
        <v>1166</v>
      </c>
      <c r="W63" s="1865"/>
      <c r="X63" s="1865"/>
      <c r="Y63" s="1851"/>
      <c r="Z63" s="1851"/>
      <c r="AA63" s="1851"/>
      <c r="AB63" s="1851"/>
      <c r="AC63" s="1851"/>
      <c r="AD63" s="1851"/>
      <c r="AE63" s="1851"/>
      <c r="AF63" s="1851"/>
      <c r="AG63" s="1851"/>
      <c r="AH63" s="1851"/>
      <c r="AI63" s="1851"/>
      <c r="AJ63" s="1851"/>
      <c r="AK63" s="1851"/>
      <c r="AL63" s="1851"/>
      <c r="AM63" s="1851"/>
      <c r="AN63" s="1851"/>
      <c r="AO63" s="1851"/>
      <c r="AP63" s="1851"/>
      <c r="AQ63" s="1851"/>
      <c r="AR63" s="1851"/>
      <c r="AS63" s="1851"/>
      <c r="AT63" s="1851"/>
      <c r="AU63" s="1851"/>
      <c r="AV63" s="1851"/>
      <c r="AW63" s="1851"/>
      <c r="AX63" s="1851"/>
      <c r="AY63" s="1851"/>
      <c r="AZ63" s="1851"/>
      <c r="BA63" s="1851"/>
      <c r="BB63" s="1851"/>
    </row>
    <row r="64" spans="1:54" x14ac:dyDescent="0.25">
      <c r="A64" s="1851" t="s">
        <v>1169</v>
      </c>
      <c r="B64" s="1851"/>
      <c r="C64" s="1868" t="s">
        <v>979</v>
      </c>
      <c r="D64" s="1868"/>
      <c r="E64" s="1868"/>
      <c r="F64" s="1868"/>
      <c r="G64" s="1868"/>
      <c r="H64" s="1868"/>
      <c r="I64" s="1868"/>
      <c r="J64" s="1868"/>
      <c r="K64" s="1868"/>
      <c r="L64" s="1868"/>
      <c r="M64" s="1868"/>
      <c r="N64" s="1868"/>
      <c r="O64" s="1868"/>
      <c r="P64" s="1868"/>
      <c r="Q64" s="1868"/>
      <c r="R64" s="1868"/>
      <c r="S64" s="1868"/>
      <c r="T64" s="1868"/>
      <c r="U64" s="1868"/>
      <c r="V64" s="1865" t="s">
        <v>1166</v>
      </c>
      <c r="W64" s="1865"/>
      <c r="X64" s="1865"/>
      <c r="Y64" s="1851"/>
      <c r="Z64" s="1851"/>
      <c r="AA64" s="1851"/>
      <c r="AB64" s="1851"/>
      <c r="AC64" s="1851"/>
      <c r="AD64" s="1851"/>
      <c r="AE64" s="1851"/>
      <c r="AF64" s="1851"/>
      <c r="AG64" s="1851"/>
      <c r="AH64" s="1851"/>
      <c r="AI64" s="1851"/>
      <c r="AJ64" s="1851"/>
      <c r="AK64" s="1851"/>
      <c r="AL64" s="1851"/>
      <c r="AM64" s="1851"/>
      <c r="AN64" s="1851"/>
      <c r="AO64" s="1851"/>
      <c r="AP64" s="1851"/>
      <c r="AQ64" s="1851"/>
      <c r="AR64" s="1851"/>
      <c r="AS64" s="1851"/>
      <c r="AT64" s="1851"/>
      <c r="AU64" s="1851"/>
      <c r="AV64" s="1851"/>
      <c r="AW64" s="1851"/>
      <c r="AX64" s="1851"/>
      <c r="AY64" s="1851"/>
      <c r="AZ64" s="1851"/>
      <c r="BA64" s="1851"/>
      <c r="BB64" s="1851"/>
    </row>
    <row r="65" spans="1:54" x14ac:dyDescent="0.25">
      <c r="A65" s="1851" t="s">
        <v>1170</v>
      </c>
      <c r="B65" s="1851"/>
      <c r="C65" s="1868" t="s">
        <v>980</v>
      </c>
      <c r="D65" s="1868"/>
      <c r="E65" s="1868"/>
      <c r="F65" s="1868"/>
      <c r="G65" s="1868"/>
      <c r="H65" s="1868"/>
      <c r="I65" s="1868"/>
      <c r="J65" s="1868"/>
      <c r="K65" s="1868"/>
      <c r="L65" s="1868"/>
      <c r="M65" s="1868"/>
      <c r="N65" s="1868"/>
      <c r="O65" s="1868"/>
      <c r="P65" s="1868"/>
      <c r="Q65" s="1868"/>
      <c r="R65" s="1868"/>
      <c r="S65" s="1868"/>
      <c r="T65" s="1868"/>
      <c r="U65" s="1868"/>
      <c r="V65" s="1865" t="s">
        <v>1166</v>
      </c>
      <c r="W65" s="1865"/>
      <c r="X65" s="1865"/>
      <c r="Y65" s="1851"/>
      <c r="Z65" s="1851"/>
      <c r="AA65" s="1851"/>
      <c r="AB65" s="1851"/>
      <c r="AC65" s="1851"/>
      <c r="AD65" s="1851"/>
      <c r="AE65" s="1851"/>
      <c r="AF65" s="1851"/>
      <c r="AG65" s="1851"/>
      <c r="AH65" s="1851"/>
      <c r="AI65" s="1851"/>
      <c r="AJ65" s="1851"/>
      <c r="AK65" s="1851"/>
      <c r="AL65" s="1851"/>
      <c r="AM65" s="1851"/>
      <c r="AN65" s="1851"/>
      <c r="AO65" s="1851"/>
      <c r="AP65" s="1851"/>
      <c r="AQ65" s="1851"/>
      <c r="AR65" s="1851"/>
      <c r="AS65" s="1851"/>
      <c r="AT65" s="1851"/>
      <c r="AU65" s="1851"/>
      <c r="AV65" s="1851"/>
      <c r="AW65" s="1851"/>
      <c r="AX65" s="1851"/>
      <c r="AY65" s="1851"/>
      <c r="AZ65" s="1851"/>
      <c r="BA65" s="1851"/>
      <c r="BB65" s="1851"/>
    </row>
    <row r="66" spans="1:54" x14ac:dyDescent="0.25">
      <c r="A66" s="1851" t="s">
        <v>1171</v>
      </c>
      <c r="B66" s="1851"/>
      <c r="C66" s="1868" t="s">
        <v>981</v>
      </c>
      <c r="D66" s="1868"/>
      <c r="E66" s="1868"/>
      <c r="F66" s="1868"/>
      <c r="G66" s="1868"/>
      <c r="H66" s="1868"/>
      <c r="I66" s="1868"/>
      <c r="J66" s="1868"/>
      <c r="K66" s="1868"/>
      <c r="L66" s="1868"/>
      <c r="M66" s="1868"/>
      <c r="N66" s="1868"/>
      <c r="O66" s="1868"/>
      <c r="P66" s="1868"/>
      <c r="Q66" s="1868"/>
      <c r="R66" s="1868"/>
      <c r="S66" s="1868"/>
      <c r="T66" s="1868"/>
      <c r="U66" s="1868"/>
      <c r="V66" s="1865" t="s">
        <v>1166</v>
      </c>
      <c r="W66" s="1865"/>
      <c r="X66" s="1865"/>
      <c r="Y66" s="1851"/>
      <c r="Z66" s="1851"/>
      <c r="AA66" s="1851"/>
      <c r="AB66" s="1851"/>
      <c r="AC66" s="1851"/>
      <c r="AD66" s="1851"/>
      <c r="AE66" s="1851"/>
      <c r="AF66" s="1851"/>
      <c r="AG66" s="1851"/>
      <c r="AH66" s="1851"/>
      <c r="AI66" s="1851"/>
      <c r="AJ66" s="1851"/>
      <c r="AK66" s="1851"/>
      <c r="AL66" s="1851"/>
      <c r="AM66" s="1851"/>
      <c r="AN66" s="1851"/>
      <c r="AO66" s="1851"/>
      <c r="AP66" s="1851"/>
      <c r="AQ66" s="1851"/>
      <c r="AR66" s="1851"/>
      <c r="AS66" s="1851"/>
      <c r="AT66" s="1851"/>
      <c r="AU66" s="1851"/>
      <c r="AV66" s="1851"/>
      <c r="AW66" s="1851"/>
      <c r="AX66" s="1851"/>
      <c r="AY66" s="1851"/>
      <c r="AZ66" s="1851"/>
      <c r="BA66" s="1851"/>
      <c r="BB66" s="1851"/>
    </row>
    <row r="67" spans="1:54" x14ac:dyDescent="0.25">
      <c r="A67" s="1851" t="s">
        <v>1172</v>
      </c>
      <c r="B67" s="1851"/>
      <c r="C67" s="1868" t="s">
        <v>982</v>
      </c>
      <c r="D67" s="1868"/>
      <c r="E67" s="1868"/>
      <c r="F67" s="1868"/>
      <c r="G67" s="1868"/>
      <c r="H67" s="1868"/>
      <c r="I67" s="1868"/>
      <c r="J67" s="1868"/>
      <c r="K67" s="1868"/>
      <c r="L67" s="1868"/>
      <c r="M67" s="1868"/>
      <c r="N67" s="1868"/>
      <c r="O67" s="1868"/>
      <c r="P67" s="1868"/>
      <c r="Q67" s="1868"/>
      <c r="R67" s="1868"/>
      <c r="S67" s="1868"/>
      <c r="T67" s="1868"/>
      <c r="U67" s="1868"/>
      <c r="V67" s="1865" t="s">
        <v>1166</v>
      </c>
      <c r="W67" s="1865"/>
      <c r="X67" s="1865"/>
      <c r="Y67" s="1851"/>
      <c r="Z67" s="1851"/>
      <c r="AA67" s="1851"/>
      <c r="AB67" s="1851"/>
      <c r="AC67" s="1851"/>
      <c r="AD67" s="1851"/>
      <c r="AE67" s="1851"/>
      <c r="AF67" s="1851"/>
      <c r="AG67" s="1851"/>
      <c r="AH67" s="1851"/>
      <c r="AI67" s="1851"/>
      <c r="AJ67" s="1851"/>
      <c r="AK67" s="1851"/>
      <c r="AL67" s="1851"/>
      <c r="AM67" s="1851"/>
      <c r="AN67" s="1851"/>
      <c r="AO67" s="1851"/>
      <c r="AP67" s="1851"/>
      <c r="AQ67" s="1851"/>
      <c r="AR67" s="1851"/>
      <c r="AS67" s="1851"/>
      <c r="AT67" s="1851"/>
      <c r="AU67" s="1851"/>
      <c r="AV67" s="1851"/>
      <c r="AW67" s="1851"/>
      <c r="AX67" s="1851"/>
      <c r="AY67" s="1851"/>
      <c r="AZ67" s="1851"/>
      <c r="BA67" s="1851"/>
      <c r="BB67" s="1851"/>
    </row>
    <row r="68" spans="1:54" x14ac:dyDescent="0.25">
      <c r="A68" s="1851" t="s">
        <v>1173</v>
      </c>
      <c r="B68" s="1851"/>
      <c r="C68" s="1868" t="s">
        <v>983</v>
      </c>
      <c r="D68" s="1868"/>
      <c r="E68" s="1868"/>
      <c r="F68" s="1868"/>
      <c r="G68" s="1868"/>
      <c r="H68" s="1868"/>
      <c r="I68" s="1868"/>
      <c r="J68" s="1868"/>
      <c r="K68" s="1868"/>
      <c r="L68" s="1868"/>
      <c r="M68" s="1868"/>
      <c r="N68" s="1868"/>
      <c r="O68" s="1868"/>
      <c r="P68" s="1868"/>
      <c r="Q68" s="1868"/>
      <c r="R68" s="1868"/>
      <c r="S68" s="1868"/>
      <c r="T68" s="1868"/>
      <c r="U68" s="1868"/>
      <c r="V68" s="1865" t="s">
        <v>1166</v>
      </c>
      <c r="W68" s="1865"/>
      <c r="X68" s="1865"/>
      <c r="Y68" s="1851"/>
      <c r="Z68" s="1851"/>
      <c r="AA68" s="1851"/>
      <c r="AB68" s="1851"/>
      <c r="AC68" s="1851"/>
      <c r="AD68" s="1851"/>
      <c r="AE68" s="1851"/>
      <c r="AF68" s="1851"/>
      <c r="AG68" s="1851"/>
      <c r="AH68" s="1851"/>
      <c r="AI68" s="1851"/>
      <c r="AJ68" s="1851"/>
      <c r="AK68" s="1851"/>
      <c r="AL68" s="1851"/>
      <c r="AM68" s="1851"/>
      <c r="AN68" s="1851"/>
      <c r="AO68" s="1851"/>
      <c r="AP68" s="1851"/>
      <c r="AQ68" s="1851"/>
      <c r="AR68" s="1851"/>
      <c r="AS68" s="1851"/>
      <c r="AT68" s="1851"/>
      <c r="AU68" s="1851"/>
      <c r="AV68" s="1851"/>
      <c r="AW68" s="1851"/>
      <c r="AX68" s="1851"/>
      <c r="AY68" s="1851"/>
      <c r="AZ68" s="1851"/>
      <c r="BA68" s="1851"/>
      <c r="BB68" s="1851"/>
    </row>
    <row r="69" spans="1:54" x14ac:dyDescent="0.25">
      <c r="A69" s="1851" t="s">
        <v>1174</v>
      </c>
      <c r="B69" s="1851"/>
      <c r="C69" s="1868" t="s">
        <v>984</v>
      </c>
      <c r="D69" s="1868"/>
      <c r="E69" s="1868"/>
      <c r="F69" s="1868"/>
      <c r="G69" s="1868"/>
      <c r="H69" s="1868"/>
      <c r="I69" s="1868"/>
      <c r="J69" s="1868"/>
      <c r="K69" s="1868"/>
      <c r="L69" s="1868"/>
      <c r="M69" s="1868"/>
      <c r="N69" s="1868"/>
      <c r="O69" s="1868"/>
      <c r="P69" s="1868"/>
      <c r="Q69" s="1868"/>
      <c r="R69" s="1868"/>
      <c r="S69" s="1868"/>
      <c r="T69" s="1868"/>
      <c r="U69" s="1868"/>
      <c r="V69" s="1865" t="s">
        <v>1166</v>
      </c>
      <c r="W69" s="1865"/>
      <c r="X69" s="1865"/>
      <c r="Y69" s="1851"/>
      <c r="Z69" s="1851"/>
      <c r="AA69" s="1851"/>
      <c r="AB69" s="1851"/>
      <c r="AC69" s="1851"/>
      <c r="AD69" s="1851"/>
      <c r="AE69" s="1851"/>
      <c r="AF69" s="1851"/>
      <c r="AG69" s="1851"/>
      <c r="AH69" s="1851"/>
      <c r="AI69" s="1851"/>
      <c r="AJ69" s="1851"/>
      <c r="AK69" s="1851"/>
      <c r="AL69" s="1851"/>
      <c r="AM69" s="1851"/>
      <c r="AN69" s="1851"/>
      <c r="AO69" s="1851"/>
      <c r="AP69" s="1851"/>
      <c r="AQ69" s="1851"/>
      <c r="AR69" s="1851"/>
      <c r="AS69" s="1851"/>
      <c r="AT69" s="1851"/>
      <c r="AU69" s="1851"/>
      <c r="AV69" s="1851"/>
      <c r="AW69" s="1851"/>
      <c r="AX69" s="1851"/>
      <c r="AY69" s="1851"/>
      <c r="AZ69" s="1851"/>
      <c r="BA69" s="1851"/>
      <c r="BB69" s="1851"/>
    </row>
    <row r="70" spans="1:54" x14ac:dyDescent="0.25">
      <c r="A70" s="1851" t="s">
        <v>1175</v>
      </c>
      <c r="B70" s="1851"/>
      <c r="C70" s="1868" t="s">
        <v>985</v>
      </c>
      <c r="D70" s="1868"/>
      <c r="E70" s="1868"/>
      <c r="F70" s="1868"/>
      <c r="G70" s="1868"/>
      <c r="H70" s="1868"/>
      <c r="I70" s="1868"/>
      <c r="J70" s="1868"/>
      <c r="K70" s="1868"/>
      <c r="L70" s="1868"/>
      <c r="M70" s="1868"/>
      <c r="N70" s="1868"/>
      <c r="O70" s="1868"/>
      <c r="P70" s="1868"/>
      <c r="Q70" s="1868"/>
      <c r="R70" s="1868"/>
      <c r="S70" s="1868"/>
      <c r="T70" s="1868"/>
      <c r="U70" s="1868"/>
      <c r="V70" s="1865" t="s">
        <v>1166</v>
      </c>
      <c r="W70" s="1865"/>
      <c r="X70" s="1865"/>
      <c r="Y70" s="1851"/>
      <c r="Z70" s="1851"/>
      <c r="AA70" s="1851"/>
      <c r="AB70" s="1851"/>
      <c r="AC70" s="1851"/>
      <c r="AD70" s="1851"/>
      <c r="AE70" s="1851"/>
      <c r="AF70" s="1851"/>
      <c r="AG70" s="1851"/>
      <c r="AH70" s="1851"/>
      <c r="AI70" s="1851"/>
      <c r="AJ70" s="1851"/>
      <c r="AK70" s="1851"/>
      <c r="AL70" s="1851"/>
      <c r="AM70" s="1851"/>
      <c r="AN70" s="1851"/>
      <c r="AO70" s="1851"/>
      <c r="AP70" s="1851"/>
      <c r="AQ70" s="1851"/>
      <c r="AR70" s="1851"/>
      <c r="AS70" s="1851"/>
      <c r="AT70" s="1851"/>
      <c r="AU70" s="1851"/>
      <c r="AV70" s="1851"/>
      <c r="AW70" s="1851"/>
      <c r="AX70" s="1851"/>
      <c r="AY70" s="1851"/>
      <c r="AZ70" s="1851"/>
      <c r="BA70" s="1851"/>
      <c r="BB70" s="1851"/>
    </row>
    <row r="71" spans="1:54" x14ac:dyDescent="0.25">
      <c r="A71" s="1851" t="s">
        <v>1176</v>
      </c>
      <c r="B71" s="1851"/>
      <c r="C71" s="1868" t="s">
        <v>986</v>
      </c>
      <c r="D71" s="1868"/>
      <c r="E71" s="1868"/>
      <c r="F71" s="1868"/>
      <c r="G71" s="1868"/>
      <c r="H71" s="1868"/>
      <c r="I71" s="1868"/>
      <c r="J71" s="1868"/>
      <c r="K71" s="1868"/>
      <c r="L71" s="1868"/>
      <c r="M71" s="1868"/>
      <c r="N71" s="1868"/>
      <c r="O71" s="1868"/>
      <c r="P71" s="1868"/>
      <c r="Q71" s="1868"/>
      <c r="R71" s="1868"/>
      <c r="S71" s="1868"/>
      <c r="T71" s="1868"/>
      <c r="U71" s="1868"/>
      <c r="V71" s="1865" t="s">
        <v>1166</v>
      </c>
      <c r="W71" s="1865"/>
      <c r="X71" s="1865"/>
      <c r="Y71" s="1851"/>
      <c r="Z71" s="1851"/>
      <c r="AA71" s="1851"/>
      <c r="AB71" s="1851"/>
      <c r="AC71" s="1851"/>
      <c r="AD71" s="1851"/>
      <c r="AE71" s="1851"/>
      <c r="AF71" s="1851"/>
      <c r="AG71" s="1851"/>
      <c r="AH71" s="1851"/>
      <c r="AI71" s="1851"/>
      <c r="AJ71" s="1851"/>
      <c r="AK71" s="1851"/>
      <c r="AL71" s="1851"/>
      <c r="AM71" s="1851"/>
      <c r="AN71" s="1851"/>
      <c r="AO71" s="1851"/>
      <c r="AP71" s="1851"/>
      <c r="AQ71" s="1851"/>
      <c r="AR71" s="1851"/>
      <c r="AS71" s="1851"/>
      <c r="AT71" s="1851"/>
      <c r="AU71" s="1851"/>
      <c r="AV71" s="1851"/>
      <c r="AW71" s="1851"/>
      <c r="AX71" s="1851"/>
      <c r="AY71" s="1851"/>
      <c r="AZ71" s="1851"/>
      <c r="BA71" s="1851"/>
      <c r="BB71" s="1851"/>
    </row>
    <row r="72" spans="1:54" x14ac:dyDescent="0.25">
      <c r="A72" s="1851" t="s">
        <v>1177</v>
      </c>
      <c r="B72" s="1851"/>
      <c r="C72" s="1856" t="s">
        <v>1178</v>
      </c>
      <c r="D72" s="1856"/>
      <c r="E72" s="1856"/>
      <c r="F72" s="1856"/>
      <c r="G72" s="1856"/>
      <c r="H72" s="1856"/>
      <c r="I72" s="1856"/>
      <c r="J72" s="1856"/>
      <c r="K72" s="1856"/>
      <c r="L72" s="1856"/>
      <c r="M72" s="1856"/>
      <c r="N72" s="1856"/>
      <c r="O72" s="1856"/>
      <c r="P72" s="1856"/>
      <c r="Q72" s="1856"/>
      <c r="R72" s="1856"/>
      <c r="S72" s="1856"/>
      <c r="T72" s="1856"/>
      <c r="U72" s="1856"/>
      <c r="V72" s="1865" t="s">
        <v>1179</v>
      </c>
      <c r="W72" s="1865"/>
      <c r="X72" s="1865"/>
      <c r="Y72" s="1857"/>
      <c r="Z72" s="1877"/>
      <c r="AA72" s="1877"/>
      <c r="AB72" s="1877"/>
      <c r="AC72" s="1859"/>
      <c r="AD72" s="1859"/>
      <c r="AE72" s="1857"/>
      <c r="AF72" s="1877"/>
      <c r="AG72" s="1877"/>
      <c r="AH72" s="1877"/>
      <c r="AI72" s="1859"/>
      <c r="AJ72" s="1859"/>
      <c r="AK72" s="1857"/>
      <c r="AL72" s="1877"/>
      <c r="AM72" s="1877"/>
      <c r="AN72" s="1877"/>
      <c r="AO72" s="1859"/>
      <c r="AP72" s="1859"/>
      <c r="AQ72" s="1857"/>
      <c r="AR72" s="1877"/>
      <c r="AS72" s="1877"/>
      <c r="AT72" s="1877"/>
      <c r="AU72" s="1859"/>
      <c r="AV72" s="1859"/>
      <c r="AW72" s="1857"/>
      <c r="AX72" s="1877"/>
      <c r="AY72" s="1877"/>
      <c r="AZ72" s="1877"/>
      <c r="BA72" s="1859"/>
      <c r="BB72" s="1859"/>
    </row>
    <row r="73" spans="1:54" x14ac:dyDescent="0.25">
      <c r="A73" s="1851" t="s">
        <v>1180</v>
      </c>
      <c r="B73" s="1851"/>
      <c r="C73" s="1868" t="s">
        <v>977</v>
      </c>
      <c r="D73" s="1868"/>
      <c r="E73" s="1868"/>
      <c r="F73" s="1868"/>
      <c r="G73" s="1868"/>
      <c r="H73" s="1868"/>
      <c r="I73" s="1868"/>
      <c r="J73" s="1868"/>
      <c r="K73" s="1868"/>
      <c r="L73" s="1868"/>
      <c r="M73" s="1868"/>
      <c r="N73" s="1868"/>
      <c r="O73" s="1868"/>
      <c r="P73" s="1868"/>
      <c r="Q73" s="1868"/>
      <c r="R73" s="1868"/>
      <c r="S73" s="1868"/>
      <c r="T73" s="1868"/>
      <c r="U73" s="1868"/>
      <c r="V73" s="1865" t="s">
        <v>1179</v>
      </c>
      <c r="W73" s="1865"/>
      <c r="X73" s="1865"/>
      <c r="Y73" s="1851"/>
      <c r="Z73" s="1851"/>
      <c r="AA73" s="1851"/>
      <c r="AB73" s="1851"/>
      <c r="AC73" s="1851"/>
      <c r="AD73" s="1851"/>
      <c r="AE73" s="1851"/>
      <c r="AF73" s="1851"/>
      <c r="AG73" s="1851"/>
      <c r="AH73" s="1851"/>
      <c r="AI73" s="1851"/>
      <c r="AJ73" s="1851"/>
      <c r="AK73" s="1851"/>
      <c r="AL73" s="1851"/>
      <c r="AM73" s="1851"/>
      <c r="AN73" s="1851"/>
      <c r="AO73" s="1851"/>
      <c r="AP73" s="1851"/>
      <c r="AQ73" s="1851"/>
      <c r="AR73" s="1851"/>
      <c r="AS73" s="1851"/>
      <c r="AT73" s="1851"/>
      <c r="AU73" s="1851"/>
      <c r="AV73" s="1851"/>
      <c r="AW73" s="1851"/>
      <c r="AX73" s="1851"/>
      <c r="AY73" s="1851"/>
      <c r="AZ73" s="1851"/>
      <c r="BA73" s="1851"/>
      <c r="BB73" s="1851"/>
    </row>
    <row r="74" spans="1:54" x14ac:dyDescent="0.25">
      <c r="A74" s="1851" t="s">
        <v>1181</v>
      </c>
      <c r="B74" s="1851"/>
      <c r="C74" s="1868" t="s">
        <v>978</v>
      </c>
      <c r="D74" s="1868"/>
      <c r="E74" s="1868"/>
      <c r="F74" s="1868"/>
      <c r="G74" s="1868"/>
      <c r="H74" s="1868"/>
      <c r="I74" s="1868"/>
      <c r="J74" s="1868"/>
      <c r="K74" s="1868"/>
      <c r="L74" s="1868"/>
      <c r="M74" s="1868"/>
      <c r="N74" s="1868"/>
      <c r="O74" s="1868"/>
      <c r="P74" s="1868"/>
      <c r="Q74" s="1868"/>
      <c r="R74" s="1868"/>
      <c r="S74" s="1868"/>
      <c r="T74" s="1868"/>
      <c r="U74" s="1868"/>
      <c r="V74" s="1865" t="s">
        <v>1179</v>
      </c>
      <c r="W74" s="1865"/>
      <c r="X74" s="1865"/>
      <c r="Y74" s="1851"/>
      <c r="Z74" s="1851"/>
      <c r="AA74" s="1851"/>
      <c r="AB74" s="1851"/>
      <c r="AC74" s="1851"/>
      <c r="AD74" s="1851"/>
      <c r="AE74" s="1851"/>
      <c r="AF74" s="1851"/>
      <c r="AG74" s="1851"/>
      <c r="AH74" s="1851"/>
      <c r="AI74" s="1851"/>
      <c r="AJ74" s="1851"/>
      <c r="AK74" s="1851"/>
      <c r="AL74" s="1851"/>
      <c r="AM74" s="1851"/>
      <c r="AN74" s="1851"/>
      <c r="AO74" s="1851"/>
      <c r="AP74" s="1851"/>
      <c r="AQ74" s="1851"/>
      <c r="AR74" s="1851"/>
      <c r="AS74" s="1851"/>
      <c r="AT74" s="1851"/>
      <c r="AU74" s="1851"/>
      <c r="AV74" s="1851"/>
      <c r="AW74" s="1851"/>
      <c r="AX74" s="1851"/>
      <c r="AY74" s="1851"/>
      <c r="AZ74" s="1851"/>
      <c r="BA74" s="1851"/>
      <c r="BB74" s="1851"/>
    </row>
    <row r="75" spans="1:54" x14ac:dyDescent="0.25">
      <c r="A75" s="1851" t="s">
        <v>1182</v>
      </c>
      <c r="B75" s="1851"/>
      <c r="C75" s="1868" t="s">
        <v>979</v>
      </c>
      <c r="D75" s="1868"/>
      <c r="E75" s="1868"/>
      <c r="F75" s="1868"/>
      <c r="G75" s="1868"/>
      <c r="H75" s="1868"/>
      <c r="I75" s="1868"/>
      <c r="J75" s="1868"/>
      <c r="K75" s="1868"/>
      <c r="L75" s="1868"/>
      <c r="M75" s="1868"/>
      <c r="N75" s="1868"/>
      <c r="O75" s="1868"/>
      <c r="P75" s="1868"/>
      <c r="Q75" s="1868"/>
      <c r="R75" s="1868"/>
      <c r="S75" s="1868"/>
      <c r="T75" s="1868"/>
      <c r="U75" s="1868"/>
      <c r="V75" s="1865" t="s">
        <v>1179</v>
      </c>
      <c r="W75" s="1865"/>
      <c r="X75" s="1865"/>
      <c r="Y75" s="1851"/>
      <c r="Z75" s="1851"/>
      <c r="AA75" s="1851"/>
      <c r="AB75" s="1851"/>
      <c r="AC75" s="1851"/>
      <c r="AD75" s="1851"/>
      <c r="AE75" s="1851"/>
      <c r="AF75" s="1851"/>
      <c r="AG75" s="1851"/>
      <c r="AH75" s="1851"/>
      <c r="AI75" s="1851"/>
      <c r="AJ75" s="1851"/>
      <c r="AK75" s="1851"/>
      <c r="AL75" s="1851"/>
      <c r="AM75" s="1851"/>
      <c r="AN75" s="1851"/>
      <c r="AO75" s="1851"/>
      <c r="AP75" s="1851"/>
      <c r="AQ75" s="1851"/>
      <c r="AR75" s="1851"/>
      <c r="AS75" s="1851"/>
      <c r="AT75" s="1851"/>
      <c r="AU75" s="1851"/>
      <c r="AV75" s="1851"/>
      <c r="AW75" s="1851"/>
      <c r="AX75" s="1851"/>
      <c r="AY75" s="1851"/>
      <c r="AZ75" s="1851"/>
      <c r="BA75" s="1851"/>
      <c r="BB75" s="1851"/>
    </row>
    <row r="76" spans="1:54" x14ac:dyDescent="0.25">
      <c r="A76" s="1851" t="s">
        <v>1183</v>
      </c>
      <c r="B76" s="1851"/>
      <c r="C76" s="1868" t="s">
        <v>980</v>
      </c>
      <c r="D76" s="1868"/>
      <c r="E76" s="1868"/>
      <c r="F76" s="1868"/>
      <c r="G76" s="1868"/>
      <c r="H76" s="1868"/>
      <c r="I76" s="1868"/>
      <c r="J76" s="1868"/>
      <c r="K76" s="1868"/>
      <c r="L76" s="1868"/>
      <c r="M76" s="1868"/>
      <c r="N76" s="1868"/>
      <c r="O76" s="1868"/>
      <c r="P76" s="1868"/>
      <c r="Q76" s="1868"/>
      <c r="R76" s="1868"/>
      <c r="S76" s="1868"/>
      <c r="T76" s="1868"/>
      <c r="U76" s="1868"/>
      <c r="V76" s="1865" t="s">
        <v>1179</v>
      </c>
      <c r="W76" s="1865"/>
      <c r="X76" s="1865"/>
      <c r="Y76" s="1851"/>
      <c r="Z76" s="1851"/>
      <c r="AA76" s="1851"/>
      <c r="AB76" s="1851"/>
      <c r="AC76" s="1851"/>
      <c r="AD76" s="1851"/>
      <c r="AE76" s="1851"/>
      <c r="AF76" s="1851"/>
      <c r="AG76" s="1851"/>
      <c r="AH76" s="1851"/>
      <c r="AI76" s="1851"/>
      <c r="AJ76" s="1851"/>
      <c r="AK76" s="1851"/>
      <c r="AL76" s="1851"/>
      <c r="AM76" s="1851"/>
      <c r="AN76" s="1851"/>
      <c r="AO76" s="1851"/>
      <c r="AP76" s="1851"/>
      <c r="AQ76" s="1851"/>
      <c r="AR76" s="1851"/>
      <c r="AS76" s="1851"/>
      <c r="AT76" s="1851"/>
      <c r="AU76" s="1851"/>
      <c r="AV76" s="1851"/>
      <c r="AW76" s="1851"/>
      <c r="AX76" s="1851"/>
      <c r="AY76" s="1851"/>
      <c r="AZ76" s="1851"/>
      <c r="BA76" s="1851"/>
      <c r="BB76" s="1851"/>
    </row>
    <row r="77" spans="1:54" x14ac:dyDescent="0.25">
      <c r="A77" s="1851" t="s">
        <v>1184</v>
      </c>
      <c r="B77" s="1851"/>
      <c r="C77" s="1868" t="s">
        <v>981</v>
      </c>
      <c r="D77" s="1868"/>
      <c r="E77" s="1868"/>
      <c r="F77" s="1868"/>
      <c r="G77" s="1868"/>
      <c r="H77" s="1868"/>
      <c r="I77" s="1868"/>
      <c r="J77" s="1868"/>
      <c r="K77" s="1868"/>
      <c r="L77" s="1868"/>
      <c r="M77" s="1868"/>
      <c r="N77" s="1868"/>
      <c r="O77" s="1868"/>
      <c r="P77" s="1868"/>
      <c r="Q77" s="1868"/>
      <c r="R77" s="1868"/>
      <c r="S77" s="1868"/>
      <c r="T77" s="1868"/>
      <c r="U77" s="1868"/>
      <c r="V77" s="1865" t="s">
        <v>1179</v>
      </c>
      <c r="W77" s="1865"/>
      <c r="X77" s="1865"/>
      <c r="Y77" s="1851"/>
      <c r="Z77" s="1851"/>
      <c r="AA77" s="1851"/>
      <c r="AB77" s="1851"/>
      <c r="AC77" s="1851"/>
      <c r="AD77" s="1851"/>
      <c r="AE77" s="1851"/>
      <c r="AF77" s="1851"/>
      <c r="AG77" s="1851"/>
      <c r="AH77" s="1851"/>
      <c r="AI77" s="1851"/>
      <c r="AJ77" s="1851"/>
      <c r="AK77" s="1851"/>
      <c r="AL77" s="1851"/>
      <c r="AM77" s="1851"/>
      <c r="AN77" s="1851"/>
      <c r="AO77" s="1851"/>
      <c r="AP77" s="1851"/>
      <c r="AQ77" s="1851"/>
      <c r="AR77" s="1851"/>
      <c r="AS77" s="1851"/>
      <c r="AT77" s="1851"/>
      <c r="AU77" s="1851"/>
      <c r="AV77" s="1851"/>
      <c r="AW77" s="1851"/>
      <c r="AX77" s="1851"/>
      <c r="AY77" s="1851"/>
      <c r="AZ77" s="1851"/>
      <c r="BA77" s="1851"/>
      <c r="BB77" s="1851"/>
    </row>
    <row r="78" spans="1:54" x14ac:dyDescent="0.25">
      <c r="A78" s="1851" t="s">
        <v>1185</v>
      </c>
      <c r="B78" s="1851"/>
      <c r="C78" s="1868" t="s">
        <v>982</v>
      </c>
      <c r="D78" s="1868"/>
      <c r="E78" s="1868"/>
      <c r="F78" s="1868"/>
      <c r="G78" s="1868"/>
      <c r="H78" s="1868"/>
      <c r="I78" s="1868"/>
      <c r="J78" s="1868"/>
      <c r="K78" s="1868"/>
      <c r="L78" s="1868"/>
      <c r="M78" s="1868"/>
      <c r="N78" s="1868"/>
      <c r="O78" s="1868"/>
      <c r="P78" s="1868"/>
      <c r="Q78" s="1868"/>
      <c r="R78" s="1868"/>
      <c r="S78" s="1868"/>
      <c r="T78" s="1868"/>
      <c r="U78" s="1868"/>
      <c r="V78" s="1865" t="s">
        <v>1179</v>
      </c>
      <c r="W78" s="1865"/>
      <c r="X78" s="1865"/>
      <c r="Y78" s="1851"/>
      <c r="Z78" s="1851"/>
      <c r="AA78" s="1851"/>
      <c r="AB78" s="1851"/>
      <c r="AC78" s="1851"/>
      <c r="AD78" s="1851"/>
      <c r="AE78" s="1851"/>
      <c r="AF78" s="1851"/>
      <c r="AG78" s="1851"/>
      <c r="AH78" s="1851"/>
      <c r="AI78" s="1851"/>
      <c r="AJ78" s="1851"/>
      <c r="AK78" s="1851"/>
      <c r="AL78" s="1851"/>
      <c r="AM78" s="1851"/>
      <c r="AN78" s="1851"/>
      <c r="AO78" s="1851"/>
      <c r="AP78" s="1851"/>
      <c r="AQ78" s="1851"/>
      <c r="AR78" s="1851"/>
      <c r="AS78" s="1851"/>
      <c r="AT78" s="1851"/>
      <c r="AU78" s="1851"/>
      <c r="AV78" s="1851"/>
      <c r="AW78" s="1851"/>
      <c r="AX78" s="1851"/>
      <c r="AY78" s="1851"/>
      <c r="AZ78" s="1851"/>
      <c r="BA78" s="1851"/>
      <c r="BB78" s="1851"/>
    </row>
    <row r="79" spans="1:54" x14ac:dyDescent="0.25">
      <c r="A79" s="1851" t="s">
        <v>1186</v>
      </c>
      <c r="B79" s="1851"/>
      <c r="C79" s="1868" t="s">
        <v>983</v>
      </c>
      <c r="D79" s="1868"/>
      <c r="E79" s="1868"/>
      <c r="F79" s="1868"/>
      <c r="G79" s="1868"/>
      <c r="H79" s="1868"/>
      <c r="I79" s="1868"/>
      <c r="J79" s="1868"/>
      <c r="K79" s="1868"/>
      <c r="L79" s="1868"/>
      <c r="M79" s="1868"/>
      <c r="N79" s="1868"/>
      <c r="O79" s="1868"/>
      <c r="P79" s="1868"/>
      <c r="Q79" s="1868"/>
      <c r="R79" s="1868"/>
      <c r="S79" s="1868"/>
      <c r="T79" s="1868"/>
      <c r="U79" s="1868"/>
      <c r="V79" s="1865" t="s">
        <v>1179</v>
      </c>
      <c r="W79" s="1865"/>
      <c r="X79" s="1865"/>
      <c r="Y79" s="1851"/>
      <c r="Z79" s="1851"/>
      <c r="AA79" s="1851"/>
      <c r="AB79" s="1851"/>
      <c r="AC79" s="1851"/>
      <c r="AD79" s="1851"/>
      <c r="AE79" s="1851"/>
      <c r="AF79" s="1851"/>
      <c r="AG79" s="1851"/>
      <c r="AH79" s="1851"/>
      <c r="AI79" s="1851"/>
      <c r="AJ79" s="1851"/>
      <c r="AK79" s="1851"/>
      <c r="AL79" s="1851"/>
      <c r="AM79" s="1851"/>
      <c r="AN79" s="1851"/>
      <c r="AO79" s="1851"/>
      <c r="AP79" s="1851"/>
      <c r="AQ79" s="1851"/>
      <c r="AR79" s="1851"/>
      <c r="AS79" s="1851"/>
      <c r="AT79" s="1851"/>
      <c r="AU79" s="1851"/>
      <c r="AV79" s="1851"/>
      <c r="AW79" s="1851"/>
      <c r="AX79" s="1851"/>
      <c r="AY79" s="1851"/>
      <c r="AZ79" s="1851"/>
      <c r="BA79" s="1851"/>
      <c r="BB79" s="1851"/>
    </row>
    <row r="80" spans="1:54" x14ac:dyDescent="0.25">
      <c r="A80" s="1851" t="s">
        <v>1187</v>
      </c>
      <c r="B80" s="1851"/>
      <c r="C80" s="1868" t="s">
        <v>984</v>
      </c>
      <c r="D80" s="1868"/>
      <c r="E80" s="1868"/>
      <c r="F80" s="1868"/>
      <c r="G80" s="1868"/>
      <c r="H80" s="1868"/>
      <c r="I80" s="1868"/>
      <c r="J80" s="1868"/>
      <c r="K80" s="1868"/>
      <c r="L80" s="1868"/>
      <c r="M80" s="1868"/>
      <c r="N80" s="1868"/>
      <c r="O80" s="1868"/>
      <c r="P80" s="1868"/>
      <c r="Q80" s="1868"/>
      <c r="R80" s="1868"/>
      <c r="S80" s="1868"/>
      <c r="T80" s="1868"/>
      <c r="U80" s="1868"/>
      <c r="V80" s="1865" t="s">
        <v>1179</v>
      </c>
      <c r="W80" s="1865"/>
      <c r="X80" s="1865"/>
      <c r="Y80" s="1851"/>
      <c r="Z80" s="1851"/>
      <c r="AA80" s="1851"/>
      <c r="AB80" s="1851"/>
      <c r="AC80" s="1851"/>
      <c r="AD80" s="1851"/>
      <c r="AE80" s="1851"/>
      <c r="AF80" s="1851"/>
      <c r="AG80" s="1851"/>
      <c r="AH80" s="1851"/>
      <c r="AI80" s="1851"/>
      <c r="AJ80" s="1851"/>
      <c r="AK80" s="1851"/>
      <c r="AL80" s="1851"/>
      <c r="AM80" s="1851"/>
      <c r="AN80" s="1851"/>
      <c r="AO80" s="1851"/>
      <c r="AP80" s="1851"/>
      <c r="AQ80" s="1851"/>
      <c r="AR80" s="1851"/>
      <c r="AS80" s="1851"/>
      <c r="AT80" s="1851"/>
      <c r="AU80" s="1851"/>
      <c r="AV80" s="1851"/>
      <c r="AW80" s="1851"/>
      <c r="AX80" s="1851"/>
      <c r="AY80" s="1851"/>
      <c r="AZ80" s="1851"/>
      <c r="BA80" s="1851"/>
      <c r="BB80" s="1851"/>
    </row>
    <row r="81" spans="1:54" x14ac:dyDescent="0.25">
      <c r="A81" s="1851" t="s">
        <v>1188</v>
      </c>
      <c r="B81" s="1851"/>
      <c r="C81" s="1868" t="s">
        <v>985</v>
      </c>
      <c r="D81" s="1868"/>
      <c r="E81" s="1868"/>
      <c r="F81" s="1868"/>
      <c r="G81" s="1868"/>
      <c r="H81" s="1868"/>
      <c r="I81" s="1868"/>
      <c r="J81" s="1868"/>
      <c r="K81" s="1868"/>
      <c r="L81" s="1868"/>
      <c r="M81" s="1868"/>
      <c r="N81" s="1868"/>
      <c r="O81" s="1868"/>
      <c r="P81" s="1868"/>
      <c r="Q81" s="1868"/>
      <c r="R81" s="1868"/>
      <c r="S81" s="1868"/>
      <c r="T81" s="1868"/>
      <c r="U81" s="1868"/>
      <c r="V81" s="1865" t="s">
        <v>1179</v>
      </c>
      <c r="W81" s="1865"/>
      <c r="X81" s="1865"/>
      <c r="Y81" s="1851"/>
      <c r="Z81" s="1851"/>
      <c r="AA81" s="1851"/>
      <c r="AB81" s="1851"/>
      <c r="AC81" s="1851"/>
      <c r="AD81" s="1851"/>
      <c r="AE81" s="1851"/>
      <c r="AF81" s="1851"/>
      <c r="AG81" s="1851"/>
      <c r="AH81" s="1851"/>
      <c r="AI81" s="1851"/>
      <c r="AJ81" s="1851"/>
      <c r="AK81" s="1851"/>
      <c r="AL81" s="1851"/>
      <c r="AM81" s="1851"/>
      <c r="AN81" s="1851"/>
      <c r="AO81" s="1851"/>
      <c r="AP81" s="1851"/>
      <c r="AQ81" s="1851"/>
      <c r="AR81" s="1851"/>
      <c r="AS81" s="1851"/>
      <c r="AT81" s="1851"/>
      <c r="AU81" s="1851"/>
      <c r="AV81" s="1851"/>
      <c r="AW81" s="1851"/>
      <c r="AX81" s="1851"/>
      <c r="AY81" s="1851"/>
      <c r="AZ81" s="1851"/>
      <c r="BA81" s="1851"/>
      <c r="BB81" s="1851"/>
    </row>
    <row r="82" spans="1:54" x14ac:dyDescent="0.25">
      <c r="A82" s="1851" t="s">
        <v>1189</v>
      </c>
      <c r="B82" s="1851"/>
      <c r="C82" s="1868" t="s">
        <v>986</v>
      </c>
      <c r="D82" s="1868"/>
      <c r="E82" s="1868"/>
      <c r="F82" s="1868"/>
      <c r="G82" s="1868"/>
      <c r="H82" s="1868"/>
      <c r="I82" s="1868"/>
      <c r="J82" s="1868"/>
      <c r="K82" s="1868"/>
      <c r="L82" s="1868"/>
      <c r="M82" s="1868"/>
      <c r="N82" s="1868"/>
      <c r="O82" s="1868"/>
      <c r="P82" s="1868"/>
      <c r="Q82" s="1868"/>
      <c r="R82" s="1868"/>
      <c r="S82" s="1868"/>
      <c r="T82" s="1868"/>
      <c r="U82" s="1868"/>
      <c r="V82" s="1865" t="s">
        <v>1179</v>
      </c>
      <c r="W82" s="1865"/>
      <c r="X82" s="1865"/>
      <c r="Y82" s="1851"/>
      <c r="Z82" s="1851"/>
      <c r="AA82" s="1851"/>
      <c r="AB82" s="1851"/>
      <c r="AC82" s="1851"/>
      <c r="AD82" s="1851"/>
      <c r="AE82" s="1851"/>
      <c r="AF82" s="1851"/>
      <c r="AG82" s="1851"/>
      <c r="AH82" s="1851"/>
      <c r="AI82" s="1851"/>
      <c r="AJ82" s="1851"/>
      <c r="AK82" s="1851"/>
      <c r="AL82" s="1851"/>
      <c r="AM82" s="1851"/>
      <c r="AN82" s="1851"/>
      <c r="AO82" s="1851"/>
      <c r="AP82" s="1851"/>
      <c r="AQ82" s="1851"/>
      <c r="AR82" s="1851"/>
      <c r="AS82" s="1851"/>
      <c r="AT82" s="1851"/>
      <c r="AU82" s="1851"/>
      <c r="AV82" s="1851"/>
      <c r="AW82" s="1851"/>
      <c r="AX82" s="1851"/>
      <c r="AY82" s="1851"/>
      <c r="AZ82" s="1851"/>
      <c r="BA82" s="1851"/>
      <c r="BB82" s="1851"/>
    </row>
    <row r="83" spans="1:54" x14ac:dyDescent="0.25">
      <c r="A83" s="1854" t="s">
        <v>1190</v>
      </c>
      <c r="B83" s="1854"/>
      <c r="C83" s="1855" t="s">
        <v>1191</v>
      </c>
      <c r="D83" s="1855"/>
      <c r="E83" s="1855"/>
      <c r="F83" s="1855"/>
      <c r="G83" s="1855"/>
      <c r="H83" s="1855"/>
      <c r="I83" s="1855"/>
      <c r="J83" s="1855"/>
      <c r="K83" s="1855"/>
      <c r="L83" s="1855"/>
      <c r="M83" s="1855"/>
      <c r="N83" s="1855"/>
      <c r="O83" s="1855"/>
      <c r="P83" s="1855"/>
      <c r="Q83" s="1855"/>
      <c r="R83" s="1855"/>
      <c r="S83" s="1855"/>
      <c r="T83" s="1855"/>
      <c r="U83" s="1855"/>
      <c r="V83" s="1864" t="s">
        <v>1192</v>
      </c>
      <c r="W83" s="1864"/>
      <c r="X83" s="1864"/>
      <c r="Y83" s="1857"/>
      <c r="Z83" s="1877"/>
      <c r="AA83" s="1877"/>
      <c r="AB83" s="1877"/>
      <c r="AC83" s="1859"/>
      <c r="AD83" s="1859"/>
      <c r="AE83" s="1857"/>
      <c r="AF83" s="1877"/>
      <c r="AG83" s="1877"/>
      <c r="AH83" s="1877"/>
      <c r="AI83" s="1859"/>
      <c r="AJ83" s="1859"/>
      <c r="AK83" s="1857"/>
      <c r="AL83" s="1877"/>
      <c r="AM83" s="1877"/>
      <c r="AN83" s="1877"/>
      <c r="AO83" s="1859"/>
      <c r="AP83" s="1859"/>
      <c r="AQ83" s="1857"/>
      <c r="AR83" s="1877"/>
      <c r="AS83" s="1877"/>
      <c r="AT83" s="1877"/>
      <c r="AU83" s="1859"/>
      <c r="AV83" s="1859"/>
      <c r="AW83" s="1857"/>
      <c r="AX83" s="1877"/>
      <c r="AY83" s="1877"/>
      <c r="AZ83" s="1877"/>
      <c r="BA83" s="1859"/>
      <c r="BB83" s="1859"/>
    </row>
    <row r="84" spans="1:54" x14ac:dyDescent="0.25">
      <c r="A84" s="1851" t="s">
        <v>1193</v>
      </c>
      <c r="B84" s="1851"/>
      <c r="C84" s="1856" t="s">
        <v>1194</v>
      </c>
      <c r="D84" s="1856"/>
      <c r="E84" s="1856"/>
      <c r="F84" s="1856"/>
      <c r="G84" s="1856"/>
      <c r="H84" s="1856"/>
      <c r="I84" s="1856"/>
      <c r="J84" s="1856"/>
      <c r="K84" s="1856"/>
      <c r="L84" s="1856"/>
      <c r="M84" s="1856"/>
      <c r="N84" s="1856"/>
      <c r="O84" s="1856"/>
      <c r="P84" s="1856"/>
      <c r="Q84" s="1856"/>
      <c r="R84" s="1856"/>
      <c r="S84" s="1856"/>
      <c r="T84" s="1856"/>
      <c r="U84" s="1856"/>
      <c r="V84" s="1865" t="s">
        <v>1195</v>
      </c>
      <c r="W84" s="1865"/>
      <c r="X84" s="1865"/>
      <c r="Y84" s="1857"/>
      <c r="Z84" s="1877"/>
      <c r="AA84" s="1877"/>
      <c r="AB84" s="1877"/>
      <c r="AC84" s="1859"/>
      <c r="AD84" s="1859"/>
      <c r="AE84" s="1857"/>
      <c r="AF84" s="1877"/>
      <c r="AG84" s="1877"/>
      <c r="AH84" s="1877"/>
      <c r="AI84" s="1859"/>
      <c r="AJ84" s="1859"/>
      <c r="AK84" s="1857"/>
      <c r="AL84" s="1877"/>
      <c r="AM84" s="1877"/>
      <c r="AN84" s="1877"/>
      <c r="AO84" s="1859"/>
      <c r="AP84" s="1859"/>
      <c r="AQ84" s="1857"/>
      <c r="AR84" s="1877"/>
      <c r="AS84" s="1877"/>
      <c r="AT84" s="1877"/>
      <c r="AU84" s="1859"/>
      <c r="AV84" s="1859"/>
      <c r="AW84" s="1857"/>
      <c r="AX84" s="1877"/>
      <c r="AY84" s="1877"/>
      <c r="AZ84" s="1877"/>
      <c r="BA84" s="1859"/>
      <c r="BB84" s="1859"/>
    </row>
    <row r="85" spans="1:54" x14ac:dyDescent="0.25">
      <c r="A85" s="1851" t="s">
        <v>1196</v>
      </c>
      <c r="B85" s="1851"/>
      <c r="C85" s="1856" t="s">
        <v>1197</v>
      </c>
      <c r="D85" s="1856"/>
      <c r="E85" s="1856"/>
      <c r="F85" s="1856"/>
      <c r="G85" s="1856"/>
      <c r="H85" s="1856"/>
      <c r="I85" s="1856"/>
      <c r="J85" s="1856"/>
      <c r="K85" s="1856"/>
      <c r="L85" s="1856"/>
      <c r="M85" s="1856"/>
      <c r="N85" s="1856"/>
      <c r="O85" s="1856"/>
      <c r="P85" s="1856"/>
      <c r="Q85" s="1856"/>
      <c r="R85" s="1856"/>
      <c r="S85" s="1856"/>
      <c r="T85" s="1856"/>
      <c r="U85" s="1856"/>
      <c r="V85" s="1865" t="s">
        <v>1195</v>
      </c>
      <c r="W85" s="1865"/>
      <c r="X85" s="1865"/>
      <c r="Y85" s="1851"/>
      <c r="Z85" s="1851"/>
      <c r="AA85" s="1851"/>
      <c r="AB85" s="1851"/>
      <c r="AC85" s="1851"/>
      <c r="AD85" s="1851"/>
      <c r="AE85" s="1851"/>
      <c r="AF85" s="1851"/>
      <c r="AG85" s="1851"/>
      <c r="AH85" s="1851"/>
      <c r="AI85" s="1851"/>
      <c r="AJ85" s="1851"/>
      <c r="AK85" s="1851"/>
      <c r="AL85" s="1851"/>
      <c r="AM85" s="1851"/>
      <c r="AN85" s="1851"/>
      <c r="AO85" s="1851"/>
      <c r="AP85" s="1851"/>
      <c r="AQ85" s="1851"/>
      <c r="AR85" s="1851"/>
      <c r="AS85" s="1851"/>
      <c r="AT85" s="1851"/>
      <c r="AU85" s="1851"/>
      <c r="AV85" s="1851"/>
      <c r="AW85" s="1851"/>
      <c r="AX85" s="1851"/>
      <c r="AY85" s="1851"/>
      <c r="AZ85" s="1851"/>
      <c r="BA85" s="1851"/>
      <c r="BB85" s="1851"/>
    </row>
    <row r="86" spans="1:54" x14ac:dyDescent="0.25">
      <c r="A86" s="1851" t="s">
        <v>1198</v>
      </c>
      <c r="B86" s="1851"/>
      <c r="C86" s="1856" t="s">
        <v>1199</v>
      </c>
      <c r="D86" s="1856"/>
      <c r="E86" s="1856"/>
      <c r="F86" s="1856"/>
      <c r="G86" s="1856"/>
      <c r="H86" s="1856"/>
      <c r="I86" s="1856"/>
      <c r="J86" s="1856"/>
      <c r="K86" s="1856"/>
      <c r="L86" s="1856"/>
      <c r="M86" s="1856"/>
      <c r="N86" s="1856"/>
      <c r="O86" s="1856"/>
      <c r="P86" s="1856"/>
      <c r="Q86" s="1856"/>
      <c r="R86" s="1856"/>
      <c r="S86" s="1856"/>
      <c r="T86" s="1856"/>
      <c r="U86" s="1856"/>
      <c r="V86" s="1865" t="s">
        <v>1195</v>
      </c>
      <c r="W86" s="1865"/>
      <c r="X86" s="1865"/>
      <c r="Y86" s="1851"/>
      <c r="Z86" s="1851"/>
      <c r="AA86" s="1851"/>
      <c r="AB86" s="1851"/>
      <c r="AC86" s="1851"/>
      <c r="AD86" s="1851"/>
      <c r="AE86" s="1851"/>
      <c r="AF86" s="1851"/>
      <c r="AG86" s="1851"/>
      <c r="AH86" s="1851"/>
      <c r="AI86" s="1851"/>
      <c r="AJ86" s="1851"/>
      <c r="AK86" s="1851"/>
      <c r="AL86" s="1851"/>
      <c r="AM86" s="1851"/>
      <c r="AN86" s="1851"/>
      <c r="AO86" s="1851"/>
      <c r="AP86" s="1851"/>
      <c r="AQ86" s="1851"/>
      <c r="AR86" s="1851"/>
      <c r="AS86" s="1851"/>
      <c r="AT86" s="1851"/>
      <c r="AU86" s="1851"/>
      <c r="AV86" s="1851"/>
      <c r="AW86" s="1851"/>
      <c r="AX86" s="1851"/>
      <c r="AY86" s="1851"/>
      <c r="AZ86" s="1851"/>
      <c r="BA86" s="1851"/>
      <c r="BB86" s="1851"/>
    </row>
    <row r="87" spans="1:54" x14ac:dyDescent="0.25">
      <c r="A87" s="1851" t="s">
        <v>1200</v>
      </c>
      <c r="B87" s="1851"/>
      <c r="C87" s="1856" t="s">
        <v>1201</v>
      </c>
      <c r="D87" s="1856"/>
      <c r="E87" s="1856"/>
      <c r="F87" s="1856"/>
      <c r="G87" s="1856"/>
      <c r="H87" s="1856"/>
      <c r="I87" s="1856"/>
      <c r="J87" s="1856"/>
      <c r="K87" s="1856"/>
      <c r="L87" s="1856"/>
      <c r="M87" s="1856"/>
      <c r="N87" s="1856"/>
      <c r="O87" s="1856"/>
      <c r="P87" s="1856"/>
      <c r="Q87" s="1856"/>
      <c r="R87" s="1856"/>
      <c r="S87" s="1856"/>
      <c r="T87" s="1856"/>
      <c r="U87" s="1856"/>
      <c r="V87" s="1865" t="s">
        <v>1195</v>
      </c>
      <c r="W87" s="1865"/>
      <c r="X87" s="1865"/>
      <c r="Y87" s="1851"/>
      <c r="Z87" s="1851"/>
      <c r="AA87" s="1851"/>
      <c r="AB87" s="1851"/>
      <c r="AC87" s="1851"/>
      <c r="AD87" s="1851"/>
      <c r="AE87" s="1851"/>
      <c r="AF87" s="1851"/>
      <c r="AG87" s="1851"/>
      <c r="AH87" s="1851"/>
      <c r="AI87" s="1851"/>
      <c r="AJ87" s="1851"/>
      <c r="AK87" s="1851"/>
      <c r="AL87" s="1851"/>
      <c r="AM87" s="1851"/>
      <c r="AN87" s="1851"/>
      <c r="AO87" s="1851"/>
      <c r="AP87" s="1851"/>
      <c r="AQ87" s="1851"/>
      <c r="AR87" s="1851"/>
      <c r="AS87" s="1851"/>
      <c r="AT87" s="1851"/>
      <c r="AU87" s="1851"/>
      <c r="AV87" s="1851"/>
      <c r="AW87" s="1851"/>
      <c r="AX87" s="1851"/>
      <c r="AY87" s="1851"/>
      <c r="AZ87" s="1851"/>
      <c r="BA87" s="1851"/>
      <c r="BB87" s="1851"/>
    </row>
    <row r="88" spans="1:54" x14ac:dyDescent="0.25">
      <c r="A88" s="1851" t="s">
        <v>1202</v>
      </c>
      <c r="B88" s="1851"/>
      <c r="C88" s="1856" t="s">
        <v>1203</v>
      </c>
      <c r="D88" s="1856"/>
      <c r="E88" s="1856"/>
      <c r="F88" s="1856"/>
      <c r="G88" s="1856"/>
      <c r="H88" s="1856"/>
      <c r="I88" s="1856"/>
      <c r="J88" s="1856"/>
      <c r="K88" s="1856"/>
      <c r="L88" s="1856"/>
      <c r="M88" s="1856"/>
      <c r="N88" s="1856"/>
      <c r="O88" s="1856"/>
      <c r="P88" s="1856"/>
      <c r="Q88" s="1856"/>
      <c r="R88" s="1856"/>
      <c r="S88" s="1856"/>
      <c r="T88" s="1856"/>
      <c r="U88" s="1856"/>
      <c r="V88" s="1865" t="s">
        <v>1204</v>
      </c>
      <c r="W88" s="1865"/>
      <c r="X88" s="1865"/>
      <c r="Y88" s="1857"/>
      <c r="Z88" s="1877"/>
      <c r="AA88" s="1877"/>
      <c r="AB88" s="1877"/>
      <c r="AC88" s="1859"/>
      <c r="AD88" s="1859"/>
      <c r="AE88" s="1857"/>
      <c r="AF88" s="1877"/>
      <c r="AG88" s="1877"/>
      <c r="AH88" s="1877"/>
      <c r="AI88" s="1859"/>
      <c r="AJ88" s="1859"/>
      <c r="AK88" s="1857"/>
      <c r="AL88" s="1877"/>
      <c r="AM88" s="1877"/>
      <c r="AN88" s="1877"/>
      <c r="AO88" s="1859"/>
      <c r="AP88" s="1859"/>
      <c r="AQ88" s="1857"/>
      <c r="AR88" s="1877"/>
      <c r="AS88" s="1877"/>
      <c r="AT88" s="1877"/>
      <c r="AU88" s="1859"/>
      <c r="AV88" s="1859"/>
      <c r="AW88" s="1857"/>
      <c r="AX88" s="1877"/>
      <c r="AY88" s="1877"/>
      <c r="AZ88" s="1877"/>
      <c r="BA88" s="1859"/>
      <c r="BB88" s="1859"/>
    </row>
    <row r="89" spans="1:54" x14ac:dyDescent="0.25">
      <c r="A89" s="1851" t="s">
        <v>1205</v>
      </c>
      <c r="B89" s="1851"/>
      <c r="C89" s="1856" t="s">
        <v>1206</v>
      </c>
      <c r="D89" s="1856"/>
      <c r="E89" s="1856"/>
      <c r="F89" s="1856"/>
      <c r="G89" s="1856"/>
      <c r="H89" s="1856"/>
      <c r="I89" s="1856"/>
      <c r="J89" s="1856"/>
      <c r="K89" s="1856"/>
      <c r="L89" s="1856"/>
      <c r="M89" s="1856"/>
      <c r="N89" s="1856"/>
      <c r="O89" s="1856"/>
      <c r="P89" s="1856"/>
      <c r="Q89" s="1856"/>
      <c r="R89" s="1856"/>
      <c r="S89" s="1856"/>
      <c r="T89" s="1856"/>
      <c r="U89" s="1856"/>
      <c r="V89" s="1865" t="s">
        <v>1204</v>
      </c>
      <c r="W89" s="1865"/>
      <c r="X89" s="1865"/>
      <c r="Y89" s="1851"/>
      <c r="Z89" s="1851"/>
      <c r="AA89" s="1851"/>
      <c r="AB89" s="1851"/>
      <c r="AC89" s="1851"/>
      <c r="AD89" s="1851"/>
      <c r="AE89" s="1851"/>
      <c r="AF89" s="1851"/>
      <c r="AG89" s="1851"/>
      <c r="AH89" s="1851"/>
      <c r="AI89" s="1851"/>
      <c r="AJ89" s="1851"/>
      <c r="AK89" s="1851"/>
      <c r="AL89" s="1851"/>
      <c r="AM89" s="1851"/>
      <c r="AN89" s="1851"/>
      <c r="AO89" s="1851"/>
      <c r="AP89" s="1851"/>
      <c r="AQ89" s="1851"/>
      <c r="AR89" s="1851"/>
      <c r="AS89" s="1851"/>
      <c r="AT89" s="1851"/>
      <c r="AU89" s="1851"/>
      <c r="AV89" s="1851"/>
      <c r="AW89" s="1851"/>
      <c r="AX89" s="1851"/>
      <c r="AY89" s="1851"/>
      <c r="AZ89" s="1851"/>
      <c r="BA89" s="1851"/>
      <c r="BB89" s="1851"/>
    </row>
    <row r="90" spans="1:54" x14ac:dyDescent="0.25">
      <c r="A90" s="1851" t="s">
        <v>1207</v>
      </c>
      <c r="B90" s="1851"/>
      <c r="C90" s="1856" t="s">
        <v>1208</v>
      </c>
      <c r="D90" s="1856"/>
      <c r="E90" s="1856"/>
      <c r="F90" s="1856"/>
      <c r="G90" s="1856"/>
      <c r="H90" s="1856"/>
      <c r="I90" s="1856"/>
      <c r="J90" s="1856"/>
      <c r="K90" s="1856"/>
      <c r="L90" s="1856"/>
      <c r="M90" s="1856"/>
      <c r="N90" s="1856"/>
      <c r="O90" s="1856"/>
      <c r="P90" s="1856"/>
      <c r="Q90" s="1856"/>
      <c r="R90" s="1856"/>
      <c r="S90" s="1856"/>
      <c r="T90" s="1856"/>
      <c r="U90" s="1856"/>
      <c r="V90" s="1865" t="s">
        <v>1204</v>
      </c>
      <c r="W90" s="1865"/>
      <c r="X90" s="1865"/>
      <c r="Y90" s="1851"/>
      <c r="Z90" s="1851"/>
      <c r="AA90" s="1851"/>
      <c r="AB90" s="1851"/>
      <c r="AC90" s="1851"/>
      <c r="AD90" s="1851"/>
      <c r="AE90" s="1851"/>
      <c r="AF90" s="1851"/>
      <c r="AG90" s="1851"/>
      <c r="AH90" s="1851"/>
      <c r="AI90" s="1851"/>
      <c r="AJ90" s="1851"/>
      <c r="AK90" s="1851"/>
      <c r="AL90" s="1851"/>
      <c r="AM90" s="1851"/>
      <c r="AN90" s="1851"/>
      <c r="AO90" s="1851"/>
      <c r="AP90" s="1851"/>
      <c r="AQ90" s="1851"/>
      <c r="AR90" s="1851"/>
      <c r="AS90" s="1851"/>
      <c r="AT90" s="1851"/>
      <c r="AU90" s="1851"/>
      <c r="AV90" s="1851"/>
      <c r="AW90" s="1851"/>
      <c r="AX90" s="1851"/>
      <c r="AY90" s="1851"/>
      <c r="AZ90" s="1851"/>
      <c r="BA90" s="1851"/>
      <c r="BB90" s="1851"/>
    </row>
    <row r="91" spans="1:54" x14ac:dyDescent="0.25">
      <c r="A91" s="1851" t="s">
        <v>1209</v>
      </c>
      <c r="B91" s="1851"/>
      <c r="C91" s="1856" t="s">
        <v>1210</v>
      </c>
      <c r="D91" s="1856"/>
      <c r="E91" s="1856"/>
      <c r="F91" s="1856"/>
      <c r="G91" s="1856"/>
      <c r="H91" s="1856"/>
      <c r="I91" s="1856"/>
      <c r="J91" s="1856"/>
      <c r="K91" s="1856"/>
      <c r="L91" s="1856"/>
      <c r="M91" s="1856"/>
      <c r="N91" s="1856"/>
      <c r="O91" s="1856"/>
      <c r="P91" s="1856"/>
      <c r="Q91" s="1856"/>
      <c r="R91" s="1856"/>
      <c r="S91" s="1856"/>
      <c r="T91" s="1856"/>
      <c r="U91" s="1856"/>
      <c r="V91" s="1865" t="s">
        <v>1204</v>
      </c>
      <c r="W91" s="1865"/>
      <c r="X91" s="1865"/>
      <c r="Y91" s="1851"/>
      <c r="Z91" s="1851"/>
      <c r="AA91" s="1851"/>
      <c r="AB91" s="1851"/>
      <c r="AC91" s="1851"/>
      <c r="AD91" s="1851"/>
      <c r="AE91" s="1851"/>
      <c r="AF91" s="1851"/>
      <c r="AG91" s="1851"/>
      <c r="AH91" s="1851"/>
      <c r="AI91" s="1851"/>
      <c r="AJ91" s="1851"/>
      <c r="AK91" s="1851"/>
      <c r="AL91" s="1851"/>
      <c r="AM91" s="1851"/>
      <c r="AN91" s="1851"/>
      <c r="AO91" s="1851"/>
      <c r="AP91" s="1851"/>
      <c r="AQ91" s="1851"/>
      <c r="AR91" s="1851"/>
      <c r="AS91" s="1851"/>
      <c r="AT91" s="1851"/>
      <c r="AU91" s="1851"/>
      <c r="AV91" s="1851"/>
      <c r="AW91" s="1851"/>
      <c r="AX91" s="1851"/>
      <c r="AY91" s="1851"/>
      <c r="AZ91" s="1851"/>
      <c r="BA91" s="1851"/>
      <c r="BB91" s="1851"/>
    </row>
    <row r="92" spans="1:54" x14ac:dyDescent="0.25">
      <c r="A92" s="1851" t="s">
        <v>1211</v>
      </c>
      <c r="B92" s="1851"/>
      <c r="C92" s="1856" t="s">
        <v>1212</v>
      </c>
      <c r="D92" s="1856"/>
      <c r="E92" s="1856"/>
      <c r="F92" s="1856"/>
      <c r="G92" s="1856"/>
      <c r="H92" s="1856"/>
      <c r="I92" s="1856"/>
      <c r="J92" s="1856"/>
      <c r="K92" s="1856"/>
      <c r="L92" s="1856"/>
      <c r="M92" s="1856"/>
      <c r="N92" s="1856"/>
      <c r="O92" s="1856"/>
      <c r="P92" s="1856"/>
      <c r="Q92" s="1856"/>
      <c r="R92" s="1856"/>
      <c r="S92" s="1856"/>
      <c r="T92" s="1856"/>
      <c r="U92" s="1856"/>
      <c r="V92" s="1865" t="s">
        <v>1204</v>
      </c>
      <c r="W92" s="1865"/>
      <c r="X92" s="1865"/>
      <c r="Y92" s="1851"/>
      <c r="Z92" s="1851"/>
      <c r="AA92" s="1851"/>
      <c r="AB92" s="1851"/>
      <c r="AC92" s="1851"/>
      <c r="AD92" s="1851"/>
      <c r="AE92" s="1851"/>
      <c r="AF92" s="1851"/>
      <c r="AG92" s="1851"/>
      <c r="AH92" s="1851"/>
      <c r="AI92" s="1851"/>
      <c r="AJ92" s="1851"/>
      <c r="AK92" s="1851"/>
      <c r="AL92" s="1851"/>
      <c r="AM92" s="1851"/>
      <c r="AN92" s="1851"/>
      <c r="AO92" s="1851"/>
      <c r="AP92" s="1851"/>
      <c r="AQ92" s="1851"/>
      <c r="AR92" s="1851"/>
      <c r="AS92" s="1851"/>
      <c r="AT92" s="1851"/>
      <c r="AU92" s="1851"/>
      <c r="AV92" s="1851"/>
      <c r="AW92" s="1851"/>
      <c r="AX92" s="1851"/>
      <c r="AY92" s="1851"/>
      <c r="AZ92" s="1851"/>
      <c r="BA92" s="1851"/>
      <c r="BB92" s="1851"/>
    </row>
    <row r="93" spans="1:54" x14ac:dyDescent="0.25">
      <c r="A93" s="1851" t="s">
        <v>1213</v>
      </c>
      <c r="B93" s="1851"/>
      <c r="C93" s="1856" t="s">
        <v>1214</v>
      </c>
      <c r="D93" s="1856"/>
      <c r="E93" s="1856"/>
      <c r="F93" s="1856"/>
      <c r="G93" s="1856"/>
      <c r="H93" s="1856"/>
      <c r="I93" s="1856"/>
      <c r="J93" s="1856"/>
      <c r="K93" s="1856"/>
      <c r="L93" s="1856"/>
      <c r="M93" s="1856"/>
      <c r="N93" s="1856"/>
      <c r="O93" s="1856"/>
      <c r="P93" s="1856"/>
      <c r="Q93" s="1856"/>
      <c r="R93" s="1856"/>
      <c r="S93" s="1856"/>
      <c r="T93" s="1856"/>
      <c r="U93" s="1856"/>
      <c r="V93" s="1865" t="s">
        <v>1204</v>
      </c>
      <c r="W93" s="1865"/>
      <c r="X93" s="1865"/>
      <c r="Y93" s="1851"/>
      <c r="Z93" s="1851"/>
      <c r="AA93" s="1851"/>
      <c r="AB93" s="1851"/>
      <c r="AC93" s="1851"/>
      <c r="AD93" s="1851"/>
      <c r="AE93" s="1851"/>
      <c r="AF93" s="1851"/>
      <c r="AG93" s="1851"/>
      <c r="AH93" s="1851"/>
      <c r="AI93" s="1851"/>
      <c r="AJ93" s="1851"/>
      <c r="AK93" s="1851"/>
      <c r="AL93" s="1851"/>
      <c r="AM93" s="1851"/>
      <c r="AN93" s="1851"/>
      <c r="AO93" s="1851"/>
      <c r="AP93" s="1851"/>
      <c r="AQ93" s="1851"/>
      <c r="AR93" s="1851"/>
      <c r="AS93" s="1851"/>
      <c r="AT93" s="1851"/>
      <c r="AU93" s="1851"/>
      <c r="AV93" s="1851"/>
      <c r="AW93" s="1851"/>
      <c r="AX93" s="1851"/>
      <c r="AY93" s="1851"/>
      <c r="AZ93" s="1851"/>
      <c r="BA93" s="1851"/>
      <c r="BB93" s="1851"/>
    </row>
    <row r="94" spans="1:54" x14ac:dyDescent="0.25">
      <c r="A94" s="1851" t="s">
        <v>1215</v>
      </c>
      <c r="B94" s="1851"/>
      <c r="C94" s="1856" t="s">
        <v>1216</v>
      </c>
      <c r="D94" s="1856"/>
      <c r="E94" s="1856"/>
      <c r="F94" s="1856"/>
      <c r="G94" s="1856"/>
      <c r="H94" s="1856"/>
      <c r="I94" s="1856"/>
      <c r="J94" s="1856"/>
      <c r="K94" s="1856"/>
      <c r="L94" s="1856"/>
      <c r="M94" s="1856"/>
      <c r="N94" s="1856"/>
      <c r="O94" s="1856"/>
      <c r="P94" s="1856"/>
      <c r="Q94" s="1856"/>
      <c r="R94" s="1856"/>
      <c r="S94" s="1856"/>
      <c r="T94" s="1856"/>
      <c r="U94" s="1856"/>
      <c r="V94" s="1865" t="s">
        <v>1204</v>
      </c>
      <c r="W94" s="1865"/>
      <c r="X94" s="1865"/>
      <c r="Y94" s="1851"/>
      <c r="Z94" s="1851"/>
      <c r="AA94" s="1851"/>
      <c r="AB94" s="1851"/>
      <c r="AC94" s="1851"/>
      <c r="AD94" s="1851"/>
      <c r="AE94" s="1851"/>
      <c r="AF94" s="1851"/>
      <c r="AG94" s="1851"/>
      <c r="AH94" s="1851"/>
      <c r="AI94" s="1851"/>
      <c r="AJ94" s="1851"/>
      <c r="AK94" s="1851"/>
      <c r="AL94" s="1851"/>
      <c r="AM94" s="1851"/>
      <c r="AN94" s="1851"/>
      <c r="AO94" s="1851"/>
      <c r="AP94" s="1851"/>
      <c r="AQ94" s="1851"/>
      <c r="AR94" s="1851"/>
      <c r="AS94" s="1851"/>
      <c r="AT94" s="1851"/>
      <c r="AU94" s="1851"/>
      <c r="AV94" s="1851"/>
      <c r="AW94" s="1851"/>
      <c r="AX94" s="1851"/>
      <c r="AY94" s="1851"/>
      <c r="AZ94" s="1851"/>
      <c r="BA94" s="1851"/>
      <c r="BB94" s="1851"/>
    </row>
    <row r="95" spans="1:54" x14ac:dyDescent="0.25">
      <c r="A95" s="1851" t="s">
        <v>1217</v>
      </c>
      <c r="B95" s="1851"/>
      <c r="C95" s="1856" t="s">
        <v>1218</v>
      </c>
      <c r="D95" s="1856"/>
      <c r="E95" s="1856"/>
      <c r="F95" s="1856"/>
      <c r="G95" s="1856"/>
      <c r="H95" s="1856"/>
      <c r="I95" s="1856"/>
      <c r="J95" s="1856"/>
      <c r="K95" s="1856"/>
      <c r="L95" s="1856"/>
      <c r="M95" s="1856"/>
      <c r="N95" s="1856"/>
      <c r="O95" s="1856"/>
      <c r="P95" s="1856"/>
      <c r="Q95" s="1856"/>
      <c r="R95" s="1856"/>
      <c r="S95" s="1856"/>
      <c r="T95" s="1856"/>
      <c r="U95" s="1856"/>
      <c r="V95" s="1865" t="s">
        <v>1204</v>
      </c>
      <c r="W95" s="1865"/>
      <c r="X95" s="1865"/>
      <c r="Y95" s="1851"/>
      <c r="Z95" s="1851"/>
      <c r="AA95" s="1851"/>
      <c r="AB95" s="1851"/>
      <c r="AC95" s="1851"/>
      <c r="AD95" s="1851"/>
      <c r="AE95" s="1851"/>
      <c r="AF95" s="1851"/>
      <c r="AG95" s="1851"/>
      <c r="AH95" s="1851"/>
      <c r="AI95" s="1851"/>
      <c r="AJ95" s="1851"/>
      <c r="AK95" s="1851"/>
      <c r="AL95" s="1851"/>
      <c r="AM95" s="1851"/>
      <c r="AN95" s="1851"/>
      <c r="AO95" s="1851"/>
      <c r="AP95" s="1851"/>
      <c r="AQ95" s="1851"/>
      <c r="AR95" s="1851"/>
      <c r="AS95" s="1851"/>
      <c r="AT95" s="1851"/>
      <c r="AU95" s="1851"/>
      <c r="AV95" s="1851"/>
      <c r="AW95" s="1851"/>
      <c r="AX95" s="1851"/>
      <c r="AY95" s="1851"/>
      <c r="AZ95" s="1851"/>
      <c r="BA95" s="1851"/>
      <c r="BB95" s="1851"/>
    </row>
    <row r="96" spans="1:54" x14ac:dyDescent="0.25">
      <c r="A96" s="1851" t="s">
        <v>1219</v>
      </c>
      <c r="B96" s="1851"/>
      <c r="C96" s="1856" t="s">
        <v>1220</v>
      </c>
      <c r="D96" s="1856"/>
      <c r="E96" s="1856"/>
      <c r="F96" s="1856"/>
      <c r="G96" s="1856"/>
      <c r="H96" s="1856"/>
      <c r="I96" s="1856"/>
      <c r="J96" s="1856"/>
      <c r="K96" s="1856"/>
      <c r="L96" s="1856"/>
      <c r="M96" s="1856"/>
      <c r="N96" s="1856"/>
      <c r="O96" s="1856"/>
      <c r="P96" s="1856"/>
      <c r="Q96" s="1856"/>
      <c r="R96" s="1856"/>
      <c r="S96" s="1856"/>
      <c r="T96" s="1856"/>
      <c r="U96" s="1856"/>
      <c r="V96" s="1865" t="s">
        <v>1204</v>
      </c>
      <c r="W96" s="1865"/>
      <c r="X96" s="1865"/>
      <c r="Y96" s="1851"/>
      <c r="Z96" s="1851"/>
      <c r="AA96" s="1851"/>
      <c r="AB96" s="1851"/>
      <c r="AC96" s="1851"/>
      <c r="AD96" s="1851"/>
      <c r="AE96" s="1851"/>
      <c r="AF96" s="1851"/>
      <c r="AG96" s="1851"/>
      <c r="AH96" s="1851"/>
      <c r="AI96" s="1851"/>
      <c r="AJ96" s="1851"/>
      <c r="AK96" s="1851"/>
      <c r="AL96" s="1851"/>
      <c r="AM96" s="1851"/>
      <c r="AN96" s="1851"/>
      <c r="AO96" s="1851"/>
      <c r="AP96" s="1851"/>
      <c r="AQ96" s="1851"/>
      <c r="AR96" s="1851"/>
      <c r="AS96" s="1851"/>
      <c r="AT96" s="1851"/>
      <c r="AU96" s="1851"/>
      <c r="AV96" s="1851"/>
      <c r="AW96" s="1851"/>
      <c r="AX96" s="1851"/>
      <c r="AY96" s="1851"/>
      <c r="AZ96" s="1851"/>
      <c r="BA96" s="1851"/>
      <c r="BB96" s="1851"/>
    </row>
    <row r="97" spans="1:54" x14ac:dyDescent="0.25">
      <c r="A97" s="1854" t="s">
        <v>1221</v>
      </c>
      <c r="B97" s="1854"/>
      <c r="C97" s="1855" t="s">
        <v>1222</v>
      </c>
      <c r="D97" s="1855"/>
      <c r="E97" s="1855"/>
      <c r="F97" s="1855"/>
      <c r="G97" s="1855"/>
      <c r="H97" s="1855"/>
      <c r="I97" s="1855"/>
      <c r="J97" s="1855"/>
      <c r="K97" s="1855"/>
      <c r="L97" s="1855"/>
      <c r="M97" s="1855"/>
      <c r="N97" s="1855"/>
      <c r="O97" s="1855"/>
      <c r="P97" s="1855"/>
      <c r="Q97" s="1855"/>
      <c r="R97" s="1855"/>
      <c r="S97" s="1855"/>
      <c r="T97" s="1855"/>
      <c r="U97" s="1855"/>
      <c r="V97" s="1864" t="s">
        <v>1223</v>
      </c>
      <c r="W97" s="1864"/>
      <c r="X97" s="1864"/>
      <c r="Y97" s="1857"/>
      <c r="Z97" s="1877"/>
      <c r="AA97" s="1877"/>
      <c r="AB97" s="1877"/>
      <c r="AC97" s="1859"/>
      <c r="AD97" s="1859"/>
      <c r="AE97" s="1857"/>
      <c r="AF97" s="1877"/>
      <c r="AG97" s="1877"/>
      <c r="AH97" s="1877"/>
      <c r="AI97" s="1859"/>
      <c r="AJ97" s="1859"/>
      <c r="AK97" s="1857"/>
      <c r="AL97" s="1877"/>
      <c r="AM97" s="1877"/>
      <c r="AN97" s="1877"/>
      <c r="AO97" s="1859"/>
      <c r="AP97" s="1859"/>
      <c r="AQ97" s="1857"/>
      <c r="AR97" s="1877"/>
      <c r="AS97" s="1877"/>
      <c r="AT97" s="1877"/>
      <c r="AU97" s="1859"/>
      <c r="AV97" s="1859"/>
      <c r="AW97" s="1857"/>
      <c r="AX97" s="1877"/>
      <c r="AY97" s="1877"/>
      <c r="AZ97" s="1877"/>
      <c r="BA97" s="1859"/>
      <c r="BB97" s="1859"/>
    </row>
    <row r="98" spans="1:54" x14ac:dyDescent="0.25">
      <c r="A98" s="1851" t="s">
        <v>1224</v>
      </c>
      <c r="B98" s="1851"/>
      <c r="C98" s="1856" t="s">
        <v>1225</v>
      </c>
      <c r="D98" s="1856"/>
      <c r="E98" s="1856"/>
      <c r="F98" s="1856"/>
      <c r="G98" s="1856"/>
      <c r="H98" s="1856"/>
      <c r="I98" s="1856"/>
      <c r="J98" s="1856"/>
      <c r="K98" s="1856"/>
      <c r="L98" s="1856"/>
      <c r="M98" s="1856"/>
      <c r="N98" s="1856"/>
      <c r="O98" s="1856"/>
      <c r="P98" s="1856"/>
      <c r="Q98" s="1856"/>
      <c r="R98" s="1856"/>
      <c r="S98" s="1856"/>
      <c r="T98" s="1856"/>
      <c r="U98" s="1856"/>
      <c r="V98" s="1865" t="s">
        <v>1226</v>
      </c>
      <c r="W98" s="1865"/>
      <c r="X98" s="1865"/>
      <c r="Y98" s="1857"/>
      <c r="Z98" s="1877"/>
      <c r="AA98" s="1877"/>
      <c r="AB98" s="1877"/>
      <c r="AC98" s="1859"/>
      <c r="AD98" s="1859"/>
      <c r="AE98" s="1857"/>
      <c r="AF98" s="1877"/>
      <c r="AG98" s="1877"/>
      <c r="AH98" s="1877"/>
      <c r="AI98" s="1859"/>
      <c r="AJ98" s="1859"/>
      <c r="AK98" s="1857"/>
      <c r="AL98" s="1877"/>
      <c r="AM98" s="1877"/>
      <c r="AN98" s="1877"/>
      <c r="AO98" s="1859"/>
      <c r="AP98" s="1859"/>
      <c r="AQ98" s="1857"/>
      <c r="AR98" s="1877"/>
      <c r="AS98" s="1877"/>
      <c r="AT98" s="1877"/>
      <c r="AU98" s="1859"/>
      <c r="AV98" s="1859"/>
      <c r="AW98" s="1857"/>
      <c r="AX98" s="1877"/>
      <c r="AY98" s="1877"/>
      <c r="AZ98" s="1877"/>
      <c r="BA98" s="1859"/>
      <c r="BB98" s="1859"/>
    </row>
    <row r="99" spans="1:54" x14ac:dyDescent="0.25">
      <c r="A99" s="1851" t="s">
        <v>1227</v>
      </c>
      <c r="B99" s="1851"/>
      <c r="C99" s="1856" t="s">
        <v>813</v>
      </c>
      <c r="D99" s="1856"/>
      <c r="E99" s="1856"/>
      <c r="F99" s="1856"/>
      <c r="G99" s="1856"/>
      <c r="H99" s="1856"/>
      <c r="I99" s="1856"/>
      <c r="J99" s="1856"/>
      <c r="K99" s="1856"/>
      <c r="L99" s="1856"/>
      <c r="M99" s="1856"/>
      <c r="N99" s="1856"/>
      <c r="O99" s="1856"/>
      <c r="P99" s="1856"/>
      <c r="Q99" s="1856"/>
      <c r="R99" s="1856"/>
      <c r="S99" s="1856"/>
      <c r="T99" s="1856"/>
      <c r="U99" s="1856"/>
      <c r="V99" s="1865" t="s">
        <v>1226</v>
      </c>
      <c r="W99" s="1865"/>
      <c r="X99" s="1865"/>
      <c r="Y99" s="1851"/>
      <c r="Z99" s="1851"/>
      <c r="AA99" s="1851"/>
      <c r="AB99" s="1851"/>
      <c r="AC99" s="1851"/>
      <c r="AD99" s="1851"/>
      <c r="AE99" s="1851"/>
      <c r="AF99" s="1851"/>
      <c r="AG99" s="1851"/>
      <c r="AH99" s="1851"/>
      <c r="AI99" s="1851"/>
      <c r="AJ99" s="1851"/>
      <c r="AK99" s="1851"/>
      <c r="AL99" s="1851"/>
      <c r="AM99" s="1851"/>
      <c r="AN99" s="1851"/>
      <c r="AO99" s="1851"/>
      <c r="AP99" s="1851"/>
      <c r="AQ99" s="1851"/>
      <c r="AR99" s="1851"/>
      <c r="AS99" s="1851"/>
      <c r="AT99" s="1851"/>
      <c r="AU99" s="1851"/>
      <c r="AV99" s="1851"/>
      <c r="AW99" s="1851"/>
      <c r="AX99" s="1851"/>
      <c r="AY99" s="1851"/>
      <c r="AZ99" s="1851"/>
      <c r="BA99" s="1851"/>
      <c r="BB99" s="1851"/>
    </row>
    <row r="100" spans="1:54" x14ac:dyDescent="0.25">
      <c r="A100" s="1851" t="s">
        <v>1228</v>
      </c>
      <c r="B100" s="1851"/>
      <c r="C100" s="1856" t="s">
        <v>1229</v>
      </c>
      <c r="D100" s="1856"/>
      <c r="E100" s="1856"/>
      <c r="F100" s="1856"/>
      <c r="G100" s="1856"/>
      <c r="H100" s="1856"/>
      <c r="I100" s="1856"/>
      <c r="J100" s="1856"/>
      <c r="K100" s="1856"/>
      <c r="L100" s="1856"/>
      <c r="M100" s="1856"/>
      <c r="N100" s="1856"/>
      <c r="O100" s="1856"/>
      <c r="P100" s="1856"/>
      <c r="Q100" s="1856"/>
      <c r="R100" s="1856"/>
      <c r="S100" s="1856"/>
      <c r="T100" s="1856"/>
      <c r="U100" s="1856"/>
      <c r="V100" s="1865" t="s">
        <v>1226</v>
      </c>
      <c r="W100" s="1865"/>
      <c r="X100" s="1865"/>
      <c r="Y100" s="1851"/>
      <c r="Z100" s="1851"/>
      <c r="AA100" s="1851"/>
      <c r="AB100" s="1851"/>
      <c r="AC100" s="1851"/>
      <c r="AD100" s="1851"/>
      <c r="AE100" s="1851"/>
      <c r="AF100" s="1851"/>
      <c r="AG100" s="1851"/>
      <c r="AH100" s="1851"/>
      <c r="AI100" s="1851"/>
      <c r="AJ100" s="1851"/>
      <c r="AK100" s="1851"/>
      <c r="AL100" s="1851"/>
      <c r="AM100" s="1851"/>
      <c r="AN100" s="1851"/>
      <c r="AO100" s="1851"/>
      <c r="AP100" s="1851"/>
      <c r="AQ100" s="1851"/>
      <c r="AR100" s="1851"/>
      <c r="AS100" s="1851"/>
      <c r="AT100" s="1851"/>
      <c r="AU100" s="1851"/>
      <c r="AV100" s="1851"/>
      <c r="AW100" s="1851"/>
      <c r="AX100" s="1851"/>
      <c r="AY100" s="1851"/>
      <c r="AZ100" s="1851"/>
      <c r="BA100" s="1851"/>
      <c r="BB100" s="1851"/>
    </row>
    <row r="101" spans="1:54" x14ac:dyDescent="0.25">
      <c r="A101" s="1851" t="s">
        <v>1230</v>
      </c>
      <c r="B101" s="1851"/>
      <c r="C101" s="1856" t="s">
        <v>815</v>
      </c>
      <c r="D101" s="1856"/>
      <c r="E101" s="1856"/>
      <c r="F101" s="1856"/>
      <c r="G101" s="1856"/>
      <c r="H101" s="1856"/>
      <c r="I101" s="1856"/>
      <c r="J101" s="1856"/>
      <c r="K101" s="1856"/>
      <c r="L101" s="1856"/>
      <c r="M101" s="1856"/>
      <c r="N101" s="1856"/>
      <c r="O101" s="1856"/>
      <c r="P101" s="1856"/>
      <c r="Q101" s="1856"/>
      <c r="R101" s="1856"/>
      <c r="S101" s="1856"/>
      <c r="T101" s="1856"/>
      <c r="U101" s="1856"/>
      <c r="V101" s="1865" t="s">
        <v>1226</v>
      </c>
      <c r="W101" s="1865"/>
      <c r="X101" s="1865"/>
      <c r="Y101" s="1851"/>
      <c r="Z101" s="1851"/>
      <c r="AA101" s="1851"/>
      <c r="AB101" s="1851"/>
      <c r="AC101" s="1851"/>
      <c r="AD101" s="1851"/>
      <c r="AE101" s="1851"/>
      <c r="AF101" s="1851"/>
      <c r="AG101" s="1851"/>
      <c r="AH101" s="1851"/>
      <c r="AI101" s="1851"/>
      <c r="AJ101" s="1851"/>
      <c r="AK101" s="1851"/>
      <c r="AL101" s="1851"/>
      <c r="AM101" s="1851"/>
      <c r="AN101" s="1851"/>
      <c r="AO101" s="1851"/>
      <c r="AP101" s="1851"/>
      <c r="AQ101" s="1851"/>
      <c r="AR101" s="1851"/>
      <c r="AS101" s="1851"/>
      <c r="AT101" s="1851"/>
      <c r="AU101" s="1851"/>
      <c r="AV101" s="1851"/>
      <c r="AW101" s="1851"/>
      <c r="AX101" s="1851"/>
      <c r="AY101" s="1851"/>
      <c r="AZ101" s="1851"/>
      <c r="BA101" s="1851"/>
      <c r="BB101" s="1851"/>
    </row>
    <row r="102" spans="1:54" x14ac:dyDescent="0.25">
      <c r="A102" s="1851" t="s">
        <v>1231</v>
      </c>
      <c r="B102" s="1851"/>
      <c r="C102" s="1856" t="s">
        <v>1232</v>
      </c>
      <c r="D102" s="1856"/>
      <c r="E102" s="1856"/>
      <c r="F102" s="1856"/>
      <c r="G102" s="1856"/>
      <c r="H102" s="1856"/>
      <c r="I102" s="1856"/>
      <c r="J102" s="1856"/>
      <c r="K102" s="1856"/>
      <c r="L102" s="1856"/>
      <c r="M102" s="1856"/>
      <c r="N102" s="1856"/>
      <c r="O102" s="1856"/>
      <c r="P102" s="1856"/>
      <c r="Q102" s="1856"/>
      <c r="R102" s="1856"/>
      <c r="S102" s="1856"/>
      <c r="T102" s="1856"/>
      <c r="U102" s="1856"/>
      <c r="V102" s="1865" t="s">
        <v>1226</v>
      </c>
      <c r="W102" s="1865"/>
      <c r="X102" s="1865"/>
      <c r="Y102" s="1851"/>
      <c r="Z102" s="1851"/>
      <c r="AA102" s="1851"/>
      <c r="AB102" s="1851"/>
      <c r="AC102" s="1851"/>
      <c r="AD102" s="1851"/>
      <c r="AE102" s="1851"/>
      <c r="AF102" s="1851"/>
      <c r="AG102" s="1851"/>
      <c r="AH102" s="1851"/>
      <c r="AI102" s="1851"/>
      <c r="AJ102" s="1851"/>
      <c r="AK102" s="1851"/>
      <c r="AL102" s="1851"/>
      <c r="AM102" s="1851"/>
      <c r="AN102" s="1851"/>
      <c r="AO102" s="1851"/>
      <c r="AP102" s="1851"/>
      <c r="AQ102" s="1851"/>
      <c r="AR102" s="1851"/>
      <c r="AS102" s="1851"/>
      <c r="AT102" s="1851"/>
      <c r="AU102" s="1851"/>
      <c r="AV102" s="1851"/>
      <c r="AW102" s="1851"/>
      <c r="AX102" s="1851"/>
      <c r="AY102" s="1851"/>
      <c r="AZ102" s="1851"/>
      <c r="BA102" s="1851"/>
      <c r="BB102" s="1851"/>
    </row>
    <row r="103" spans="1:54" x14ac:dyDescent="0.25">
      <c r="A103" s="1851" t="s">
        <v>1233</v>
      </c>
      <c r="B103" s="1851"/>
      <c r="C103" s="1856" t="s">
        <v>1234</v>
      </c>
      <c r="D103" s="1856"/>
      <c r="E103" s="1856"/>
      <c r="F103" s="1856"/>
      <c r="G103" s="1856"/>
      <c r="H103" s="1856"/>
      <c r="I103" s="1856"/>
      <c r="J103" s="1856"/>
      <c r="K103" s="1856"/>
      <c r="L103" s="1856"/>
      <c r="M103" s="1856"/>
      <c r="N103" s="1856"/>
      <c r="O103" s="1856"/>
      <c r="P103" s="1856"/>
      <c r="Q103" s="1856"/>
      <c r="R103" s="1856"/>
      <c r="S103" s="1856"/>
      <c r="T103" s="1856"/>
      <c r="U103" s="1856"/>
      <c r="V103" s="1865" t="s">
        <v>1226</v>
      </c>
      <c r="W103" s="1865"/>
      <c r="X103" s="1865"/>
      <c r="Y103" s="1851"/>
      <c r="Z103" s="1851"/>
      <c r="AA103" s="1851"/>
      <c r="AB103" s="1851"/>
      <c r="AC103" s="1851"/>
      <c r="AD103" s="1851"/>
      <c r="AE103" s="1851"/>
      <c r="AF103" s="1851"/>
      <c r="AG103" s="1851"/>
      <c r="AH103" s="1851"/>
      <c r="AI103" s="1851"/>
      <c r="AJ103" s="1851"/>
      <c r="AK103" s="1851"/>
      <c r="AL103" s="1851"/>
      <c r="AM103" s="1851"/>
      <c r="AN103" s="1851"/>
      <c r="AO103" s="1851"/>
      <c r="AP103" s="1851"/>
      <c r="AQ103" s="1851"/>
      <c r="AR103" s="1851"/>
      <c r="AS103" s="1851"/>
      <c r="AT103" s="1851"/>
      <c r="AU103" s="1851"/>
      <c r="AV103" s="1851"/>
      <c r="AW103" s="1851"/>
      <c r="AX103" s="1851"/>
      <c r="AY103" s="1851"/>
      <c r="AZ103" s="1851"/>
      <c r="BA103" s="1851"/>
      <c r="BB103" s="1851"/>
    </row>
    <row r="104" spans="1:54" x14ac:dyDescent="0.25">
      <c r="A104" s="1851" t="s">
        <v>1235</v>
      </c>
      <c r="B104" s="1851"/>
      <c r="C104" s="1856" t="s">
        <v>1236</v>
      </c>
      <c r="D104" s="1856"/>
      <c r="E104" s="1856"/>
      <c r="F104" s="1856"/>
      <c r="G104" s="1856"/>
      <c r="H104" s="1856"/>
      <c r="I104" s="1856"/>
      <c r="J104" s="1856"/>
      <c r="K104" s="1856"/>
      <c r="L104" s="1856"/>
      <c r="M104" s="1856"/>
      <c r="N104" s="1856"/>
      <c r="O104" s="1856"/>
      <c r="P104" s="1856"/>
      <c r="Q104" s="1856"/>
      <c r="R104" s="1856"/>
      <c r="S104" s="1856"/>
      <c r="T104" s="1856"/>
      <c r="U104" s="1856"/>
      <c r="V104" s="1865" t="s">
        <v>1226</v>
      </c>
      <c r="W104" s="1865"/>
      <c r="X104" s="1865"/>
      <c r="Y104" s="1851"/>
      <c r="Z104" s="1851"/>
      <c r="AA104" s="1851"/>
      <c r="AB104" s="1851"/>
      <c r="AC104" s="1851"/>
      <c r="AD104" s="1851"/>
      <c r="AE104" s="1851"/>
      <c r="AF104" s="1851"/>
      <c r="AG104" s="1851"/>
      <c r="AH104" s="1851"/>
      <c r="AI104" s="1851"/>
      <c r="AJ104" s="1851"/>
      <c r="AK104" s="1851"/>
      <c r="AL104" s="1851"/>
      <c r="AM104" s="1851"/>
      <c r="AN104" s="1851"/>
      <c r="AO104" s="1851"/>
      <c r="AP104" s="1851"/>
      <c r="AQ104" s="1851"/>
      <c r="AR104" s="1851"/>
      <c r="AS104" s="1851"/>
      <c r="AT104" s="1851"/>
      <c r="AU104" s="1851"/>
      <c r="AV104" s="1851"/>
      <c r="AW104" s="1851"/>
      <c r="AX104" s="1851"/>
      <c r="AY104" s="1851"/>
      <c r="AZ104" s="1851"/>
      <c r="BA104" s="1851"/>
      <c r="BB104" s="1851"/>
    </row>
    <row r="105" spans="1:54" x14ac:dyDescent="0.25">
      <c r="A105" s="1851" t="s">
        <v>1237</v>
      </c>
      <c r="B105" s="1851"/>
      <c r="C105" s="1856" t="s">
        <v>1238</v>
      </c>
      <c r="D105" s="1856"/>
      <c r="E105" s="1856"/>
      <c r="F105" s="1856"/>
      <c r="G105" s="1856"/>
      <c r="H105" s="1856"/>
      <c r="I105" s="1856"/>
      <c r="J105" s="1856"/>
      <c r="K105" s="1856"/>
      <c r="L105" s="1856"/>
      <c r="M105" s="1856"/>
      <c r="N105" s="1856"/>
      <c r="O105" s="1856"/>
      <c r="P105" s="1856"/>
      <c r="Q105" s="1856"/>
      <c r="R105" s="1856"/>
      <c r="S105" s="1856"/>
      <c r="T105" s="1856"/>
      <c r="U105" s="1856"/>
      <c r="V105" s="1865" t="s">
        <v>1226</v>
      </c>
      <c r="W105" s="1865"/>
      <c r="X105" s="1865"/>
      <c r="Y105" s="1851"/>
      <c r="Z105" s="1851"/>
      <c r="AA105" s="1851"/>
      <c r="AB105" s="1851"/>
      <c r="AC105" s="1851"/>
      <c r="AD105" s="1851"/>
      <c r="AE105" s="1851"/>
      <c r="AF105" s="1851"/>
      <c r="AG105" s="1851"/>
      <c r="AH105" s="1851"/>
      <c r="AI105" s="1851"/>
      <c r="AJ105" s="1851"/>
      <c r="AK105" s="1851"/>
      <c r="AL105" s="1851"/>
      <c r="AM105" s="1851"/>
      <c r="AN105" s="1851"/>
      <c r="AO105" s="1851"/>
      <c r="AP105" s="1851"/>
      <c r="AQ105" s="1851"/>
      <c r="AR105" s="1851"/>
      <c r="AS105" s="1851"/>
      <c r="AT105" s="1851"/>
      <c r="AU105" s="1851"/>
      <c r="AV105" s="1851"/>
      <c r="AW105" s="1851"/>
      <c r="AX105" s="1851"/>
      <c r="AY105" s="1851"/>
      <c r="AZ105" s="1851"/>
      <c r="BA105" s="1851"/>
      <c r="BB105" s="1851"/>
    </row>
    <row r="106" spans="1:54" x14ac:dyDescent="0.25">
      <c r="A106" s="1851" t="s">
        <v>1239</v>
      </c>
      <c r="B106" s="1851"/>
      <c r="C106" s="1856" t="s">
        <v>1240</v>
      </c>
      <c r="D106" s="1856"/>
      <c r="E106" s="1856"/>
      <c r="F106" s="1856"/>
      <c r="G106" s="1856"/>
      <c r="H106" s="1856"/>
      <c r="I106" s="1856"/>
      <c r="J106" s="1856"/>
      <c r="K106" s="1856"/>
      <c r="L106" s="1856"/>
      <c r="M106" s="1856"/>
      <c r="N106" s="1856"/>
      <c r="O106" s="1856"/>
      <c r="P106" s="1856"/>
      <c r="Q106" s="1856"/>
      <c r="R106" s="1856"/>
      <c r="S106" s="1856"/>
      <c r="T106" s="1856"/>
      <c r="U106" s="1856"/>
      <c r="V106" s="1865" t="s">
        <v>1226</v>
      </c>
      <c r="W106" s="1865"/>
      <c r="X106" s="1865"/>
      <c r="Y106" s="1851"/>
      <c r="Z106" s="1851"/>
      <c r="AA106" s="1851"/>
      <c r="AB106" s="1851"/>
      <c r="AC106" s="1851"/>
      <c r="AD106" s="1851"/>
      <c r="AE106" s="1851"/>
      <c r="AF106" s="1851"/>
      <c r="AG106" s="1851"/>
      <c r="AH106" s="1851"/>
      <c r="AI106" s="1851"/>
      <c r="AJ106" s="1851"/>
      <c r="AK106" s="1851"/>
      <c r="AL106" s="1851"/>
      <c r="AM106" s="1851"/>
      <c r="AN106" s="1851"/>
      <c r="AO106" s="1851"/>
      <c r="AP106" s="1851"/>
      <c r="AQ106" s="1851"/>
      <c r="AR106" s="1851"/>
      <c r="AS106" s="1851"/>
      <c r="AT106" s="1851"/>
      <c r="AU106" s="1851"/>
      <c r="AV106" s="1851"/>
      <c r="AW106" s="1851"/>
      <c r="AX106" s="1851"/>
      <c r="AY106" s="1851"/>
      <c r="AZ106" s="1851"/>
      <c r="BA106" s="1851"/>
      <c r="BB106" s="1851"/>
    </row>
    <row r="107" spans="1:54" x14ac:dyDescent="0.25">
      <c r="A107" s="1851" t="s">
        <v>1241</v>
      </c>
      <c r="B107" s="1851"/>
      <c r="C107" s="1856" t="s">
        <v>1242</v>
      </c>
      <c r="D107" s="1856"/>
      <c r="E107" s="1856"/>
      <c r="F107" s="1856"/>
      <c r="G107" s="1856"/>
      <c r="H107" s="1856"/>
      <c r="I107" s="1856"/>
      <c r="J107" s="1856"/>
      <c r="K107" s="1856"/>
      <c r="L107" s="1856"/>
      <c r="M107" s="1856"/>
      <c r="N107" s="1856"/>
      <c r="O107" s="1856"/>
      <c r="P107" s="1856"/>
      <c r="Q107" s="1856"/>
      <c r="R107" s="1856"/>
      <c r="S107" s="1856"/>
      <c r="T107" s="1856"/>
      <c r="U107" s="1856"/>
      <c r="V107" s="1865" t="s">
        <v>1226</v>
      </c>
      <c r="W107" s="1865"/>
      <c r="X107" s="1865"/>
      <c r="Y107" s="1851"/>
      <c r="Z107" s="1851"/>
      <c r="AA107" s="1851"/>
      <c r="AB107" s="1851"/>
      <c r="AC107" s="1851"/>
      <c r="AD107" s="1851"/>
      <c r="AE107" s="1851"/>
      <c r="AF107" s="1851"/>
      <c r="AG107" s="1851"/>
      <c r="AH107" s="1851"/>
      <c r="AI107" s="1851"/>
      <c r="AJ107" s="1851"/>
      <c r="AK107" s="1851"/>
      <c r="AL107" s="1851"/>
      <c r="AM107" s="1851"/>
      <c r="AN107" s="1851"/>
      <c r="AO107" s="1851"/>
      <c r="AP107" s="1851"/>
      <c r="AQ107" s="1851"/>
      <c r="AR107" s="1851"/>
      <c r="AS107" s="1851"/>
      <c r="AT107" s="1851"/>
      <c r="AU107" s="1851"/>
      <c r="AV107" s="1851"/>
      <c r="AW107" s="1851"/>
      <c r="AX107" s="1851"/>
      <c r="AY107" s="1851"/>
      <c r="AZ107" s="1851"/>
      <c r="BA107" s="1851"/>
      <c r="BB107" s="1851"/>
    </row>
    <row r="108" spans="1:54" x14ac:dyDescent="0.25">
      <c r="A108" s="1851" t="s">
        <v>1243</v>
      </c>
      <c r="B108" s="1851"/>
      <c r="C108" s="1856" t="s">
        <v>1244</v>
      </c>
      <c r="D108" s="1856"/>
      <c r="E108" s="1856"/>
      <c r="F108" s="1856"/>
      <c r="G108" s="1856"/>
      <c r="H108" s="1856"/>
      <c r="I108" s="1856"/>
      <c r="J108" s="1856"/>
      <c r="K108" s="1856"/>
      <c r="L108" s="1856"/>
      <c r="M108" s="1856"/>
      <c r="N108" s="1856"/>
      <c r="O108" s="1856"/>
      <c r="P108" s="1856"/>
      <c r="Q108" s="1856"/>
      <c r="R108" s="1856"/>
      <c r="S108" s="1856"/>
      <c r="T108" s="1856"/>
      <c r="U108" s="1856"/>
      <c r="V108" s="1865" t="s">
        <v>1245</v>
      </c>
      <c r="W108" s="1865"/>
      <c r="X108" s="1865"/>
      <c r="Y108" s="1857"/>
      <c r="Z108" s="1877"/>
      <c r="AA108" s="1877"/>
      <c r="AB108" s="1877"/>
      <c r="AC108" s="1859"/>
      <c r="AD108" s="1859"/>
      <c r="AE108" s="1857"/>
      <c r="AF108" s="1877"/>
      <c r="AG108" s="1877"/>
      <c r="AH108" s="1877"/>
      <c r="AI108" s="1859"/>
      <c r="AJ108" s="1859"/>
      <c r="AK108" s="1857"/>
      <c r="AL108" s="1877"/>
      <c r="AM108" s="1877"/>
      <c r="AN108" s="1877"/>
      <c r="AO108" s="1859"/>
      <c r="AP108" s="1859"/>
      <c r="AQ108" s="1857"/>
      <c r="AR108" s="1877"/>
      <c r="AS108" s="1877"/>
      <c r="AT108" s="1877"/>
      <c r="AU108" s="1859"/>
      <c r="AV108" s="1859"/>
      <c r="AW108" s="1857"/>
      <c r="AX108" s="1877"/>
      <c r="AY108" s="1877"/>
      <c r="AZ108" s="1877"/>
      <c r="BA108" s="1859"/>
      <c r="BB108" s="1859"/>
    </row>
    <row r="109" spans="1:54" x14ac:dyDescent="0.25">
      <c r="A109" s="1851" t="s">
        <v>1246</v>
      </c>
      <c r="B109" s="1851"/>
      <c r="C109" s="1856" t="s">
        <v>1247</v>
      </c>
      <c r="D109" s="1856"/>
      <c r="E109" s="1856"/>
      <c r="F109" s="1856"/>
      <c r="G109" s="1856"/>
      <c r="H109" s="1856"/>
      <c r="I109" s="1856"/>
      <c r="J109" s="1856"/>
      <c r="K109" s="1856"/>
      <c r="L109" s="1856"/>
      <c r="M109" s="1856"/>
      <c r="N109" s="1856"/>
      <c r="O109" s="1856"/>
      <c r="P109" s="1856"/>
      <c r="Q109" s="1856"/>
      <c r="R109" s="1856"/>
      <c r="S109" s="1856"/>
      <c r="T109" s="1856"/>
      <c r="U109" s="1856"/>
      <c r="V109" s="1865" t="s">
        <v>1245</v>
      </c>
      <c r="W109" s="1865"/>
      <c r="X109" s="1865"/>
      <c r="Y109" s="1851"/>
      <c r="Z109" s="1851"/>
      <c r="AA109" s="1851"/>
      <c r="AB109" s="1851"/>
      <c r="AC109" s="1851"/>
      <c r="AD109" s="1851"/>
      <c r="AE109" s="1851"/>
      <c r="AF109" s="1851"/>
      <c r="AG109" s="1851"/>
      <c r="AH109" s="1851"/>
      <c r="AI109" s="1851"/>
      <c r="AJ109" s="1851"/>
      <c r="AK109" s="1851"/>
      <c r="AL109" s="1851"/>
      <c r="AM109" s="1851"/>
      <c r="AN109" s="1851"/>
      <c r="AO109" s="1851"/>
      <c r="AP109" s="1851"/>
      <c r="AQ109" s="1851"/>
      <c r="AR109" s="1851"/>
      <c r="AS109" s="1851"/>
      <c r="AT109" s="1851"/>
      <c r="AU109" s="1851"/>
      <c r="AV109" s="1851"/>
      <c r="AW109" s="1851"/>
      <c r="AX109" s="1851"/>
      <c r="AY109" s="1851"/>
      <c r="AZ109" s="1851"/>
      <c r="BA109" s="1851"/>
      <c r="BB109" s="1851"/>
    </row>
    <row r="110" spans="1:54" x14ac:dyDescent="0.25">
      <c r="A110" s="1851" t="s">
        <v>1248</v>
      </c>
      <c r="B110" s="1851"/>
      <c r="C110" s="1856" t="s">
        <v>814</v>
      </c>
      <c r="D110" s="1856"/>
      <c r="E110" s="1856"/>
      <c r="F110" s="1856"/>
      <c r="G110" s="1856"/>
      <c r="H110" s="1856"/>
      <c r="I110" s="1856"/>
      <c r="J110" s="1856"/>
      <c r="K110" s="1856"/>
      <c r="L110" s="1856"/>
      <c r="M110" s="1856"/>
      <c r="N110" s="1856"/>
      <c r="O110" s="1856"/>
      <c r="P110" s="1856"/>
      <c r="Q110" s="1856"/>
      <c r="R110" s="1856"/>
      <c r="S110" s="1856"/>
      <c r="T110" s="1856"/>
      <c r="U110" s="1856"/>
      <c r="V110" s="1865" t="s">
        <v>1245</v>
      </c>
      <c r="W110" s="1865"/>
      <c r="X110" s="1865"/>
      <c r="Y110" s="1851"/>
      <c r="Z110" s="1851"/>
      <c r="AA110" s="1851"/>
      <c r="AB110" s="1851"/>
      <c r="AC110" s="1851"/>
      <c r="AD110" s="1851"/>
      <c r="AE110" s="1851"/>
      <c r="AF110" s="1851"/>
      <c r="AG110" s="1851"/>
      <c r="AH110" s="1851"/>
      <c r="AI110" s="1851"/>
      <c r="AJ110" s="1851"/>
      <c r="AK110" s="1851"/>
      <c r="AL110" s="1851"/>
      <c r="AM110" s="1851"/>
      <c r="AN110" s="1851"/>
      <c r="AO110" s="1851"/>
      <c r="AP110" s="1851"/>
      <c r="AQ110" s="1851"/>
      <c r="AR110" s="1851"/>
      <c r="AS110" s="1851"/>
      <c r="AT110" s="1851"/>
      <c r="AU110" s="1851"/>
      <c r="AV110" s="1851"/>
      <c r="AW110" s="1851"/>
      <c r="AX110" s="1851"/>
      <c r="AY110" s="1851"/>
      <c r="AZ110" s="1851"/>
      <c r="BA110" s="1851"/>
      <c r="BB110" s="1851"/>
    </row>
    <row r="111" spans="1:54" x14ac:dyDescent="0.25">
      <c r="A111" s="1851" t="s">
        <v>1249</v>
      </c>
      <c r="B111" s="1851"/>
      <c r="C111" s="1856" t="s">
        <v>816</v>
      </c>
      <c r="D111" s="1856"/>
      <c r="E111" s="1856"/>
      <c r="F111" s="1856"/>
      <c r="G111" s="1856"/>
      <c r="H111" s="1856"/>
      <c r="I111" s="1856"/>
      <c r="J111" s="1856"/>
      <c r="K111" s="1856"/>
      <c r="L111" s="1856"/>
      <c r="M111" s="1856"/>
      <c r="N111" s="1856"/>
      <c r="O111" s="1856"/>
      <c r="P111" s="1856"/>
      <c r="Q111" s="1856"/>
      <c r="R111" s="1856"/>
      <c r="S111" s="1856"/>
      <c r="T111" s="1856"/>
      <c r="U111" s="1856"/>
      <c r="V111" s="1865" t="s">
        <v>1245</v>
      </c>
      <c r="W111" s="1865"/>
      <c r="X111" s="1865"/>
      <c r="Y111" s="1851"/>
      <c r="Z111" s="1851"/>
      <c r="AA111" s="1851"/>
      <c r="AB111" s="1851"/>
      <c r="AC111" s="1851"/>
      <c r="AD111" s="1851"/>
      <c r="AE111" s="1851"/>
      <c r="AF111" s="1851"/>
      <c r="AG111" s="1851"/>
      <c r="AH111" s="1851"/>
      <c r="AI111" s="1851"/>
      <c r="AJ111" s="1851"/>
      <c r="AK111" s="1851"/>
      <c r="AL111" s="1851"/>
      <c r="AM111" s="1851"/>
      <c r="AN111" s="1851"/>
      <c r="AO111" s="1851"/>
      <c r="AP111" s="1851"/>
      <c r="AQ111" s="1851"/>
      <c r="AR111" s="1851"/>
      <c r="AS111" s="1851"/>
      <c r="AT111" s="1851"/>
      <c r="AU111" s="1851"/>
      <c r="AV111" s="1851"/>
      <c r="AW111" s="1851"/>
      <c r="AX111" s="1851"/>
      <c r="AY111" s="1851"/>
      <c r="AZ111" s="1851"/>
      <c r="BA111" s="1851"/>
      <c r="BB111" s="1851"/>
    </row>
    <row r="112" spans="1:54" x14ac:dyDescent="0.25">
      <c r="A112" s="1851" t="s">
        <v>1250</v>
      </c>
      <c r="B112" s="1851"/>
      <c r="C112" s="1856" t="s">
        <v>1251</v>
      </c>
      <c r="D112" s="1856"/>
      <c r="E112" s="1856"/>
      <c r="F112" s="1856"/>
      <c r="G112" s="1856"/>
      <c r="H112" s="1856"/>
      <c r="I112" s="1856"/>
      <c r="J112" s="1856"/>
      <c r="K112" s="1856"/>
      <c r="L112" s="1856"/>
      <c r="M112" s="1856"/>
      <c r="N112" s="1856"/>
      <c r="O112" s="1856"/>
      <c r="P112" s="1856"/>
      <c r="Q112" s="1856"/>
      <c r="R112" s="1856"/>
      <c r="S112" s="1856"/>
      <c r="T112" s="1856"/>
      <c r="U112" s="1856"/>
      <c r="V112" s="1865" t="s">
        <v>1245</v>
      </c>
      <c r="W112" s="1865"/>
      <c r="X112" s="1865"/>
      <c r="Y112" s="1851"/>
      <c r="Z112" s="1851"/>
      <c r="AA112" s="1851"/>
      <c r="AB112" s="1851"/>
      <c r="AC112" s="1851"/>
      <c r="AD112" s="1851"/>
      <c r="AE112" s="1851"/>
      <c r="AF112" s="1851"/>
      <c r="AG112" s="1851"/>
      <c r="AH112" s="1851"/>
      <c r="AI112" s="1851"/>
      <c r="AJ112" s="1851"/>
      <c r="AK112" s="1851"/>
      <c r="AL112" s="1851"/>
      <c r="AM112" s="1851"/>
      <c r="AN112" s="1851"/>
      <c r="AO112" s="1851"/>
      <c r="AP112" s="1851"/>
      <c r="AQ112" s="1851"/>
      <c r="AR112" s="1851"/>
      <c r="AS112" s="1851"/>
      <c r="AT112" s="1851"/>
      <c r="AU112" s="1851"/>
      <c r="AV112" s="1851"/>
      <c r="AW112" s="1851"/>
      <c r="AX112" s="1851"/>
      <c r="AY112" s="1851"/>
      <c r="AZ112" s="1851"/>
      <c r="BA112" s="1851"/>
      <c r="BB112" s="1851"/>
    </row>
    <row r="113" spans="1:54" x14ac:dyDescent="0.25">
      <c r="A113" s="1851" t="s">
        <v>1252</v>
      </c>
      <c r="B113" s="1851"/>
      <c r="C113" s="1856" t="s">
        <v>1253</v>
      </c>
      <c r="D113" s="1856"/>
      <c r="E113" s="1856"/>
      <c r="F113" s="1856"/>
      <c r="G113" s="1856"/>
      <c r="H113" s="1856"/>
      <c r="I113" s="1856"/>
      <c r="J113" s="1856"/>
      <c r="K113" s="1856"/>
      <c r="L113" s="1856"/>
      <c r="M113" s="1856"/>
      <c r="N113" s="1856"/>
      <c r="O113" s="1856"/>
      <c r="P113" s="1856"/>
      <c r="Q113" s="1856"/>
      <c r="R113" s="1856"/>
      <c r="S113" s="1856"/>
      <c r="T113" s="1856"/>
      <c r="U113" s="1856"/>
      <c r="V113" s="1865" t="s">
        <v>1254</v>
      </c>
      <c r="W113" s="1865"/>
      <c r="X113" s="1865"/>
      <c r="Y113" s="1857"/>
      <c r="Z113" s="1877"/>
      <c r="AA113" s="1877"/>
      <c r="AB113" s="1877"/>
      <c r="AC113" s="1859"/>
      <c r="AD113" s="1859"/>
      <c r="AE113" s="1857"/>
      <c r="AF113" s="1877"/>
      <c r="AG113" s="1877"/>
      <c r="AH113" s="1877"/>
      <c r="AI113" s="1859"/>
      <c r="AJ113" s="1859"/>
      <c r="AK113" s="1857"/>
      <c r="AL113" s="1877"/>
      <c r="AM113" s="1877"/>
      <c r="AN113" s="1877"/>
      <c r="AO113" s="1859"/>
      <c r="AP113" s="1859"/>
      <c r="AQ113" s="1857"/>
      <c r="AR113" s="1877"/>
      <c r="AS113" s="1877"/>
      <c r="AT113" s="1877"/>
      <c r="AU113" s="1859"/>
      <c r="AV113" s="1859"/>
      <c r="AW113" s="1857"/>
      <c r="AX113" s="1877"/>
      <c r="AY113" s="1877"/>
      <c r="AZ113" s="1877"/>
      <c r="BA113" s="1859"/>
      <c r="BB113" s="1859"/>
    </row>
    <row r="114" spans="1:54" x14ac:dyDescent="0.25">
      <c r="A114" s="1851" t="s">
        <v>1255</v>
      </c>
      <c r="B114" s="1851"/>
      <c r="C114" s="1856" t="s">
        <v>1256</v>
      </c>
      <c r="D114" s="1856"/>
      <c r="E114" s="1856"/>
      <c r="F114" s="1856"/>
      <c r="G114" s="1856"/>
      <c r="H114" s="1856"/>
      <c r="I114" s="1856"/>
      <c r="J114" s="1856"/>
      <c r="K114" s="1856"/>
      <c r="L114" s="1856"/>
      <c r="M114" s="1856"/>
      <c r="N114" s="1856"/>
      <c r="O114" s="1856"/>
      <c r="P114" s="1856"/>
      <c r="Q114" s="1856"/>
      <c r="R114" s="1856"/>
      <c r="S114" s="1856"/>
      <c r="T114" s="1856"/>
      <c r="U114" s="1856"/>
      <c r="V114" s="1856" t="s">
        <v>1254</v>
      </c>
      <c r="W114" s="1856"/>
      <c r="X114" s="1856"/>
      <c r="Y114" s="1851"/>
      <c r="Z114" s="1851"/>
      <c r="AA114" s="1851"/>
      <c r="AB114" s="1851"/>
      <c r="AC114" s="1851"/>
      <c r="AD114" s="1851"/>
      <c r="AE114" s="1851"/>
      <c r="AF114" s="1851"/>
      <c r="AG114" s="1851"/>
      <c r="AH114" s="1851"/>
      <c r="AI114" s="1851"/>
      <c r="AJ114" s="1851"/>
      <c r="AK114" s="1851"/>
      <c r="AL114" s="1851"/>
      <c r="AM114" s="1851"/>
      <c r="AN114" s="1851"/>
      <c r="AO114" s="1851"/>
      <c r="AP114" s="1851"/>
      <c r="AQ114" s="1851"/>
      <c r="AR114" s="1851"/>
      <c r="AS114" s="1851"/>
      <c r="AT114" s="1851"/>
      <c r="AU114" s="1851"/>
      <c r="AV114" s="1851"/>
      <c r="AW114" s="1851"/>
      <c r="AX114" s="1851"/>
      <c r="AY114" s="1851"/>
      <c r="AZ114" s="1851"/>
      <c r="BA114" s="1851"/>
      <c r="BB114" s="1851"/>
    </row>
    <row r="115" spans="1:54" x14ac:dyDescent="0.25">
      <c r="A115" s="1851" t="s">
        <v>1257</v>
      </c>
      <c r="B115" s="1851"/>
      <c r="C115" s="1856" t="s">
        <v>1258</v>
      </c>
      <c r="D115" s="1856"/>
      <c r="E115" s="1856"/>
      <c r="F115" s="1856"/>
      <c r="G115" s="1856"/>
      <c r="H115" s="1856"/>
      <c r="I115" s="1856"/>
      <c r="J115" s="1856"/>
      <c r="K115" s="1856"/>
      <c r="L115" s="1856"/>
      <c r="M115" s="1856"/>
      <c r="N115" s="1856"/>
      <c r="O115" s="1856"/>
      <c r="P115" s="1856"/>
      <c r="Q115" s="1856"/>
      <c r="R115" s="1856"/>
      <c r="S115" s="1856"/>
      <c r="T115" s="1856"/>
      <c r="U115" s="1856"/>
      <c r="V115" s="1856" t="s">
        <v>1254</v>
      </c>
      <c r="W115" s="1856"/>
      <c r="X115" s="1856"/>
      <c r="Y115" s="1851"/>
      <c r="Z115" s="1851"/>
      <c r="AA115" s="1851"/>
      <c r="AB115" s="1851"/>
      <c r="AC115" s="1851"/>
      <c r="AD115" s="1851"/>
      <c r="AE115" s="1851"/>
      <c r="AF115" s="1851"/>
      <c r="AG115" s="1851"/>
      <c r="AH115" s="1851"/>
      <c r="AI115" s="1851"/>
      <c r="AJ115" s="1851"/>
      <c r="AK115" s="1851"/>
      <c r="AL115" s="1851"/>
      <c r="AM115" s="1851"/>
      <c r="AN115" s="1851"/>
      <c r="AO115" s="1851"/>
      <c r="AP115" s="1851"/>
      <c r="AQ115" s="1851"/>
      <c r="AR115" s="1851"/>
      <c r="AS115" s="1851"/>
      <c r="AT115" s="1851"/>
      <c r="AU115" s="1851"/>
      <c r="AV115" s="1851"/>
      <c r="AW115" s="1851"/>
      <c r="AX115" s="1851"/>
      <c r="AY115" s="1851"/>
      <c r="AZ115" s="1851"/>
      <c r="BA115" s="1851"/>
      <c r="BB115" s="1851"/>
    </row>
    <row r="116" spans="1:54" x14ac:dyDescent="0.25">
      <c r="A116" s="1851" t="s">
        <v>1259</v>
      </c>
      <c r="B116" s="1851"/>
      <c r="C116" s="1856" t="s">
        <v>1260</v>
      </c>
      <c r="D116" s="1856"/>
      <c r="E116" s="1856"/>
      <c r="F116" s="1856"/>
      <c r="G116" s="1856"/>
      <c r="H116" s="1856"/>
      <c r="I116" s="1856"/>
      <c r="J116" s="1856"/>
      <c r="K116" s="1856"/>
      <c r="L116" s="1856"/>
      <c r="M116" s="1856"/>
      <c r="N116" s="1856"/>
      <c r="O116" s="1856"/>
      <c r="P116" s="1856"/>
      <c r="Q116" s="1856"/>
      <c r="R116" s="1856"/>
      <c r="S116" s="1856"/>
      <c r="T116" s="1856"/>
      <c r="U116" s="1856"/>
      <c r="V116" s="1856" t="s">
        <v>1254</v>
      </c>
      <c r="W116" s="1856"/>
      <c r="X116" s="1856"/>
      <c r="Y116" s="1851"/>
      <c r="Z116" s="1851"/>
      <c r="AA116" s="1851"/>
      <c r="AB116" s="1851"/>
      <c r="AC116" s="1851"/>
      <c r="AD116" s="1851"/>
      <c r="AE116" s="1851"/>
      <c r="AF116" s="1851"/>
      <c r="AG116" s="1851"/>
      <c r="AH116" s="1851"/>
      <c r="AI116" s="1851"/>
      <c r="AJ116" s="1851"/>
      <c r="AK116" s="1851"/>
      <c r="AL116" s="1851"/>
      <c r="AM116" s="1851"/>
      <c r="AN116" s="1851"/>
      <c r="AO116" s="1851"/>
      <c r="AP116" s="1851"/>
      <c r="AQ116" s="1851"/>
      <c r="AR116" s="1851"/>
      <c r="AS116" s="1851"/>
      <c r="AT116" s="1851"/>
      <c r="AU116" s="1851"/>
      <c r="AV116" s="1851"/>
      <c r="AW116" s="1851"/>
      <c r="AX116" s="1851"/>
      <c r="AY116" s="1851"/>
      <c r="AZ116" s="1851"/>
      <c r="BA116" s="1851"/>
      <c r="BB116" s="1851"/>
    </row>
    <row r="117" spans="1:54" x14ac:dyDescent="0.25">
      <c r="A117" s="1851" t="s">
        <v>1261</v>
      </c>
      <c r="B117" s="1851"/>
      <c r="C117" s="1856" t="s">
        <v>1262</v>
      </c>
      <c r="D117" s="1856"/>
      <c r="E117" s="1856"/>
      <c r="F117" s="1856"/>
      <c r="G117" s="1856"/>
      <c r="H117" s="1856"/>
      <c r="I117" s="1856"/>
      <c r="J117" s="1856"/>
      <c r="K117" s="1856"/>
      <c r="L117" s="1856"/>
      <c r="M117" s="1856"/>
      <c r="N117" s="1856"/>
      <c r="O117" s="1856"/>
      <c r="P117" s="1856"/>
      <c r="Q117" s="1856"/>
      <c r="R117" s="1856"/>
      <c r="S117" s="1856"/>
      <c r="T117" s="1856"/>
      <c r="U117" s="1856"/>
      <c r="V117" s="1856" t="s">
        <v>1254</v>
      </c>
      <c r="W117" s="1856"/>
      <c r="X117" s="1856"/>
      <c r="Y117" s="1851"/>
      <c r="Z117" s="1851"/>
      <c r="AA117" s="1851"/>
      <c r="AB117" s="1851"/>
      <c r="AC117" s="1851"/>
      <c r="AD117" s="1851"/>
      <c r="AE117" s="1851"/>
      <c r="AF117" s="1851"/>
      <c r="AG117" s="1851"/>
      <c r="AH117" s="1851"/>
      <c r="AI117" s="1851"/>
      <c r="AJ117" s="1851"/>
      <c r="AK117" s="1851"/>
      <c r="AL117" s="1851"/>
      <c r="AM117" s="1851"/>
      <c r="AN117" s="1851"/>
      <c r="AO117" s="1851"/>
      <c r="AP117" s="1851"/>
      <c r="AQ117" s="1851"/>
      <c r="AR117" s="1851"/>
      <c r="AS117" s="1851"/>
      <c r="AT117" s="1851"/>
      <c r="AU117" s="1851"/>
      <c r="AV117" s="1851"/>
      <c r="AW117" s="1851"/>
      <c r="AX117" s="1851"/>
      <c r="AY117" s="1851"/>
      <c r="AZ117" s="1851"/>
      <c r="BA117" s="1851"/>
      <c r="BB117" s="1851"/>
    </row>
    <row r="118" spans="1:54" x14ac:dyDescent="0.25">
      <c r="A118" s="1851" t="s">
        <v>1263</v>
      </c>
      <c r="B118" s="1851"/>
      <c r="C118" s="1856" t="s">
        <v>1264</v>
      </c>
      <c r="D118" s="1856"/>
      <c r="E118" s="1856"/>
      <c r="F118" s="1856"/>
      <c r="G118" s="1856"/>
      <c r="H118" s="1856"/>
      <c r="I118" s="1856"/>
      <c r="J118" s="1856"/>
      <c r="K118" s="1856"/>
      <c r="L118" s="1856"/>
      <c r="M118" s="1856"/>
      <c r="N118" s="1856"/>
      <c r="O118" s="1856"/>
      <c r="P118" s="1856"/>
      <c r="Q118" s="1856"/>
      <c r="R118" s="1856"/>
      <c r="S118" s="1856"/>
      <c r="T118" s="1856"/>
      <c r="U118" s="1856"/>
      <c r="V118" s="1856" t="s">
        <v>1254</v>
      </c>
      <c r="W118" s="1856"/>
      <c r="X118" s="1856"/>
      <c r="Y118" s="1851"/>
      <c r="Z118" s="1851"/>
      <c r="AA118" s="1851"/>
      <c r="AB118" s="1851"/>
      <c r="AC118" s="1851"/>
      <c r="AD118" s="1851"/>
      <c r="AE118" s="1851"/>
      <c r="AF118" s="1851"/>
      <c r="AG118" s="1851"/>
      <c r="AH118" s="1851"/>
      <c r="AI118" s="1851"/>
      <c r="AJ118" s="1851"/>
      <c r="AK118" s="1851"/>
      <c r="AL118" s="1851"/>
      <c r="AM118" s="1851"/>
      <c r="AN118" s="1851"/>
      <c r="AO118" s="1851"/>
      <c r="AP118" s="1851"/>
      <c r="AQ118" s="1851"/>
      <c r="AR118" s="1851"/>
      <c r="AS118" s="1851"/>
      <c r="AT118" s="1851"/>
      <c r="AU118" s="1851"/>
      <c r="AV118" s="1851"/>
      <c r="AW118" s="1851"/>
      <c r="AX118" s="1851"/>
      <c r="AY118" s="1851"/>
      <c r="AZ118" s="1851"/>
      <c r="BA118" s="1851"/>
      <c r="BB118" s="1851"/>
    </row>
    <row r="119" spans="1:54" x14ac:dyDescent="0.25">
      <c r="A119" s="1851" t="s">
        <v>1265</v>
      </c>
      <c r="B119" s="1851"/>
      <c r="C119" s="1856" t="s">
        <v>1266</v>
      </c>
      <c r="D119" s="1856"/>
      <c r="E119" s="1856"/>
      <c r="F119" s="1856"/>
      <c r="G119" s="1856"/>
      <c r="H119" s="1856"/>
      <c r="I119" s="1856"/>
      <c r="J119" s="1856"/>
      <c r="K119" s="1856"/>
      <c r="L119" s="1856"/>
      <c r="M119" s="1856"/>
      <c r="N119" s="1856"/>
      <c r="O119" s="1856"/>
      <c r="P119" s="1856"/>
      <c r="Q119" s="1856"/>
      <c r="R119" s="1856"/>
      <c r="S119" s="1856"/>
      <c r="T119" s="1856"/>
      <c r="U119" s="1856"/>
      <c r="V119" s="1856" t="s">
        <v>1254</v>
      </c>
      <c r="W119" s="1856"/>
      <c r="X119" s="1856"/>
      <c r="Y119" s="1851"/>
      <c r="Z119" s="1851"/>
      <c r="AA119" s="1851"/>
      <c r="AB119" s="1851"/>
      <c r="AC119" s="1851"/>
      <c r="AD119" s="1851"/>
      <c r="AE119" s="1851"/>
      <c r="AF119" s="1851"/>
      <c r="AG119" s="1851"/>
      <c r="AH119" s="1851"/>
      <c r="AI119" s="1851"/>
      <c r="AJ119" s="1851"/>
      <c r="AK119" s="1851"/>
      <c r="AL119" s="1851"/>
      <c r="AM119" s="1851"/>
      <c r="AN119" s="1851"/>
      <c r="AO119" s="1851"/>
      <c r="AP119" s="1851"/>
      <c r="AQ119" s="1851"/>
      <c r="AR119" s="1851"/>
      <c r="AS119" s="1851"/>
      <c r="AT119" s="1851"/>
      <c r="AU119" s="1851"/>
      <c r="AV119" s="1851"/>
      <c r="AW119" s="1851"/>
      <c r="AX119" s="1851"/>
      <c r="AY119" s="1851"/>
      <c r="AZ119" s="1851"/>
      <c r="BA119" s="1851"/>
      <c r="BB119" s="1851"/>
    </row>
    <row r="120" spans="1:54" x14ac:dyDescent="0.25">
      <c r="A120" s="1851" t="s">
        <v>1267</v>
      </c>
      <c r="B120" s="1851"/>
      <c r="C120" s="1856" t="s">
        <v>1268</v>
      </c>
      <c r="D120" s="1856"/>
      <c r="E120" s="1856"/>
      <c r="F120" s="1856"/>
      <c r="G120" s="1856"/>
      <c r="H120" s="1856"/>
      <c r="I120" s="1856"/>
      <c r="J120" s="1856"/>
      <c r="K120" s="1856"/>
      <c r="L120" s="1856"/>
      <c r="M120" s="1856"/>
      <c r="N120" s="1856"/>
      <c r="O120" s="1856"/>
      <c r="P120" s="1856"/>
      <c r="Q120" s="1856"/>
      <c r="R120" s="1856"/>
      <c r="S120" s="1856"/>
      <c r="T120" s="1856"/>
      <c r="U120" s="1856"/>
      <c r="V120" s="1856" t="s">
        <v>1254</v>
      </c>
      <c r="W120" s="1856"/>
      <c r="X120" s="1856"/>
      <c r="Y120" s="1851"/>
      <c r="Z120" s="1851"/>
      <c r="AA120" s="1851"/>
      <c r="AB120" s="1851"/>
      <c r="AC120" s="1851"/>
      <c r="AD120" s="1851"/>
      <c r="AE120" s="1851"/>
      <c r="AF120" s="1851"/>
      <c r="AG120" s="1851"/>
      <c r="AH120" s="1851"/>
      <c r="AI120" s="1851"/>
      <c r="AJ120" s="1851"/>
      <c r="AK120" s="1851"/>
      <c r="AL120" s="1851"/>
      <c r="AM120" s="1851"/>
      <c r="AN120" s="1851"/>
      <c r="AO120" s="1851"/>
      <c r="AP120" s="1851"/>
      <c r="AQ120" s="1851"/>
      <c r="AR120" s="1851"/>
      <c r="AS120" s="1851"/>
      <c r="AT120" s="1851"/>
      <c r="AU120" s="1851"/>
      <c r="AV120" s="1851"/>
      <c r="AW120" s="1851"/>
      <c r="AX120" s="1851"/>
      <c r="AY120" s="1851"/>
      <c r="AZ120" s="1851"/>
      <c r="BA120" s="1851"/>
      <c r="BB120" s="1851"/>
    </row>
    <row r="121" spans="1:54" x14ac:dyDescent="0.25">
      <c r="A121" s="1851" t="s">
        <v>1269</v>
      </c>
      <c r="B121" s="1851"/>
      <c r="C121" s="1856" t="s">
        <v>1270</v>
      </c>
      <c r="D121" s="1856"/>
      <c r="E121" s="1856"/>
      <c r="F121" s="1856"/>
      <c r="G121" s="1856"/>
      <c r="H121" s="1856"/>
      <c r="I121" s="1856"/>
      <c r="J121" s="1856"/>
      <c r="K121" s="1856"/>
      <c r="L121" s="1856"/>
      <c r="M121" s="1856"/>
      <c r="N121" s="1856"/>
      <c r="O121" s="1856"/>
      <c r="P121" s="1856"/>
      <c r="Q121" s="1856"/>
      <c r="R121" s="1856"/>
      <c r="S121" s="1856"/>
      <c r="T121" s="1856"/>
      <c r="U121" s="1856"/>
      <c r="V121" s="1865" t="s">
        <v>1271</v>
      </c>
      <c r="W121" s="1865"/>
      <c r="X121" s="1865"/>
      <c r="Y121" s="1857"/>
      <c r="Z121" s="1877"/>
      <c r="AA121" s="1877"/>
      <c r="AB121" s="1877"/>
      <c r="AC121" s="1859"/>
      <c r="AD121" s="1859"/>
      <c r="AE121" s="1857"/>
      <c r="AF121" s="1877"/>
      <c r="AG121" s="1877"/>
      <c r="AH121" s="1877"/>
      <c r="AI121" s="1859"/>
      <c r="AJ121" s="1859"/>
      <c r="AK121" s="1857"/>
      <c r="AL121" s="1877"/>
      <c r="AM121" s="1877"/>
      <c r="AN121" s="1877"/>
      <c r="AO121" s="1859"/>
      <c r="AP121" s="1859"/>
      <c r="AQ121" s="1857"/>
      <c r="AR121" s="1877"/>
      <c r="AS121" s="1877"/>
      <c r="AT121" s="1877"/>
      <c r="AU121" s="1859"/>
      <c r="AV121" s="1859"/>
      <c r="AW121" s="1857"/>
      <c r="AX121" s="1877"/>
      <c r="AY121" s="1877"/>
      <c r="AZ121" s="1877"/>
      <c r="BA121" s="1859"/>
      <c r="BB121" s="1859"/>
    </row>
    <row r="122" spans="1:54" x14ac:dyDescent="0.25">
      <c r="A122" s="1851" t="s">
        <v>1272</v>
      </c>
      <c r="B122" s="1851"/>
      <c r="C122" s="1856" t="s">
        <v>1273</v>
      </c>
      <c r="D122" s="1856"/>
      <c r="E122" s="1856"/>
      <c r="F122" s="1856"/>
      <c r="G122" s="1856"/>
      <c r="H122" s="1856"/>
      <c r="I122" s="1856"/>
      <c r="J122" s="1856"/>
      <c r="K122" s="1856"/>
      <c r="L122" s="1856"/>
      <c r="M122" s="1856"/>
      <c r="N122" s="1856"/>
      <c r="O122" s="1856"/>
      <c r="P122" s="1856"/>
      <c r="Q122" s="1856"/>
      <c r="R122" s="1856"/>
      <c r="S122" s="1856"/>
      <c r="T122" s="1856"/>
      <c r="U122" s="1856"/>
      <c r="V122" s="1856" t="s">
        <v>1271</v>
      </c>
      <c r="W122" s="1856"/>
      <c r="X122" s="1856"/>
      <c r="Y122" s="1851"/>
      <c r="Z122" s="1851"/>
      <c r="AA122" s="1851"/>
      <c r="AB122" s="1851"/>
      <c r="AC122" s="1851"/>
      <c r="AD122" s="1851"/>
      <c r="AE122" s="1851"/>
      <c r="AF122" s="1851"/>
      <c r="AG122" s="1851"/>
      <c r="AH122" s="1851"/>
      <c r="AI122" s="1851"/>
      <c r="AJ122" s="1851"/>
      <c r="AK122" s="1851"/>
      <c r="AL122" s="1851"/>
      <c r="AM122" s="1851"/>
      <c r="AN122" s="1851"/>
      <c r="AO122" s="1851"/>
      <c r="AP122" s="1851"/>
      <c r="AQ122" s="1851"/>
      <c r="AR122" s="1851"/>
      <c r="AS122" s="1851"/>
      <c r="AT122" s="1851"/>
      <c r="AU122" s="1851"/>
      <c r="AV122" s="1851"/>
      <c r="AW122" s="1851"/>
      <c r="AX122" s="1851"/>
      <c r="AY122" s="1851"/>
      <c r="AZ122" s="1851"/>
      <c r="BA122" s="1851"/>
      <c r="BB122" s="1851"/>
    </row>
    <row r="123" spans="1:54" x14ac:dyDescent="0.25">
      <c r="A123" s="1851" t="s">
        <v>1274</v>
      </c>
      <c r="B123" s="1851"/>
      <c r="C123" s="1856" t="s">
        <v>1275</v>
      </c>
      <c r="D123" s="1856"/>
      <c r="E123" s="1856"/>
      <c r="F123" s="1856"/>
      <c r="G123" s="1856"/>
      <c r="H123" s="1856"/>
      <c r="I123" s="1856"/>
      <c r="J123" s="1856"/>
      <c r="K123" s="1856"/>
      <c r="L123" s="1856"/>
      <c r="M123" s="1856"/>
      <c r="N123" s="1856"/>
      <c r="O123" s="1856"/>
      <c r="P123" s="1856"/>
      <c r="Q123" s="1856"/>
      <c r="R123" s="1856"/>
      <c r="S123" s="1856"/>
      <c r="T123" s="1856"/>
      <c r="U123" s="1856"/>
      <c r="V123" s="1856" t="s">
        <v>1271</v>
      </c>
      <c r="W123" s="1856"/>
      <c r="X123" s="1856"/>
      <c r="Y123" s="1851"/>
      <c r="Z123" s="1851"/>
      <c r="AA123" s="1851"/>
      <c r="AB123" s="1851"/>
      <c r="AC123" s="1851"/>
      <c r="AD123" s="1851"/>
      <c r="AE123" s="1851"/>
      <c r="AF123" s="1851"/>
      <c r="AG123" s="1851"/>
      <c r="AH123" s="1851"/>
      <c r="AI123" s="1851"/>
      <c r="AJ123" s="1851"/>
      <c r="AK123" s="1851"/>
      <c r="AL123" s="1851"/>
      <c r="AM123" s="1851"/>
      <c r="AN123" s="1851"/>
      <c r="AO123" s="1851"/>
      <c r="AP123" s="1851"/>
      <c r="AQ123" s="1851"/>
      <c r="AR123" s="1851"/>
      <c r="AS123" s="1851"/>
      <c r="AT123" s="1851"/>
      <c r="AU123" s="1851"/>
      <c r="AV123" s="1851"/>
      <c r="AW123" s="1851"/>
      <c r="AX123" s="1851"/>
      <c r="AY123" s="1851"/>
      <c r="AZ123" s="1851"/>
      <c r="BA123" s="1851"/>
      <c r="BB123" s="1851"/>
    </row>
    <row r="124" spans="1:54" x14ac:dyDescent="0.25">
      <c r="A124" s="1851" t="s">
        <v>1276</v>
      </c>
      <c r="B124" s="1851"/>
      <c r="C124" s="1856" t="s">
        <v>1277</v>
      </c>
      <c r="D124" s="1856"/>
      <c r="E124" s="1856"/>
      <c r="F124" s="1856"/>
      <c r="G124" s="1856"/>
      <c r="H124" s="1856"/>
      <c r="I124" s="1856"/>
      <c r="J124" s="1856"/>
      <c r="K124" s="1856"/>
      <c r="L124" s="1856"/>
      <c r="M124" s="1856"/>
      <c r="N124" s="1856"/>
      <c r="O124" s="1856"/>
      <c r="P124" s="1856"/>
      <c r="Q124" s="1856"/>
      <c r="R124" s="1856"/>
      <c r="S124" s="1856"/>
      <c r="T124" s="1856"/>
      <c r="U124" s="1856"/>
      <c r="V124" s="1856" t="s">
        <v>1271</v>
      </c>
      <c r="W124" s="1856"/>
      <c r="X124" s="1856"/>
      <c r="Y124" s="1851"/>
      <c r="Z124" s="1851"/>
      <c r="AA124" s="1851"/>
      <c r="AB124" s="1851"/>
      <c r="AC124" s="1851"/>
      <c r="AD124" s="1851"/>
      <c r="AE124" s="1851"/>
      <c r="AF124" s="1851"/>
      <c r="AG124" s="1851"/>
      <c r="AH124" s="1851"/>
      <c r="AI124" s="1851"/>
      <c r="AJ124" s="1851"/>
      <c r="AK124" s="1851"/>
      <c r="AL124" s="1851"/>
      <c r="AM124" s="1851"/>
      <c r="AN124" s="1851"/>
      <c r="AO124" s="1851"/>
      <c r="AP124" s="1851"/>
      <c r="AQ124" s="1851"/>
      <c r="AR124" s="1851"/>
      <c r="AS124" s="1851"/>
      <c r="AT124" s="1851"/>
      <c r="AU124" s="1851"/>
      <c r="AV124" s="1851"/>
      <c r="AW124" s="1851"/>
      <c r="AX124" s="1851"/>
      <c r="AY124" s="1851"/>
      <c r="AZ124" s="1851"/>
      <c r="BA124" s="1851"/>
      <c r="BB124" s="1851"/>
    </row>
    <row r="125" spans="1:54" x14ac:dyDescent="0.25">
      <c r="A125" s="1851" t="s">
        <v>1278</v>
      </c>
      <c r="B125" s="1851"/>
      <c r="C125" s="1856" t="s">
        <v>1279</v>
      </c>
      <c r="D125" s="1856"/>
      <c r="E125" s="1856"/>
      <c r="F125" s="1856"/>
      <c r="G125" s="1856"/>
      <c r="H125" s="1856"/>
      <c r="I125" s="1856"/>
      <c r="J125" s="1856"/>
      <c r="K125" s="1856"/>
      <c r="L125" s="1856"/>
      <c r="M125" s="1856"/>
      <c r="N125" s="1856"/>
      <c r="O125" s="1856"/>
      <c r="P125" s="1856"/>
      <c r="Q125" s="1856"/>
      <c r="R125" s="1856"/>
      <c r="S125" s="1856"/>
      <c r="T125" s="1856"/>
      <c r="U125" s="1856"/>
      <c r="V125" s="1856" t="s">
        <v>1271</v>
      </c>
      <c r="W125" s="1856"/>
      <c r="X125" s="1856"/>
      <c r="Y125" s="1851"/>
      <c r="Z125" s="1851"/>
      <c r="AA125" s="1851"/>
      <c r="AB125" s="1851"/>
      <c r="AC125" s="1851"/>
      <c r="AD125" s="1851"/>
      <c r="AE125" s="1851"/>
      <c r="AF125" s="1851"/>
      <c r="AG125" s="1851"/>
      <c r="AH125" s="1851"/>
      <c r="AI125" s="1851"/>
      <c r="AJ125" s="1851"/>
      <c r="AK125" s="1851"/>
      <c r="AL125" s="1851"/>
      <c r="AM125" s="1851"/>
      <c r="AN125" s="1851"/>
      <c r="AO125" s="1851"/>
      <c r="AP125" s="1851"/>
      <c r="AQ125" s="1851"/>
      <c r="AR125" s="1851"/>
      <c r="AS125" s="1851"/>
      <c r="AT125" s="1851"/>
      <c r="AU125" s="1851"/>
      <c r="AV125" s="1851"/>
      <c r="AW125" s="1851"/>
      <c r="AX125" s="1851"/>
      <c r="AY125" s="1851"/>
      <c r="AZ125" s="1851"/>
      <c r="BA125" s="1851"/>
      <c r="BB125" s="1851"/>
    </row>
    <row r="126" spans="1:54" x14ac:dyDescent="0.25">
      <c r="A126" s="1851" t="s">
        <v>1280</v>
      </c>
      <c r="B126" s="1851"/>
      <c r="C126" s="1856" t="s">
        <v>1281</v>
      </c>
      <c r="D126" s="1856"/>
      <c r="E126" s="1856"/>
      <c r="F126" s="1856"/>
      <c r="G126" s="1856"/>
      <c r="H126" s="1856"/>
      <c r="I126" s="1856"/>
      <c r="J126" s="1856"/>
      <c r="K126" s="1856"/>
      <c r="L126" s="1856"/>
      <c r="M126" s="1856"/>
      <c r="N126" s="1856"/>
      <c r="O126" s="1856"/>
      <c r="P126" s="1856"/>
      <c r="Q126" s="1856"/>
      <c r="R126" s="1856"/>
      <c r="S126" s="1856"/>
      <c r="T126" s="1856"/>
      <c r="U126" s="1856"/>
      <c r="V126" s="1856" t="s">
        <v>1271</v>
      </c>
      <c r="W126" s="1856"/>
      <c r="X126" s="1856"/>
      <c r="Y126" s="1851"/>
      <c r="Z126" s="1851"/>
      <c r="AA126" s="1851"/>
      <c r="AB126" s="1851"/>
      <c r="AC126" s="1851"/>
      <c r="AD126" s="1851"/>
      <c r="AE126" s="1851"/>
      <c r="AF126" s="1851"/>
      <c r="AG126" s="1851"/>
      <c r="AH126" s="1851"/>
      <c r="AI126" s="1851"/>
      <c r="AJ126" s="1851"/>
      <c r="AK126" s="1851"/>
      <c r="AL126" s="1851"/>
      <c r="AM126" s="1851"/>
      <c r="AN126" s="1851"/>
      <c r="AO126" s="1851"/>
      <c r="AP126" s="1851"/>
      <c r="AQ126" s="1851"/>
      <c r="AR126" s="1851"/>
      <c r="AS126" s="1851"/>
      <c r="AT126" s="1851"/>
      <c r="AU126" s="1851"/>
      <c r="AV126" s="1851"/>
      <c r="AW126" s="1851"/>
      <c r="AX126" s="1851"/>
      <c r="AY126" s="1851"/>
      <c r="AZ126" s="1851"/>
      <c r="BA126" s="1851"/>
      <c r="BB126" s="1851"/>
    </row>
    <row r="127" spans="1:54" x14ac:dyDescent="0.25">
      <c r="A127" s="1851" t="s">
        <v>1282</v>
      </c>
      <c r="B127" s="1851"/>
      <c r="C127" s="1856" t="s">
        <v>1283</v>
      </c>
      <c r="D127" s="1856"/>
      <c r="E127" s="1856"/>
      <c r="F127" s="1856"/>
      <c r="G127" s="1856"/>
      <c r="H127" s="1856"/>
      <c r="I127" s="1856"/>
      <c r="J127" s="1856"/>
      <c r="K127" s="1856"/>
      <c r="L127" s="1856"/>
      <c r="M127" s="1856"/>
      <c r="N127" s="1856"/>
      <c r="O127" s="1856"/>
      <c r="P127" s="1856"/>
      <c r="Q127" s="1856"/>
      <c r="R127" s="1856"/>
      <c r="S127" s="1856"/>
      <c r="T127" s="1856"/>
      <c r="U127" s="1856"/>
      <c r="V127" s="1856" t="s">
        <v>1271</v>
      </c>
      <c r="W127" s="1856"/>
      <c r="X127" s="1856"/>
      <c r="Y127" s="1851"/>
      <c r="Z127" s="1851"/>
      <c r="AA127" s="1851"/>
      <c r="AB127" s="1851"/>
      <c r="AC127" s="1851"/>
      <c r="AD127" s="1851"/>
      <c r="AE127" s="1851"/>
      <c r="AF127" s="1851"/>
      <c r="AG127" s="1851"/>
      <c r="AH127" s="1851"/>
      <c r="AI127" s="1851"/>
      <c r="AJ127" s="1851"/>
      <c r="AK127" s="1851"/>
      <c r="AL127" s="1851"/>
      <c r="AM127" s="1851"/>
      <c r="AN127" s="1851"/>
      <c r="AO127" s="1851"/>
      <c r="AP127" s="1851"/>
      <c r="AQ127" s="1851"/>
      <c r="AR127" s="1851"/>
      <c r="AS127" s="1851"/>
      <c r="AT127" s="1851"/>
      <c r="AU127" s="1851"/>
      <c r="AV127" s="1851"/>
      <c r="AW127" s="1851"/>
      <c r="AX127" s="1851"/>
      <c r="AY127" s="1851"/>
      <c r="AZ127" s="1851"/>
      <c r="BA127" s="1851"/>
      <c r="BB127" s="1851"/>
    </row>
    <row r="128" spans="1:54" x14ac:dyDescent="0.25">
      <c r="A128" s="1851" t="s">
        <v>1284</v>
      </c>
      <c r="B128" s="1851"/>
      <c r="C128" s="1856" t="s">
        <v>1285</v>
      </c>
      <c r="D128" s="1856"/>
      <c r="E128" s="1856"/>
      <c r="F128" s="1856"/>
      <c r="G128" s="1856"/>
      <c r="H128" s="1856"/>
      <c r="I128" s="1856"/>
      <c r="J128" s="1856"/>
      <c r="K128" s="1856"/>
      <c r="L128" s="1856"/>
      <c r="M128" s="1856"/>
      <c r="N128" s="1856"/>
      <c r="O128" s="1856"/>
      <c r="P128" s="1856"/>
      <c r="Q128" s="1856"/>
      <c r="R128" s="1856"/>
      <c r="S128" s="1856"/>
      <c r="T128" s="1856"/>
      <c r="U128" s="1856"/>
      <c r="V128" s="1856" t="s">
        <v>1271</v>
      </c>
      <c r="W128" s="1856"/>
      <c r="X128" s="1856"/>
      <c r="Y128" s="1851"/>
      <c r="Z128" s="1851"/>
      <c r="AA128" s="1851"/>
      <c r="AB128" s="1851"/>
      <c r="AC128" s="1851"/>
      <c r="AD128" s="1851"/>
      <c r="AE128" s="1851"/>
      <c r="AF128" s="1851"/>
      <c r="AG128" s="1851"/>
      <c r="AH128" s="1851"/>
      <c r="AI128" s="1851"/>
      <c r="AJ128" s="1851"/>
      <c r="AK128" s="1851"/>
      <c r="AL128" s="1851"/>
      <c r="AM128" s="1851"/>
      <c r="AN128" s="1851"/>
      <c r="AO128" s="1851"/>
      <c r="AP128" s="1851"/>
      <c r="AQ128" s="1851"/>
      <c r="AR128" s="1851"/>
      <c r="AS128" s="1851"/>
      <c r="AT128" s="1851"/>
      <c r="AU128" s="1851"/>
      <c r="AV128" s="1851"/>
      <c r="AW128" s="1851"/>
      <c r="AX128" s="1851"/>
      <c r="AY128" s="1851"/>
      <c r="AZ128" s="1851"/>
      <c r="BA128" s="1851"/>
      <c r="BB128" s="1851"/>
    </row>
    <row r="129" spans="1:54" x14ac:dyDescent="0.25">
      <c r="A129" s="1851" t="s">
        <v>1286</v>
      </c>
      <c r="B129" s="1851"/>
      <c r="C129" s="1856" t="s">
        <v>1287</v>
      </c>
      <c r="D129" s="1856"/>
      <c r="E129" s="1856"/>
      <c r="F129" s="1856"/>
      <c r="G129" s="1856"/>
      <c r="H129" s="1856"/>
      <c r="I129" s="1856"/>
      <c r="J129" s="1856"/>
      <c r="K129" s="1856"/>
      <c r="L129" s="1856"/>
      <c r="M129" s="1856"/>
      <c r="N129" s="1856"/>
      <c r="O129" s="1856"/>
      <c r="P129" s="1856"/>
      <c r="Q129" s="1856"/>
      <c r="R129" s="1856"/>
      <c r="S129" s="1856"/>
      <c r="T129" s="1856"/>
      <c r="U129" s="1856"/>
      <c r="V129" s="1856" t="s">
        <v>1271</v>
      </c>
      <c r="W129" s="1856"/>
      <c r="X129" s="1856"/>
      <c r="Y129" s="1851"/>
      <c r="Z129" s="1851"/>
      <c r="AA129" s="1851"/>
      <c r="AB129" s="1851"/>
      <c r="AC129" s="1851"/>
      <c r="AD129" s="1851"/>
      <c r="AE129" s="1851"/>
      <c r="AF129" s="1851"/>
      <c r="AG129" s="1851"/>
      <c r="AH129" s="1851"/>
      <c r="AI129" s="1851"/>
      <c r="AJ129" s="1851"/>
      <c r="AK129" s="1851"/>
      <c r="AL129" s="1851"/>
      <c r="AM129" s="1851"/>
      <c r="AN129" s="1851"/>
      <c r="AO129" s="1851"/>
      <c r="AP129" s="1851"/>
      <c r="AQ129" s="1851"/>
      <c r="AR129" s="1851"/>
      <c r="AS129" s="1851"/>
      <c r="AT129" s="1851"/>
      <c r="AU129" s="1851"/>
      <c r="AV129" s="1851"/>
      <c r="AW129" s="1851"/>
      <c r="AX129" s="1851"/>
      <c r="AY129" s="1851"/>
      <c r="AZ129" s="1851"/>
      <c r="BA129" s="1851"/>
      <c r="BB129" s="1851"/>
    </row>
    <row r="130" spans="1:54" x14ac:dyDescent="0.25">
      <c r="A130" s="1851" t="s">
        <v>1288</v>
      </c>
      <c r="B130" s="1851"/>
      <c r="C130" s="1856" t="s">
        <v>1289</v>
      </c>
      <c r="D130" s="1856"/>
      <c r="E130" s="1856"/>
      <c r="F130" s="1856"/>
      <c r="G130" s="1856"/>
      <c r="H130" s="1856"/>
      <c r="I130" s="1856"/>
      <c r="J130" s="1856"/>
      <c r="K130" s="1856"/>
      <c r="L130" s="1856"/>
      <c r="M130" s="1856"/>
      <c r="N130" s="1856"/>
      <c r="O130" s="1856"/>
      <c r="P130" s="1856"/>
      <c r="Q130" s="1856"/>
      <c r="R130" s="1856"/>
      <c r="S130" s="1856"/>
      <c r="T130" s="1856"/>
      <c r="U130" s="1856"/>
      <c r="V130" s="1856" t="s">
        <v>1271</v>
      </c>
      <c r="W130" s="1856"/>
      <c r="X130" s="1856"/>
      <c r="Y130" s="1851"/>
      <c r="Z130" s="1851"/>
      <c r="AA130" s="1851"/>
      <c r="AB130" s="1851"/>
      <c r="AC130" s="1851"/>
      <c r="AD130" s="1851"/>
      <c r="AE130" s="1851"/>
      <c r="AF130" s="1851"/>
      <c r="AG130" s="1851"/>
      <c r="AH130" s="1851"/>
      <c r="AI130" s="1851"/>
      <c r="AJ130" s="1851"/>
      <c r="AK130" s="1851"/>
      <c r="AL130" s="1851"/>
      <c r="AM130" s="1851"/>
      <c r="AN130" s="1851"/>
      <c r="AO130" s="1851"/>
      <c r="AP130" s="1851"/>
      <c r="AQ130" s="1851"/>
      <c r="AR130" s="1851"/>
      <c r="AS130" s="1851"/>
      <c r="AT130" s="1851"/>
      <c r="AU130" s="1851"/>
      <c r="AV130" s="1851"/>
      <c r="AW130" s="1851"/>
      <c r="AX130" s="1851"/>
      <c r="AY130" s="1851"/>
      <c r="AZ130" s="1851"/>
      <c r="BA130" s="1851"/>
      <c r="BB130" s="1851"/>
    </row>
    <row r="131" spans="1:54" x14ac:dyDescent="0.25">
      <c r="A131" s="1851" t="s">
        <v>1290</v>
      </c>
      <c r="B131" s="1851"/>
      <c r="C131" s="1856" t="s">
        <v>1291</v>
      </c>
      <c r="D131" s="1856"/>
      <c r="E131" s="1856"/>
      <c r="F131" s="1856"/>
      <c r="G131" s="1856"/>
      <c r="H131" s="1856"/>
      <c r="I131" s="1856"/>
      <c r="J131" s="1856"/>
      <c r="K131" s="1856"/>
      <c r="L131" s="1856"/>
      <c r="M131" s="1856"/>
      <c r="N131" s="1856"/>
      <c r="O131" s="1856"/>
      <c r="P131" s="1856"/>
      <c r="Q131" s="1856"/>
      <c r="R131" s="1856"/>
      <c r="S131" s="1856"/>
      <c r="T131" s="1856"/>
      <c r="U131" s="1856"/>
      <c r="V131" s="1856" t="s">
        <v>1271</v>
      </c>
      <c r="W131" s="1856"/>
      <c r="X131" s="1856"/>
      <c r="Y131" s="1851"/>
      <c r="Z131" s="1851"/>
      <c r="AA131" s="1851"/>
      <c r="AB131" s="1851"/>
      <c r="AC131" s="1851"/>
      <c r="AD131" s="1851"/>
      <c r="AE131" s="1851"/>
      <c r="AF131" s="1851"/>
      <c r="AG131" s="1851"/>
      <c r="AH131" s="1851"/>
      <c r="AI131" s="1851"/>
      <c r="AJ131" s="1851"/>
      <c r="AK131" s="1851"/>
      <c r="AL131" s="1851"/>
      <c r="AM131" s="1851"/>
      <c r="AN131" s="1851"/>
      <c r="AO131" s="1851"/>
      <c r="AP131" s="1851"/>
      <c r="AQ131" s="1851"/>
      <c r="AR131" s="1851"/>
      <c r="AS131" s="1851"/>
      <c r="AT131" s="1851"/>
      <c r="AU131" s="1851"/>
      <c r="AV131" s="1851"/>
      <c r="AW131" s="1851"/>
      <c r="AX131" s="1851"/>
      <c r="AY131" s="1851"/>
      <c r="AZ131" s="1851"/>
      <c r="BA131" s="1851"/>
      <c r="BB131" s="1851"/>
    </row>
    <row r="132" spans="1:54" x14ac:dyDescent="0.25">
      <c r="A132" s="1851" t="s">
        <v>1292</v>
      </c>
      <c r="B132" s="1851"/>
      <c r="C132" s="1856" t="s">
        <v>1293</v>
      </c>
      <c r="D132" s="1856"/>
      <c r="E132" s="1856"/>
      <c r="F132" s="1856"/>
      <c r="G132" s="1856"/>
      <c r="H132" s="1856"/>
      <c r="I132" s="1856"/>
      <c r="J132" s="1856"/>
      <c r="K132" s="1856"/>
      <c r="L132" s="1856"/>
      <c r="M132" s="1856"/>
      <c r="N132" s="1856"/>
      <c r="O132" s="1856"/>
      <c r="P132" s="1856"/>
      <c r="Q132" s="1856"/>
      <c r="R132" s="1856"/>
      <c r="S132" s="1856"/>
      <c r="T132" s="1856"/>
      <c r="U132" s="1856"/>
      <c r="V132" s="1856" t="s">
        <v>1271</v>
      </c>
      <c r="W132" s="1856"/>
      <c r="X132" s="1856"/>
      <c r="Y132" s="1851"/>
      <c r="Z132" s="1851"/>
      <c r="AA132" s="1851"/>
      <c r="AB132" s="1851"/>
      <c r="AC132" s="1851"/>
      <c r="AD132" s="1851"/>
      <c r="AE132" s="1851"/>
      <c r="AF132" s="1851"/>
      <c r="AG132" s="1851"/>
      <c r="AH132" s="1851"/>
      <c r="AI132" s="1851"/>
      <c r="AJ132" s="1851"/>
      <c r="AK132" s="1851"/>
      <c r="AL132" s="1851"/>
      <c r="AM132" s="1851"/>
      <c r="AN132" s="1851"/>
      <c r="AO132" s="1851"/>
      <c r="AP132" s="1851"/>
      <c r="AQ132" s="1851"/>
      <c r="AR132" s="1851"/>
      <c r="AS132" s="1851"/>
      <c r="AT132" s="1851"/>
      <c r="AU132" s="1851"/>
      <c r="AV132" s="1851"/>
      <c r="AW132" s="1851"/>
      <c r="AX132" s="1851"/>
      <c r="AY132" s="1851"/>
      <c r="AZ132" s="1851"/>
      <c r="BA132" s="1851"/>
      <c r="BB132" s="1851"/>
    </row>
    <row r="133" spans="1:54" x14ac:dyDescent="0.25">
      <c r="A133" s="1851" t="s">
        <v>1294</v>
      </c>
      <c r="B133" s="1851"/>
      <c r="C133" s="1856" t="s">
        <v>1295</v>
      </c>
      <c r="D133" s="1856"/>
      <c r="E133" s="1856"/>
      <c r="F133" s="1856"/>
      <c r="G133" s="1856"/>
      <c r="H133" s="1856"/>
      <c r="I133" s="1856"/>
      <c r="J133" s="1856"/>
      <c r="K133" s="1856"/>
      <c r="L133" s="1856"/>
      <c r="M133" s="1856"/>
      <c r="N133" s="1856"/>
      <c r="O133" s="1856"/>
      <c r="P133" s="1856"/>
      <c r="Q133" s="1856"/>
      <c r="R133" s="1856"/>
      <c r="S133" s="1856"/>
      <c r="T133" s="1856"/>
      <c r="U133" s="1856"/>
      <c r="V133" s="1856" t="s">
        <v>1271</v>
      </c>
      <c r="W133" s="1856"/>
      <c r="X133" s="1856"/>
      <c r="Y133" s="1851"/>
      <c r="Z133" s="1851"/>
      <c r="AA133" s="1851"/>
      <c r="AB133" s="1851"/>
      <c r="AC133" s="1851"/>
      <c r="AD133" s="1851"/>
      <c r="AE133" s="1851"/>
      <c r="AF133" s="1851"/>
      <c r="AG133" s="1851"/>
      <c r="AH133" s="1851"/>
      <c r="AI133" s="1851"/>
      <c r="AJ133" s="1851"/>
      <c r="AK133" s="1851"/>
      <c r="AL133" s="1851"/>
      <c r="AM133" s="1851"/>
      <c r="AN133" s="1851"/>
      <c r="AO133" s="1851"/>
      <c r="AP133" s="1851"/>
      <c r="AQ133" s="1851"/>
      <c r="AR133" s="1851"/>
      <c r="AS133" s="1851"/>
      <c r="AT133" s="1851"/>
      <c r="AU133" s="1851"/>
      <c r="AV133" s="1851"/>
      <c r="AW133" s="1851"/>
      <c r="AX133" s="1851"/>
      <c r="AY133" s="1851"/>
      <c r="AZ133" s="1851"/>
      <c r="BA133" s="1851"/>
      <c r="BB133" s="1851"/>
    </row>
    <row r="134" spans="1:54" x14ac:dyDescent="0.25">
      <c r="A134" s="1851" t="s">
        <v>1296</v>
      </c>
      <c r="B134" s="1851"/>
      <c r="C134" s="1856" t="s">
        <v>1297</v>
      </c>
      <c r="D134" s="1856"/>
      <c r="E134" s="1856"/>
      <c r="F134" s="1856"/>
      <c r="G134" s="1856"/>
      <c r="H134" s="1856"/>
      <c r="I134" s="1856"/>
      <c r="J134" s="1856"/>
      <c r="K134" s="1856"/>
      <c r="L134" s="1856"/>
      <c r="M134" s="1856"/>
      <c r="N134" s="1856"/>
      <c r="O134" s="1856"/>
      <c r="P134" s="1856"/>
      <c r="Q134" s="1856"/>
      <c r="R134" s="1856"/>
      <c r="S134" s="1856"/>
      <c r="T134" s="1856"/>
      <c r="U134" s="1856"/>
      <c r="V134" s="1856" t="s">
        <v>1271</v>
      </c>
      <c r="W134" s="1856"/>
      <c r="X134" s="1856"/>
      <c r="Y134" s="1851"/>
      <c r="Z134" s="1851"/>
      <c r="AA134" s="1851"/>
      <c r="AB134" s="1851"/>
      <c r="AC134" s="1851"/>
      <c r="AD134" s="1851"/>
      <c r="AE134" s="1851"/>
      <c r="AF134" s="1851"/>
      <c r="AG134" s="1851"/>
      <c r="AH134" s="1851"/>
      <c r="AI134" s="1851"/>
      <c r="AJ134" s="1851"/>
      <c r="AK134" s="1851"/>
      <c r="AL134" s="1851"/>
      <c r="AM134" s="1851"/>
      <c r="AN134" s="1851"/>
      <c r="AO134" s="1851"/>
      <c r="AP134" s="1851"/>
      <c r="AQ134" s="1851"/>
      <c r="AR134" s="1851"/>
      <c r="AS134" s="1851"/>
      <c r="AT134" s="1851"/>
      <c r="AU134" s="1851"/>
      <c r="AV134" s="1851"/>
      <c r="AW134" s="1851"/>
      <c r="AX134" s="1851"/>
      <c r="AY134" s="1851"/>
      <c r="AZ134" s="1851"/>
      <c r="BA134" s="1851"/>
      <c r="BB134" s="1851"/>
    </row>
    <row r="135" spans="1:54" x14ac:dyDescent="0.25">
      <c r="A135" s="1851" t="s">
        <v>1298</v>
      </c>
      <c r="B135" s="1851"/>
      <c r="C135" s="1856" t="s">
        <v>1299</v>
      </c>
      <c r="D135" s="1856"/>
      <c r="E135" s="1856"/>
      <c r="F135" s="1856"/>
      <c r="G135" s="1856"/>
      <c r="H135" s="1856"/>
      <c r="I135" s="1856"/>
      <c r="J135" s="1856"/>
      <c r="K135" s="1856"/>
      <c r="L135" s="1856"/>
      <c r="M135" s="1856"/>
      <c r="N135" s="1856"/>
      <c r="O135" s="1856"/>
      <c r="P135" s="1856"/>
      <c r="Q135" s="1856"/>
      <c r="R135" s="1856"/>
      <c r="S135" s="1856"/>
      <c r="T135" s="1856"/>
      <c r="U135" s="1856"/>
      <c r="V135" s="1856" t="s">
        <v>1271</v>
      </c>
      <c r="W135" s="1856"/>
      <c r="X135" s="1856"/>
      <c r="Y135" s="1851"/>
      <c r="Z135" s="1851"/>
      <c r="AA135" s="1851"/>
      <c r="AB135" s="1851"/>
      <c r="AC135" s="1851"/>
      <c r="AD135" s="1851"/>
      <c r="AE135" s="1851"/>
      <c r="AF135" s="1851"/>
      <c r="AG135" s="1851"/>
      <c r="AH135" s="1851"/>
      <c r="AI135" s="1851"/>
      <c r="AJ135" s="1851"/>
      <c r="AK135" s="1851"/>
      <c r="AL135" s="1851"/>
      <c r="AM135" s="1851"/>
      <c r="AN135" s="1851"/>
      <c r="AO135" s="1851"/>
      <c r="AP135" s="1851"/>
      <c r="AQ135" s="1851"/>
      <c r="AR135" s="1851"/>
      <c r="AS135" s="1851"/>
      <c r="AT135" s="1851"/>
      <c r="AU135" s="1851"/>
      <c r="AV135" s="1851"/>
      <c r="AW135" s="1851"/>
      <c r="AX135" s="1851"/>
      <c r="AY135" s="1851"/>
      <c r="AZ135" s="1851"/>
      <c r="BA135" s="1851"/>
      <c r="BB135" s="1851"/>
    </row>
    <row r="136" spans="1:54" x14ac:dyDescent="0.25">
      <c r="A136" s="1851" t="s">
        <v>1300</v>
      </c>
      <c r="B136" s="1851"/>
      <c r="C136" s="1856" t="s">
        <v>1301</v>
      </c>
      <c r="D136" s="1856"/>
      <c r="E136" s="1856"/>
      <c r="F136" s="1856"/>
      <c r="G136" s="1856"/>
      <c r="H136" s="1856"/>
      <c r="I136" s="1856"/>
      <c r="J136" s="1856"/>
      <c r="K136" s="1856"/>
      <c r="L136" s="1856"/>
      <c r="M136" s="1856"/>
      <c r="N136" s="1856"/>
      <c r="O136" s="1856"/>
      <c r="P136" s="1856"/>
      <c r="Q136" s="1856"/>
      <c r="R136" s="1856"/>
      <c r="S136" s="1856"/>
      <c r="T136" s="1856"/>
      <c r="U136" s="1856"/>
      <c r="V136" s="1856" t="s">
        <v>1271</v>
      </c>
      <c r="W136" s="1856"/>
      <c r="X136" s="1856"/>
      <c r="Y136" s="1851"/>
      <c r="Z136" s="1851"/>
      <c r="AA136" s="1851"/>
      <c r="AB136" s="1851"/>
      <c r="AC136" s="1851"/>
      <c r="AD136" s="1851"/>
      <c r="AE136" s="1851"/>
      <c r="AF136" s="1851"/>
      <c r="AG136" s="1851"/>
      <c r="AH136" s="1851"/>
      <c r="AI136" s="1851"/>
      <c r="AJ136" s="1851"/>
      <c r="AK136" s="1851"/>
      <c r="AL136" s="1851"/>
      <c r="AM136" s="1851"/>
      <c r="AN136" s="1851"/>
      <c r="AO136" s="1851"/>
      <c r="AP136" s="1851"/>
      <c r="AQ136" s="1851"/>
      <c r="AR136" s="1851"/>
      <c r="AS136" s="1851"/>
      <c r="AT136" s="1851"/>
      <c r="AU136" s="1851"/>
      <c r="AV136" s="1851"/>
      <c r="AW136" s="1851"/>
      <c r="AX136" s="1851"/>
      <c r="AY136" s="1851"/>
      <c r="AZ136" s="1851"/>
      <c r="BA136" s="1851"/>
      <c r="BB136" s="1851"/>
    </row>
    <row r="137" spans="1:54" x14ac:dyDescent="0.25">
      <c r="A137" s="1851" t="s">
        <v>1302</v>
      </c>
      <c r="B137" s="1851"/>
      <c r="C137" s="1856" t="s">
        <v>1303</v>
      </c>
      <c r="D137" s="1856"/>
      <c r="E137" s="1856"/>
      <c r="F137" s="1856"/>
      <c r="G137" s="1856"/>
      <c r="H137" s="1856"/>
      <c r="I137" s="1856"/>
      <c r="J137" s="1856"/>
      <c r="K137" s="1856"/>
      <c r="L137" s="1856"/>
      <c r="M137" s="1856"/>
      <c r="N137" s="1856"/>
      <c r="O137" s="1856"/>
      <c r="P137" s="1856"/>
      <c r="Q137" s="1856"/>
      <c r="R137" s="1856"/>
      <c r="S137" s="1856"/>
      <c r="T137" s="1856"/>
      <c r="U137" s="1856"/>
      <c r="V137" s="1856" t="s">
        <v>1271</v>
      </c>
      <c r="W137" s="1856"/>
      <c r="X137" s="1856"/>
      <c r="Y137" s="1851"/>
      <c r="Z137" s="1851"/>
      <c r="AA137" s="1851"/>
      <c r="AB137" s="1851"/>
      <c r="AC137" s="1851"/>
      <c r="AD137" s="1851"/>
      <c r="AE137" s="1851"/>
      <c r="AF137" s="1851"/>
      <c r="AG137" s="1851"/>
      <c r="AH137" s="1851"/>
      <c r="AI137" s="1851"/>
      <c r="AJ137" s="1851"/>
      <c r="AK137" s="1851"/>
      <c r="AL137" s="1851"/>
      <c r="AM137" s="1851"/>
      <c r="AN137" s="1851"/>
      <c r="AO137" s="1851"/>
      <c r="AP137" s="1851"/>
      <c r="AQ137" s="1851"/>
      <c r="AR137" s="1851"/>
      <c r="AS137" s="1851"/>
      <c r="AT137" s="1851"/>
      <c r="AU137" s="1851"/>
      <c r="AV137" s="1851"/>
      <c r="AW137" s="1851"/>
      <c r="AX137" s="1851"/>
      <c r="AY137" s="1851"/>
      <c r="AZ137" s="1851"/>
      <c r="BA137" s="1851"/>
      <c r="BB137" s="1851"/>
    </row>
    <row r="138" spans="1:54" x14ac:dyDescent="0.25">
      <c r="A138" s="1851" t="s">
        <v>1304</v>
      </c>
      <c r="B138" s="1851"/>
      <c r="C138" s="1856" t="s">
        <v>1305</v>
      </c>
      <c r="D138" s="1856"/>
      <c r="E138" s="1856"/>
      <c r="F138" s="1856"/>
      <c r="G138" s="1856"/>
      <c r="H138" s="1856"/>
      <c r="I138" s="1856"/>
      <c r="J138" s="1856"/>
      <c r="K138" s="1856"/>
      <c r="L138" s="1856"/>
      <c r="M138" s="1856"/>
      <c r="N138" s="1856"/>
      <c r="O138" s="1856"/>
      <c r="P138" s="1856"/>
      <c r="Q138" s="1856"/>
      <c r="R138" s="1856"/>
      <c r="S138" s="1856"/>
      <c r="T138" s="1856"/>
      <c r="U138" s="1856"/>
      <c r="V138" s="1856" t="s">
        <v>1271</v>
      </c>
      <c r="W138" s="1856"/>
      <c r="X138" s="1856"/>
      <c r="Y138" s="1851"/>
      <c r="Z138" s="1851"/>
      <c r="AA138" s="1851"/>
      <c r="AB138" s="1851"/>
      <c r="AC138" s="1851"/>
      <c r="AD138" s="1851"/>
      <c r="AE138" s="1851"/>
      <c r="AF138" s="1851"/>
      <c r="AG138" s="1851"/>
      <c r="AH138" s="1851"/>
      <c r="AI138" s="1851"/>
      <c r="AJ138" s="1851"/>
      <c r="AK138" s="1851"/>
      <c r="AL138" s="1851"/>
      <c r="AM138" s="1851"/>
      <c r="AN138" s="1851"/>
      <c r="AO138" s="1851"/>
      <c r="AP138" s="1851"/>
      <c r="AQ138" s="1851"/>
      <c r="AR138" s="1851"/>
      <c r="AS138" s="1851"/>
      <c r="AT138" s="1851"/>
      <c r="AU138" s="1851"/>
      <c r="AV138" s="1851"/>
      <c r="AW138" s="1851"/>
      <c r="AX138" s="1851"/>
      <c r="AY138" s="1851"/>
      <c r="AZ138" s="1851"/>
      <c r="BA138" s="1851"/>
      <c r="BB138" s="1851"/>
    </row>
    <row r="139" spans="1:54" x14ac:dyDescent="0.25">
      <c r="A139" s="1851" t="s">
        <v>1306</v>
      </c>
      <c r="B139" s="1851"/>
      <c r="C139" s="1856" t="s">
        <v>1307</v>
      </c>
      <c r="D139" s="1856"/>
      <c r="E139" s="1856"/>
      <c r="F139" s="1856"/>
      <c r="G139" s="1856"/>
      <c r="H139" s="1856"/>
      <c r="I139" s="1856"/>
      <c r="J139" s="1856"/>
      <c r="K139" s="1856"/>
      <c r="L139" s="1856"/>
      <c r="M139" s="1856"/>
      <c r="N139" s="1856"/>
      <c r="O139" s="1856"/>
      <c r="P139" s="1856"/>
      <c r="Q139" s="1856"/>
      <c r="R139" s="1856"/>
      <c r="S139" s="1856"/>
      <c r="T139" s="1856"/>
      <c r="U139" s="1856"/>
      <c r="V139" s="1856" t="s">
        <v>1271</v>
      </c>
      <c r="W139" s="1856"/>
      <c r="X139" s="1856"/>
      <c r="Y139" s="1851"/>
      <c r="Z139" s="1851"/>
      <c r="AA139" s="1851"/>
      <c r="AB139" s="1851"/>
      <c r="AC139" s="1851"/>
      <c r="AD139" s="1851"/>
      <c r="AE139" s="1851"/>
      <c r="AF139" s="1851"/>
      <c r="AG139" s="1851"/>
      <c r="AH139" s="1851"/>
      <c r="AI139" s="1851"/>
      <c r="AJ139" s="1851"/>
      <c r="AK139" s="1851"/>
      <c r="AL139" s="1851"/>
      <c r="AM139" s="1851"/>
      <c r="AN139" s="1851"/>
      <c r="AO139" s="1851"/>
      <c r="AP139" s="1851"/>
      <c r="AQ139" s="1851"/>
      <c r="AR139" s="1851"/>
      <c r="AS139" s="1851"/>
      <c r="AT139" s="1851"/>
      <c r="AU139" s="1851"/>
      <c r="AV139" s="1851"/>
      <c r="AW139" s="1851"/>
      <c r="AX139" s="1851"/>
      <c r="AY139" s="1851"/>
      <c r="AZ139" s="1851"/>
      <c r="BA139" s="1851"/>
      <c r="BB139" s="1851"/>
    </row>
    <row r="140" spans="1:54" x14ac:dyDescent="0.25">
      <c r="A140" s="1851" t="s">
        <v>1308</v>
      </c>
      <c r="B140" s="1851"/>
      <c r="C140" s="1856" t="s">
        <v>1309</v>
      </c>
      <c r="D140" s="1856"/>
      <c r="E140" s="1856"/>
      <c r="F140" s="1856"/>
      <c r="G140" s="1856"/>
      <c r="H140" s="1856"/>
      <c r="I140" s="1856"/>
      <c r="J140" s="1856"/>
      <c r="K140" s="1856"/>
      <c r="L140" s="1856"/>
      <c r="M140" s="1856"/>
      <c r="N140" s="1856"/>
      <c r="O140" s="1856"/>
      <c r="P140" s="1856"/>
      <c r="Q140" s="1856"/>
      <c r="R140" s="1856"/>
      <c r="S140" s="1856"/>
      <c r="T140" s="1856"/>
      <c r="U140" s="1856"/>
      <c r="V140" s="1856" t="s">
        <v>1271</v>
      </c>
      <c r="W140" s="1856"/>
      <c r="X140" s="1856"/>
      <c r="Y140" s="1851"/>
      <c r="Z140" s="1851"/>
      <c r="AA140" s="1851"/>
      <c r="AB140" s="1851"/>
      <c r="AC140" s="1851"/>
      <c r="AD140" s="1851"/>
      <c r="AE140" s="1851"/>
      <c r="AF140" s="1851"/>
      <c r="AG140" s="1851"/>
      <c r="AH140" s="1851"/>
      <c r="AI140" s="1851"/>
      <c r="AJ140" s="1851"/>
      <c r="AK140" s="1851"/>
      <c r="AL140" s="1851"/>
      <c r="AM140" s="1851"/>
      <c r="AN140" s="1851"/>
      <c r="AO140" s="1851"/>
      <c r="AP140" s="1851"/>
      <c r="AQ140" s="1851"/>
      <c r="AR140" s="1851"/>
      <c r="AS140" s="1851"/>
      <c r="AT140" s="1851"/>
      <c r="AU140" s="1851"/>
      <c r="AV140" s="1851"/>
      <c r="AW140" s="1851"/>
      <c r="AX140" s="1851"/>
      <c r="AY140" s="1851"/>
      <c r="AZ140" s="1851"/>
      <c r="BA140" s="1851"/>
      <c r="BB140" s="1851"/>
    </row>
    <row r="141" spans="1:54" x14ac:dyDescent="0.25">
      <c r="A141" s="1851" t="s">
        <v>1310</v>
      </c>
      <c r="B141" s="1851"/>
      <c r="C141" s="1856" t="s">
        <v>1311</v>
      </c>
      <c r="D141" s="1856"/>
      <c r="E141" s="1856"/>
      <c r="F141" s="1856"/>
      <c r="G141" s="1856"/>
      <c r="H141" s="1856"/>
      <c r="I141" s="1856"/>
      <c r="J141" s="1856"/>
      <c r="K141" s="1856"/>
      <c r="L141" s="1856"/>
      <c r="M141" s="1856"/>
      <c r="N141" s="1856"/>
      <c r="O141" s="1856"/>
      <c r="P141" s="1856"/>
      <c r="Q141" s="1856"/>
      <c r="R141" s="1856"/>
      <c r="S141" s="1856"/>
      <c r="T141" s="1856"/>
      <c r="U141" s="1856"/>
      <c r="V141" s="1856" t="s">
        <v>1271</v>
      </c>
      <c r="W141" s="1856"/>
      <c r="X141" s="1856"/>
      <c r="Y141" s="1851"/>
      <c r="Z141" s="1851"/>
      <c r="AA141" s="1851"/>
      <c r="AB141" s="1851"/>
      <c r="AC141" s="1851"/>
      <c r="AD141" s="1851"/>
      <c r="AE141" s="1851"/>
      <c r="AF141" s="1851"/>
      <c r="AG141" s="1851"/>
      <c r="AH141" s="1851"/>
      <c r="AI141" s="1851"/>
      <c r="AJ141" s="1851"/>
      <c r="AK141" s="1851"/>
      <c r="AL141" s="1851"/>
      <c r="AM141" s="1851"/>
      <c r="AN141" s="1851"/>
      <c r="AO141" s="1851"/>
      <c r="AP141" s="1851"/>
      <c r="AQ141" s="1851"/>
      <c r="AR141" s="1851"/>
      <c r="AS141" s="1851"/>
      <c r="AT141" s="1851"/>
      <c r="AU141" s="1851"/>
      <c r="AV141" s="1851"/>
      <c r="AW141" s="1851"/>
      <c r="AX141" s="1851"/>
      <c r="AY141" s="1851"/>
      <c r="AZ141" s="1851"/>
      <c r="BA141" s="1851"/>
      <c r="BB141" s="1851"/>
    </row>
    <row r="142" spans="1:54" x14ac:dyDescent="0.25">
      <c r="A142" s="1880" t="s">
        <v>1312</v>
      </c>
      <c r="B142" s="1881"/>
      <c r="C142" s="1856" t="s">
        <v>1313</v>
      </c>
      <c r="D142" s="1856"/>
      <c r="E142" s="1856"/>
      <c r="F142" s="1856"/>
      <c r="G142" s="1856"/>
      <c r="H142" s="1856"/>
      <c r="I142" s="1856"/>
      <c r="J142" s="1856"/>
      <c r="K142" s="1856"/>
      <c r="L142" s="1856"/>
      <c r="M142" s="1856"/>
      <c r="N142" s="1856"/>
      <c r="O142" s="1856"/>
      <c r="P142" s="1856"/>
      <c r="Q142" s="1856"/>
      <c r="R142" s="1856"/>
      <c r="S142" s="1856"/>
      <c r="T142" s="1856"/>
      <c r="U142" s="1856"/>
      <c r="V142" s="1865" t="s">
        <v>1314</v>
      </c>
      <c r="W142" s="1865"/>
      <c r="X142" s="1865"/>
      <c r="Y142" s="1857"/>
      <c r="Z142" s="1877"/>
      <c r="AA142" s="1877"/>
      <c r="AB142" s="1877"/>
      <c r="AC142" s="1859"/>
      <c r="AD142" s="1859"/>
      <c r="AE142" s="1857"/>
      <c r="AF142" s="1877"/>
      <c r="AG142" s="1877"/>
      <c r="AH142" s="1877"/>
      <c r="AI142" s="1859"/>
      <c r="AJ142" s="1859"/>
      <c r="AK142" s="1857"/>
      <c r="AL142" s="1877"/>
      <c r="AM142" s="1877"/>
      <c r="AN142" s="1877"/>
      <c r="AO142" s="1859"/>
      <c r="AP142" s="1859"/>
      <c r="AQ142" s="1857"/>
      <c r="AR142" s="1877"/>
      <c r="AS142" s="1877"/>
      <c r="AT142" s="1877"/>
      <c r="AU142" s="1859"/>
      <c r="AV142" s="1859"/>
      <c r="AW142" s="1857"/>
      <c r="AX142" s="1877"/>
      <c r="AY142" s="1877"/>
      <c r="AZ142" s="1877"/>
      <c r="BA142" s="1859"/>
      <c r="BB142" s="1859"/>
    </row>
    <row r="143" spans="1:54" x14ac:dyDescent="0.25">
      <c r="A143" s="1880" t="s">
        <v>1315</v>
      </c>
      <c r="B143" s="1881"/>
      <c r="C143" s="1856" t="s">
        <v>1316</v>
      </c>
      <c r="D143" s="1856"/>
      <c r="E143" s="1856"/>
      <c r="F143" s="1856"/>
      <c r="G143" s="1856"/>
      <c r="H143" s="1856"/>
      <c r="I143" s="1856"/>
      <c r="J143" s="1856"/>
      <c r="K143" s="1856"/>
      <c r="L143" s="1856"/>
      <c r="M143" s="1856"/>
      <c r="N143" s="1856"/>
      <c r="O143" s="1856"/>
      <c r="P143" s="1856"/>
      <c r="Q143" s="1856"/>
      <c r="R143" s="1856"/>
      <c r="S143" s="1856"/>
      <c r="T143" s="1856"/>
      <c r="U143" s="1856"/>
      <c r="V143" s="1856" t="s">
        <v>1314</v>
      </c>
      <c r="W143" s="1856"/>
      <c r="X143" s="1856"/>
      <c r="Y143" s="1851"/>
      <c r="Z143" s="1851"/>
      <c r="AA143" s="1851"/>
      <c r="AB143" s="1851"/>
      <c r="AC143" s="1851"/>
      <c r="AD143" s="1851"/>
      <c r="AE143" s="1851"/>
      <c r="AF143" s="1851"/>
      <c r="AG143" s="1851"/>
      <c r="AH143" s="1851"/>
      <c r="AI143" s="1851"/>
      <c r="AJ143" s="1851"/>
      <c r="AK143" s="1851"/>
      <c r="AL143" s="1851"/>
      <c r="AM143" s="1851"/>
      <c r="AN143" s="1851"/>
      <c r="AO143" s="1851"/>
      <c r="AP143" s="1851"/>
      <c r="AQ143" s="1851"/>
      <c r="AR143" s="1851"/>
      <c r="AS143" s="1851"/>
      <c r="AT143" s="1851"/>
      <c r="AU143" s="1851"/>
      <c r="AV143" s="1851"/>
      <c r="AW143" s="1851"/>
      <c r="AX143" s="1851"/>
      <c r="AY143" s="1851"/>
      <c r="AZ143" s="1851"/>
      <c r="BA143" s="1851"/>
      <c r="BB143" s="1851"/>
    </row>
    <row r="144" spans="1:54" x14ac:dyDescent="0.25">
      <c r="A144" s="1880" t="s">
        <v>1317</v>
      </c>
      <c r="B144" s="1881"/>
      <c r="C144" s="1856" t="s">
        <v>1318</v>
      </c>
      <c r="D144" s="1856"/>
      <c r="E144" s="1856"/>
      <c r="F144" s="1856"/>
      <c r="G144" s="1856"/>
      <c r="H144" s="1856"/>
      <c r="I144" s="1856"/>
      <c r="J144" s="1856"/>
      <c r="K144" s="1856"/>
      <c r="L144" s="1856"/>
      <c r="M144" s="1856"/>
      <c r="N144" s="1856"/>
      <c r="O144" s="1856"/>
      <c r="P144" s="1856"/>
      <c r="Q144" s="1856"/>
      <c r="R144" s="1856"/>
      <c r="S144" s="1856"/>
      <c r="T144" s="1856"/>
      <c r="U144" s="1856"/>
      <c r="V144" s="1856" t="s">
        <v>1314</v>
      </c>
      <c r="W144" s="1856"/>
      <c r="X144" s="1856"/>
      <c r="Y144" s="1851"/>
      <c r="Z144" s="1851"/>
      <c r="AA144" s="1851"/>
      <c r="AB144" s="1851"/>
      <c r="AC144" s="1851"/>
      <c r="AD144" s="1851"/>
      <c r="AE144" s="1851"/>
      <c r="AF144" s="1851"/>
      <c r="AG144" s="1851"/>
      <c r="AH144" s="1851"/>
      <c r="AI144" s="1851"/>
      <c r="AJ144" s="1851"/>
      <c r="AK144" s="1851"/>
      <c r="AL144" s="1851"/>
      <c r="AM144" s="1851"/>
      <c r="AN144" s="1851"/>
      <c r="AO144" s="1851"/>
      <c r="AP144" s="1851"/>
      <c r="AQ144" s="1851"/>
      <c r="AR144" s="1851"/>
      <c r="AS144" s="1851"/>
      <c r="AT144" s="1851"/>
      <c r="AU144" s="1851"/>
      <c r="AV144" s="1851"/>
      <c r="AW144" s="1851"/>
      <c r="AX144" s="1851"/>
      <c r="AY144" s="1851"/>
      <c r="AZ144" s="1851"/>
      <c r="BA144" s="1851"/>
      <c r="BB144" s="1851"/>
    </row>
    <row r="145" spans="1:54" x14ac:dyDescent="0.25">
      <c r="A145" s="1880" t="s">
        <v>1319</v>
      </c>
      <c r="B145" s="1881"/>
      <c r="C145" s="1856" t="s">
        <v>1320</v>
      </c>
      <c r="D145" s="1856"/>
      <c r="E145" s="1856"/>
      <c r="F145" s="1856"/>
      <c r="G145" s="1856"/>
      <c r="H145" s="1856"/>
      <c r="I145" s="1856"/>
      <c r="J145" s="1856"/>
      <c r="K145" s="1856"/>
      <c r="L145" s="1856"/>
      <c r="M145" s="1856"/>
      <c r="N145" s="1856"/>
      <c r="O145" s="1856"/>
      <c r="P145" s="1856"/>
      <c r="Q145" s="1856"/>
      <c r="R145" s="1856"/>
      <c r="S145" s="1856"/>
      <c r="T145" s="1856"/>
      <c r="U145" s="1856"/>
      <c r="V145" s="1856" t="s">
        <v>1314</v>
      </c>
      <c r="W145" s="1856"/>
      <c r="X145" s="1856"/>
      <c r="Y145" s="1851"/>
      <c r="Z145" s="1851"/>
      <c r="AA145" s="1851"/>
      <c r="AB145" s="1851"/>
      <c r="AC145" s="1851"/>
      <c r="AD145" s="1851"/>
      <c r="AE145" s="1851"/>
      <c r="AF145" s="1851"/>
      <c r="AG145" s="1851"/>
      <c r="AH145" s="1851"/>
      <c r="AI145" s="1851"/>
      <c r="AJ145" s="1851"/>
      <c r="AK145" s="1851"/>
      <c r="AL145" s="1851"/>
      <c r="AM145" s="1851"/>
      <c r="AN145" s="1851"/>
      <c r="AO145" s="1851"/>
      <c r="AP145" s="1851"/>
      <c r="AQ145" s="1851"/>
      <c r="AR145" s="1851"/>
      <c r="AS145" s="1851"/>
      <c r="AT145" s="1851"/>
      <c r="AU145" s="1851"/>
      <c r="AV145" s="1851"/>
      <c r="AW145" s="1851"/>
      <c r="AX145" s="1851"/>
      <c r="AY145" s="1851"/>
      <c r="AZ145" s="1851"/>
      <c r="BA145" s="1851"/>
      <c r="BB145" s="1851"/>
    </row>
    <row r="146" spans="1:54" x14ac:dyDescent="0.25">
      <c r="A146" s="1880" t="s">
        <v>1321</v>
      </c>
      <c r="B146" s="1881"/>
      <c r="C146" s="1856" t="s">
        <v>1322</v>
      </c>
      <c r="D146" s="1856"/>
      <c r="E146" s="1856"/>
      <c r="F146" s="1856"/>
      <c r="G146" s="1856"/>
      <c r="H146" s="1856"/>
      <c r="I146" s="1856"/>
      <c r="J146" s="1856"/>
      <c r="K146" s="1856"/>
      <c r="L146" s="1856"/>
      <c r="M146" s="1856"/>
      <c r="N146" s="1856"/>
      <c r="O146" s="1856"/>
      <c r="P146" s="1856"/>
      <c r="Q146" s="1856"/>
      <c r="R146" s="1856"/>
      <c r="S146" s="1856"/>
      <c r="T146" s="1856"/>
      <c r="U146" s="1856"/>
      <c r="V146" s="1865" t="s">
        <v>1323</v>
      </c>
      <c r="W146" s="1865"/>
      <c r="X146" s="1865"/>
      <c r="Y146" s="1851"/>
      <c r="Z146" s="1851"/>
      <c r="AA146" s="1851"/>
      <c r="AB146" s="1851"/>
      <c r="AC146" s="1851"/>
      <c r="AD146" s="1851"/>
      <c r="AE146" s="1851"/>
      <c r="AF146" s="1851"/>
      <c r="AG146" s="1851"/>
      <c r="AH146" s="1851"/>
      <c r="AI146" s="1851"/>
      <c r="AJ146" s="1851"/>
      <c r="AK146" s="1851"/>
      <c r="AL146" s="1851"/>
      <c r="AM146" s="1851"/>
      <c r="AN146" s="1851"/>
      <c r="AO146" s="1851"/>
      <c r="AP146" s="1851"/>
      <c r="AQ146" s="1851"/>
      <c r="AR146" s="1851"/>
      <c r="AS146" s="1851"/>
      <c r="AT146" s="1851"/>
      <c r="AU146" s="1851"/>
      <c r="AV146" s="1851"/>
      <c r="AW146" s="1851"/>
      <c r="AX146" s="1851"/>
      <c r="AY146" s="1851"/>
      <c r="AZ146" s="1851"/>
      <c r="BA146" s="1851"/>
      <c r="BB146" s="1851"/>
    </row>
    <row r="147" spans="1:54" x14ac:dyDescent="0.25">
      <c r="A147" s="1880" t="s">
        <v>1324</v>
      </c>
      <c r="B147" s="1881"/>
      <c r="C147" s="1856" t="s">
        <v>1325</v>
      </c>
      <c r="D147" s="1856"/>
      <c r="E147" s="1856"/>
      <c r="F147" s="1856"/>
      <c r="G147" s="1856"/>
      <c r="H147" s="1856"/>
      <c r="I147" s="1856"/>
      <c r="J147" s="1856"/>
      <c r="K147" s="1856"/>
      <c r="L147" s="1856"/>
      <c r="M147" s="1856"/>
      <c r="N147" s="1856"/>
      <c r="O147" s="1856"/>
      <c r="P147" s="1856"/>
      <c r="Q147" s="1856"/>
      <c r="R147" s="1856"/>
      <c r="S147" s="1856"/>
      <c r="T147" s="1856"/>
      <c r="U147" s="1856"/>
      <c r="V147" s="1865" t="s">
        <v>1326</v>
      </c>
      <c r="W147" s="1865"/>
      <c r="X147" s="1865"/>
      <c r="Y147" s="1857"/>
      <c r="Z147" s="1877"/>
      <c r="AA147" s="1877"/>
      <c r="AB147" s="1877"/>
      <c r="AC147" s="1859"/>
      <c r="AD147" s="1859"/>
      <c r="AE147" s="1857"/>
      <c r="AF147" s="1877"/>
      <c r="AG147" s="1877"/>
      <c r="AH147" s="1877"/>
      <c r="AI147" s="1859"/>
      <c r="AJ147" s="1859"/>
      <c r="AK147" s="1857"/>
      <c r="AL147" s="1877"/>
      <c r="AM147" s="1877"/>
      <c r="AN147" s="1877"/>
      <c r="AO147" s="1859"/>
      <c r="AP147" s="1859"/>
      <c r="AQ147" s="1857"/>
      <c r="AR147" s="1877"/>
      <c r="AS147" s="1877"/>
      <c r="AT147" s="1877"/>
      <c r="AU147" s="1859"/>
      <c r="AV147" s="1859"/>
      <c r="AW147" s="1857"/>
      <c r="AX147" s="1877"/>
      <c r="AY147" s="1877"/>
      <c r="AZ147" s="1877"/>
      <c r="BA147" s="1859"/>
      <c r="BB147" s="1859"/>
    </row>
    <row r="148" spans="1:54" x14ac:dyDescent="0.25">
      <c r="A148" s="1880" t="s">
        <v>1327</v>
      </c>
      <c r="B148" s="1881"/>
      <c r="C148" s="1856" t="s">
        <v>1328</v>
      </c>
      <c r="D148" s="1856"/>
      <c r="E148" s="1856"/>
      <c r="F148" s="1856"/>
      <c r="G148" s="1856"/>
      <c r="H148" s="1856"/>
      <c r="I148" s="1856"/>
      <c r="J148" s="1856"/>
      <c r="K148" s="1856"/>
      <c r="L148" s="1856"/>
      <c r="M148" s="1856"/>
      <c r="N148" s="1856"/>
      <c r="O148" s="1856"/>
      <c r="P148" s="1856"/>
      <c r="Q148" s="1856"/>
      <c r="R148" s="1856"/>
      <c r="S148" s="1856"/>
      <c r="T148" s="1856"/>
      <c r="U148" s="1856"/>
      <c r="V148" s="1856" t="s">
        <v>1326</v>
      </c>
      <c r="W148" s="1856"/>
      <c r="X148" s="1856"/>
      <c r="Y148" s="1851"/>
      <c r="Z148" s="1851"/>
      <c r="AA148" s="1851"/>
      <c r="AB148" s="1851"/>
      <c r="AC148" s="1851"/>
      <c r="AD148" s="1851"/>
      <c r="AE148" s="1851"/>
      <c r="AF148" s="1851"/>
      <c r="AG148" s="1851"/>
      <c r="AH148" s="1851"/>
      <c r="AI148" s="1851"/>
      <c r="AJ148" s="1851"/>
      <c r="AK148" s="1851"/>
      <c r="AL148" s="1851"/>
      <c r="AM148" s="1851"/>
      <c r="AN148" s="1851"/>
      <c r="AO148" s="1851"/>
      <c r="AP148" s="1851"/>
      <c r="AQ148" s="1851"/>
      <c r="AR148" s="1851"/>
      <c r="AS148" s="1851"/>
      <c r="AT148" s="1851"/>
      <c r="AU148" s="1851"/>
      <c r="AV148" s="1851"/>
      <c r="AW148" s="1851"/>
      <c r="AX148" s="1851"/>
      <c r="AY148" s="1851"/>
      <c r="AZ148" s="1851"/>
      <c r="BA148" s="1851"/>
      <c r="BB148" s="1851"/>
    </row>
    <row r="149" spans="1:54" x14ac:dyDescent="0.25">
      <c r="A149" s="1880" t="s">
        <v>1329</v>
      </c>
      <c r="B149" s="1881"/>
      <c r="C149" s="1856" t="s">
        <v>1330</v>
      </c>
      <c r="D149" s="1856"/>
      <c r="E149" s="1856"/>
      <c r="F149" s="1856"/>
      <c r="G149" s="1856"/>
      <c r="H149" s="1856"/>
      <c r="I149" s="1856"/>
      <c r="J149" s="1856"/>
      <c r="K149" s="1856"/>
      <c r="L149" s="1856"/>
      <c r="M149" s="1856"/>
      <c r="N149" s="1856"/>
      <c r="O149" s="1856"/>
      <c r="P149" s="1856"/>
      <c r="Q149" s="1856"/>
      <c r="R149" s="1856"/>
      <c r="S149" s="1856"/>
      <c r="T149" s="1856"/>
      <c r="U149" s="1856"/>
      <c r="V149" s="1856" t="s">
        <v>1326</v>
      </c>
      <c r="W149" s="1856"/>
      <c r="X149" s="1856"/>
      <c r="Y149" s="1851"/>
      <c r="Z149" s="1851"/>
      <c r="AA149" s="1851"/>
      <c r="AB149" s="1851"/>
      <c r="AC149" s="1851"/>
      <c r="AD149" s="1851"/>
      <c r="AE149" s="1851"/>
      <c r="AF149" s="1851"/>
      <c r="AG149" s="1851"/>
      <c r="AH149" s="1851"/>
      <c r="AI149" s="1851"/>
      <c r="AJ149" s="1851"/>
      <c r="AK149" s="1851"/>
      <c r="AL149" s="1851"/>
      <c r="AM149" s="1851"/>
      <c r="AN149" s="1851"/>
      <c r="AO149" s="1851"/>
      <c r="AP149" s="1851"/>
      <c r="AQ149" s="1851"/>
      <c r="AR149" s="1851"/>
      <c r="AS149" s="1851"/>
      <c r="AT149" s="1851"/>
      <c r="AU149" s="1851"/>
      <c r="AV149" s="1851"/>
      <c r="AW149" s="1851"/>
      <c r="AX149" s="1851"/>
      <c r="AY149" s="1851"/>
      <c r="AZ149" s="1851"/>
      <c r="BA149" s="1851"/>
      <c r="BB149" s="1851"/>
    </row>
    <row r="150" spans="1:54" x14ac:dyDescent="0.25">
      <c r="A150" s="1880" t="s">
        <v>1331</v>
      </c>
      <c r="B150" s="1881"/>
      <c r="C150" s="1856" t="s">
        <v>1332</v>
      </c>
      <c r="D150" s="1856"/>
      <c r="E150" s="1856"/>
      <c r="F150" s="1856"/>
      <c r="G150" s="1856"/>
      <c r="H150" s="1856"/>
      <c r="I150" s="1856"/>
      <c r="J150" s="1856"/>
      <c r="K150" s="1856"/>
      <c r="L150" s="1856"/>
      <c r="M150" s="1856"/>
      <c r="N150" s="1856"/>
      <c r="O150" s="1856"/>
      <c r="P150" s="1856"/>
      <c r="Q150" s="1856"/>
      <c r="R150" s="1856"/>
      <c r="S150" s="1856"/>
      <c r="T150" s="1856"/>
      <c r="U150" s="1856"/>
      <c r="V150" s="1856" t="s">
        <v>1326</v>
      </c>
      <c r="W150" s="1856"/>
      <c r="X150" s="1856"/>
      <c r="Y150" s="1851"/>
      <c r="Z150" s="1851"/>
      <c r="AA150" s="1851"/>
      <c r="AB150" s="1851"/>
      <c r="AC150" s="1851"/>
      <c r="AD150" s="1851"/>
      <c r="AE150" s="1851"/>
      <c r="AF150" s="1851"/>
      <c r="AG150" s="1851"/>
      <c r="AH150" s="1851"/>
      <c r="AI150" s="1851"/>
      <c r="AJ150" s="1851"/>
      <c r="AK150" s="1851"/>
      <c r="AL150" s="1851"/>
      <c r="AM150" s="1851"/>
      <c r="AN150" s="1851"/>
      <c r="AO150" s="1851"/>
      <c r="AP150" s="1851"/>
      <c r="AQ150" s="1851"/>
      <c r="AR150" s="1851"/>
      <c r="AS150" s="1851"/>
      <c r="AT150" s="1851"/>
      <c r="AU150" s="1851"/>
      <c r="AV150" s="1851"/>
      <c r="AW150" s="1851"/>
      <c r="AX150" s="1851"/>
      <c r="AY150" s="1851"/>
      <c r="AZ150" s="1851"/>
      <c r="BA150" s="1851"/>
      <c r="BB150" s="1851"/>
    </row>
    <row r="151" spans="1:54" x14ac:dyDescent="0.25">
      <c r="A151" s="1880" t="s">
        <v>1333</v>
      </c>
      <c r="B151" s="1881"/>
      <c r="C151" s="1856" t="s">
        <v>1334</v>
      </c>
      <c r="D151" s="1856"/>
      <c r="E151" s="1856"/>
      <c r="F151" s="1856"/>
      <c r="G151" s="1856"/>
      <c r="H151" s="1856"/>
      <c r="I151" s="1856"/>
      <c r="J151" s="1856"/>
      <c r="K151" s="1856"/>
      <c r="L151" s="1856"/>
      <c r="M151" s="1856"/>
      <c r="N151" s="1856"/>
      <c r="O151" s="1856"/>
      <c r="P151" s="1856"/>
      <c r="Q151" s="1856"/>
      <c r="R151" s="1856"/>
      <c r="S151" s="1856"/>
      <c r="T151" s="1856"/>
      <c r="U151" s="1856"/>
      <c r="V151" s="1856" t="s">
        <v>1326</v>
      </c>
      <c r="W151" s="1856"/>
      <c r="X151" s="1856"/>
      <c r="Y151" s="1851"/>
      <c r="Z151" s="1851"/>
      <c r="AA151" s="1851"/>
      <c r="AB151" s="1851"/>
      <c r="AC151" s="1851"/>
      <c r="AD151" s="1851"/>
      <c r="AE151" s="1851"/>
      <c r="AF151" s="1851"/>
      <c r="AG151" s="1851"/>
      <c r="AH151" s="1851"/>
      <c r="AI151" s="1851"/>
      <c r="AJ151" s="1851"/>
      <c r="AK151" s="1851"/>
      <c r="AL151" s="1851"/>
      <c r="AM151" s="1851"/>
      <c r="AN151" s="1851"/>
      <c r="AO151" s="1851"/>
      <c r="AP151" s="1851"/>
      <c r="AQ151" s="1851"/>
      <c r="AR151" s="1851"/>
      <c r="AS151" s="1851"/>
      <c r="AT151" s="1851"/>
      <c r="AU151" s="1851"/>
      <c r="AV151" s="1851"/>
      <c r="AW151" s="1851"/>
      <c r="AX151" s="1851"/>
      <c r="AY151" s="1851"/>
      <c r="AZ151" s="1851"/>
      <c r="BA151" s="1851"/>
      <c r="BB151" s="1851"/>
    </row>
    <row r="152" spans="1:54" x14ac:dyDescent="0.25">
      <c r="A152" s="1880" t="s">
        <v>1335</v>
      </c>
      <c r="B152" s="1881"/>
      <c r="C152" s="1856" t="s">
        <v>1336</v>
      </c>
      <c r="D152" s="1856"/>
      <c r="E152" s="1856"/>
      <c r="F152" s="1856"/>
      <c r="G152" s="1856"/>
      <c r="H152" s="1856"/>
      <c r="I152" s="1856"/>
      <c r="J152" s="1856"/>
      <c r="K152" s="1856"/>
      <c r="L152" s="1856"/>
      <c r="M152" s="1856"/>
      <c r="N152" s="1856"/>
      <c r="O152" s="1856"/>
      <c r="P152" s="1856"/>
      <c r="Q152" s="1856"/>
      <c r="R152" s="1856"/>
      <c r="S152" s="1856"/>
      <c r="T152" s="1856"/>
      <c r="U152" s="1856"/>
      <c r="V152" s="1865" t="s">
        <v>1337</v>
      </c>
      <c r="W152" s="1865"/>
      <c r="X152" s="1865"/>
      <c r="Y152" s="1857"/>
      <c r="Z152" s="1877"/>
      <c r="AA152" s="1877"/>
      <c r="AB152" s="1877"/>
      <c r="AC152" s="1859"/>
      <c r="AD152" s="1859"/>
      <c r="AE152" s="1857"/>
      <c r="AF152" s="1877"/>
      <c r="AG152" s="1877"/>
      <c r="AH152" s="1877"/>
      <c r="AI152" s="1859"/>
      <c r="AJ152" s="1859"/>
      <c r="AK152" s="1857"/>
      <c r="AL152" s="1877"/>
      <c r="AM152" s="1877"/>
      <c r="AN152" s="1877"/>
      <c r="AO152" s="1859"/>
      <c r="AP152" s="1859"/>
      <c r="AQ152" s="1857"/>
      <c r="AR152" s="1877"/>
      <c r="AS152" s="1877"/>
      <c r="AT152" s="1877"/>
      <c r="AU152" s="1859"/>
      <c r="AV152" s="1859"/>
      <c r="AW152" s="1857"/>
      <c r="AX152" s="1877"/>
      <c r="AY152" s="1877"/>
      <c r="AZ152" s="1877"/>
      <c r="BA152" s="1859"/>
      <c r="BB152" s="1859"/>
    </row>
    <row r="153" spans="1:54" x14ac:dyDescent="0.25">
      <c r="A153" s="1880" t="s">
        <v>1338</v>
      </c>
      <c r="B153" s="1881"/>
      <c r="C153" s="1856" t="s">
        <v>1339</v>
      </c>
      <c r="D153" s="1856"/>
      <c r="E153" s="1856"/>
      <c r="F153" s="1856"/>
      <c r="G153" s="1856"/>
      <c r="H153" s="1856"/>
      <c r="I153" s="1856"/>
      <c r="J153" s="1856"/>
      <c r="K153" s="1856"/>
      <c r="L153" s="1856"/>
      <c r="M153" s="1856"/>
      <c r="N153" s="1856"/>
      <c r="O153" s="1856"/>
      <c r="P153" s="1856"/>
      <c r="Q153" s="1856"/>
      <c r="R153" s="1856"/>
      <c r="S153" s="1856"/>
      <c r="T153" s="1856"/>
      <c r="U153" s="1856"/>
      <c r="V153" s="1856" t="s">
        <v>1337</v>
      </c>
      <c r="W153" s="1856"/>
      <c r="X153" s="1856"/>
      <c r="Y153" s="1851"/>
      <c r="Z153" s="1851"/>
      <c r="AA153" s="1851"/>
      <c r="AB153" s="1851"/>
      <c r="AC153" s="1851"/>
      <c r="AD153" s="1851"/>
      <c r="AE153" s="1851"/>
      <c r="AF153" s="1851"/>
      <c r="AG153" s="1851"/>
      <c r="AH153" s="1851"/>
      <c r="AI153" s="1851"/>
      <c r="AJ153" s="1851"/>
      <c r="AK153" s="1851"/>
      <c r="AL153" s="1851"/>
      <c r="AM153" s="1851"/>
      <c r="AN153" s="1851"/>
      <c r="AO153" s="1851"/>
      <c r="AP153" s="1851"/>
      <c r="AQ153" s="1851"/>
      <c r="AR153" s="1851"/>
      <c r="AS153" s="1851"/>
      <c r="AT153" s="1851"/>
      <c r="AU153" s="1851"/>
      <c r="AV153" s="1851"/>
      <c r="AW153" s="1851"/>
      <c r="AX153" s="1851"/>
      <c r="AY153" s="1851"/>
      <c r="AZ153" s="1851"/>
      <c r="BA153" s="1851"/>
      <c r="BB153" s="1851"/>
    </row>
    <row r="154" spans="1:54" x14ac:dyDescent="0.25">
      <c r="A154" s="1880" t="s">
        <v>1340</v>
      </c>
      <c r="B154" s="1881"/>
      <c r="C154" s="1856" t="s">
        <v>1341</v>
      </c>
      <c r="D154" s="1856"/>
      <c r="E154" s="1856"/>
      <c r="F154" s="1856"/>
      <c r="G154" s="1856"/>
      <c r="H154" s="1856"/>
      <c r="I154" s="1856"/>
      <c r="J154" s="1856"/>
      <c r="K154" s="1856"/>
      <c r="L154" s="1856"/>
      <c r="M154" s="1856"/>
      <c r="N154" s="1856"/>
      <c r="O154" s="1856"/>
      <c r="P154" s="1856"/>
      <c r="Q154" s="1856"/>
      <c r="R154" s="1856"/>
      <c r="S154" s="1856"/>
      <c r="T154" s="1856"/>
      <c r="U154" s="1856"/>
      <c r="V154" s="1856" t="s">
        <v>1337</v>
      </c>
      <c r="W154" s="1856"/>
      <c r="X154" s="1856"/>
      <c r="Y154" s="1851"/>
      <c r="Z154" s="1851"/>
      <c r="AA154" s="1851"/>
      <c r="AB154" s="1851"/>
      <c r="AC154" s="1851"/>
      <c r="AD154" s="1851"/>
      <c r="AE154" s="1851"/>
      <c r="AF154" s="1851"/>
      <c r="AG154" s="1851"/>
      <c r="AH154" s="1851"/>
      <c r="AI154" s="1851"/>
      <c r="AJ154" s="1851"/>
      <c r="AK154" s="1851"/>
      <c r="AL154" s="1851"/>
      <c r="AM154" s="1851"/>
      <c r="AN154" s="1851"/>
      <c r="AO154" s="1851"/>
      <c r="AP154" s="1851"/>
      <c r="AQ154" s="1851"/>
      <c r="AR154" s="1851"/>
      <c r="AS154" s="1851"/>
      <c r="AT154" s="1851"/>
      <c r="AU154" s="1851"/>
      <c r="AV154" s="1851"/>
      <c r="AW154" s="1851"/>
      <c r="AX154" s="1851"/>
      <c r="AY154" s="1851"/>
      <c r="AZ154" s="1851"/>
      <c r="BA154" s="1851"/>
      <c r="BB154" s="1851"/>
    </row>
    <row r="155" spans="1:54" x14ac:dyDescent="0.25">
      <c r="A155" s="1880" t="s">
        <v>1342</v>
      </c>
      <c r="B155" s="1881"/>
      <c r="C155" s="1856" t="s">
        <v>1343</v>
      </c>
      <c r="D155" s="1856"/>
      <c r="E155" s="1856"/>
      <c r="F155" s="1856"/>
      <c r="G155" s="1856"/>
      <c r="H155" s="1856"/>
      <c r="I155" s="1856"/>
      <c r="J155" s="1856"/>
      <c r="K155" s="1856"/>
      <c r="L155" s="1856"/>
      <c r="M155" s="1856"/>
      <c r="N155" s="1856"/>
      <c r="O155" s="1856"/>
      <c r="P155" s="1856"/>
      <c r="Q155" s="1856"/>
      <c r="R155" s="1856"/>
      <c r="S155" s="1856"/>
      <c r="T155" s="1856"/>
      <c r="U155" s="1856"/>
      <c r="V155" s="1856" t="s">
        <v>1337</v>
      </c>
      <c r="W155" s="1856"/>
      <c r="X155" s="1856"/>
      <c r="Y155" s="1851"/>
      <c r="Z155" s="1851"/>
      <c r="AA155" s="1851"/>
      <c r="AB155" s="1851"/>
      <c r="AC155" s="1851"/>
      <c r="AD155" s="1851"/>
      <c r="AE155" s="1851"/>
      <c r="AF155" s="1851"/>
      <c r="AG155" s="1851"/>
      <c r="AH155" s="1851"/>
      <c r="AI155" s="1851"/>
      <c r="AJ155" s="1851"/>
      <c r="AK155" s="1851"/>
      <c r="AL155" s="1851"/>
      <c r="AM155" s="1851"/>
      <c r="AN155" s="1851"/>
      <c r="AO155" s="1851"/>
      <c r="AP155" s="1851"/>
      <c r="AQ155" s="1851"/>
      <c r="AR155" s="1851"/>
      <c r="AS155" s="1851"/>
      <c r="AT155" s="1851"/>
      <c r="AU155" s="1851"/>
      <c r="AV155" s="1851"/>
      <c r="AW155" s="1851"/>
      <c r="AX155" s="1851"/>
      <c r="AY155" s="1851"/>
      <c r="AZ155" s="1851"/>
      <c r="BA155" s="1851"/>
      <c r="BB155" s="1851"/>
    </row>
    <row r="156" spans="1:54" x14ac:dyDescent="0.25">
      <c r="A156" s="1880" t="s">
        <v>1344</v>
      </c>
      <c r="B156" s="1881"/>
      <c r="C156" s="1856" t="s">
        <v>1345</v>
      </c>
      <c r="D156" s="1856"/>
      <c r="E156" s="1856"/>
      <c r="F156" s="1856"/>
      <c r="G156" s="1856"/>
      <c r="H156" s="1856"/>
      <c r="I156" s="1856"/>
      <c r="J156" s="1856"/>
      <c r="K156" s="1856"/>
      <c r="L156" s="1856"/>
      <c r="M156" s="1856"/>
      <c r="N156" s="1856"/>
      <c r="O156" s="1856"/>
      <c r="P156" s="1856"/>
      <c r="Q156" s="1856"/>
      <c r="R156" s="1856"/>
      <c r="S156" s="1856"/>
      <c r="T156" s="1856"/>
      <c r="U156" s="1856"/>
      <c r="V156" s="1856" t="s">
        <v>1337</v>
      </c>
      <c r="W156" s="1856"/>
      <c r="X156" s="1856"/>
      <c r="Y156" s="1851"/>
      <c r="Z156" s="1851"/>
      <c r="AA156" s="1851"/>
      <c r="AB156" s="1851"/>
      <c r="AC156" s="1851"/>
      <c r="AD156" s="1851"/>
      <c r="AE156" s="1851"/>
      <c r="AF156" s="1851"/>
      <c r="AG156" s="1851"/>
      <c r="AH156" s="1851"/>
      <c r="AI156" s="1851"/>
      <c r="AJ156" s="1851"/>
      <c r="AK156" s="1851"/>
      <c r="AL156" s="1851"/>
      <c r="AM156" s="1851"/>
      <c r="AN156" s="1851"/>
      <c r="AO156" s="1851"/>
      <c r="AP156" s="1851"/>
      <c r="AQ156" s="1851"/>
      <c r="AR156" s="1851"/>
      <c r="AS156" s="1851"/>
      <c r="AT156" s="1851"/>
      <c r="AU156" s="1851"/>
      <c r="AV156" s="1851"/>
      <c r="AW156" s="1851"/>
      <c r="AX156" s="1851"/>
      <c r="AY156" s="1851"/>
      <c r="AZ156" s="1851"/>
      <c r="BA156" s="1851"/>
      <c r="BB156" s="1851"/>
    </row>
    <row r="157" spans="1:54" x14ac:dyDescent="0.25">
      <c r="A157" s="1880" t="s">
        <v>1346</v>
      </c>
      <c r="B157" s="1881"/>
      <c r="C157" s="1856" t="s">
        <v>1347</v>
      </c>
      <c r="D157" s="1856"/>
      <c r="E157" s="1856"/>
      <c r="F157" s="1856"/>
      <c r="G157" s="1856"/>
      <c r="H157" s="1856"/>
      <c r="I157" s="1856"/>
      <c r="J157" s="1856"/>
      <c r="K157" s="1856"/>
      <c r="L157" s="1856"/>
      <c r="M157" s="1856"/>
      <c r="N157" s="1856"/>
      <c r="O157" s="1856"/>
      <c r="P157" s="1856"/>
      <c r="Q157" s="1856"/>
      <c r="R157" s="1856"/>
      <c r="S157" s="1856"/>
      <c r="T157" s="1856"/>
      <c r="U157" s="1856"/>
      <c r="V157" s="1856" t="s">
        <v>1337</v>
      </c>
      <c r="W157" s="1856"/>
      <c r="X157" s="1856"/>
      <c r="Y157" s="1851"/>
      <c r="Z157" s="1851"/>
      <c r="AA157" s="1851"/>
      <c r="AB157" s="1851"/>
      <c r="AC157" s="1851"/>
      <c r="AD157" s="1851"/>
      <c r="AE157" s="1851"/>
      <c r="AF157" s="1851"/>
      <c r="AG157" s="1851"/>
      <c r="AH157" s="1851"/>
      <c r="AI157" s="1851"/>
      <c r="AJ157" s="1851"/>
      <c r="AK157" s="1851"/>
      <c r="AL157" s="1851"/>
      <c r="AM157" s="1851"/>
      <c r="AN157" s="1851"/>
      <c r="AO157" s="1851"/>
      <c r="AP157" s="1851"/>
      <c r="AQ157" s="1851"/>
      <c r="AR157" s="1851"/>
      <c r="AS157" s="1851"/>
      <c r="AT157" s="1851"/>
      <c r="AU157" s="1851"/>
      <c r="AV157" s="1851"/>
      <c r="AW157" s="1851"/>
      <c r="AX157" s="1851"/>
      <c r="AY157" s="1851"/>
      <c r="AZ157" s="1851"/>
      <c r="BA157" s="1851"/>
      <c r="BB157" s="1851"/>
    </row>
    <row r="158" spans="1:54" x14ac:dyDescent="0.25">
      <c r="A158" s="1880" t="s">
        <v>1348</v>
      </c>
      <c r="B158" s="1881"/>
      <c r="C158" s="1856" t="s">
        <v>1349</v>
      </c>
      <c r="D158" s="1856"/>
      <c r="E158" s="1856"/>
      <c r="F158" s="1856"/>
      <c r="G158" s="1856"/>
      <c r="H158" s="1856"/>
      <c r="I158" s="1856"/>
      <c r="J158" s="1856"/>
      <c r="K158" s="1856"/>
      <c r="L158" s="1856"/>
      <c r="M158" s="1856"/>
      <c r="N158" s="1856"/>
      <c r="O158" s="1856"/>
      <c r="P158" s="1856"/>
      <c r="Q158" s="1856"/>
      <c r="R158" s="1856"/>
      <c r="S158" s="1856"/>
      <c r="T158" s="1856"/>
      <c r="U158" s="1856"/>
      <c r="V158" s="1856" t="s">
        <v>1337</v>
      </c>
      <c r="W158" s="1856"/>
      <c r="X158" s="1856"/>
      <c r="Y158" s="1851"/>
      <c r="Z158" s="1851"/>
      <c r="AA158" s="1851"/>
      <c r="AB158" s="1851"/>
      <c r="AC158" s="1851"/>
      <c r="AD158" s="1851"/>
      <c r="AE158" s="1851"/>
      <c r="AF158" s="1851"/>
      <c r="AG158" s="1851"/>
      <c r="AH158" s="1851"/>
      <c r="AI158" s="1851"/>
      <c r="AJ158" s="1851"/>
      <c r="AK158" s="1851"/>
      <c r="AL158" s="1851"/>
      <c r="AM158" s="1851"/>
      <c r="AN158" s="1851"/>
      <c r="AO158" s="1851"/>
      <c r="AP158" s="1851"/>
      <c r="AQ158" s="1851"/>
      <c r="AR158" s="1851"/>
      <c r="AS158" s="1851"/>
      <c r="AT158" s="1851"/>
      <c r="AU158" s="1851"/>
      <c r="AV158" s="1851"/>
      <c r="AW158" s="1851"/>
      <c r="AX158" s="1851"/>
      <c r="AY158" s="1851"/>
      <c r="AZ158" s="1851"/>
      <c r="BA158" s="1851"/>
      <c r="BB158" s="1851"/>
    </row>
    <row r="159" spans="1:54" x14ac:dyDescent="0.25">
      <c r="A159" s="1880" t="s">
        <v>1350</v>
      </c>
      <c r="B159" s="1881"/>
      <c r="C159" s="1856" t="s">
        <v>1351</v>
      </c>
      <c r="D159" s="1856"/>
      <c r="E159" s="1856"/>
      <c r="F159" s="1856"/>
      <c r="G159" s="1856"/>
      <c r="H159" s="1856"/>
      <c r="I159" s="1856"/>
      <c r="J159" s="1856"/>
      <c r="K159" s="1856"/>
      <c r="L159" s="1856"/>
      <c r="M159" s="1856"/>
      <c r="N159" s="1856"/>
      <c r="O159" s="1856"/>
      <c r="P159" s="1856"/>
      <c r="Q159" s="1856"/>
      <c r="R159" s="1856"/>
      <c r="S159" s="1856"/>
      <c r="T159" s="1856"/>
      <c r="U159" s="1856"/>
      <c r="V159" s="1856" t="s">
        <v>1337</v>
      </c>
      <c r="W159" s="1856"/>
      <c r="X159" s="1856"/>
      <c r="Y159" s="1851"/>
      <c r="Z159" s="1851"/>
      <c r="AA159" s="1851"/>
      <c r="AB159" s="1851"/>
      <c r="AC159" s="1851"/>
      <c r="AD159" s="1851"/>
      <c r="AE159" s="1851"/>
      <c r="AF159" s="1851"/>
      <c r="AG159" s="1851"/>
      <c r="AH159" s="1851"/>
      <c r="AI159" s="1851"/>
      <c r="AJ159" s="1851"/>
      <c r="AK159" s="1851"/>
      <c r="AL159" s="1851"/>
      <c r="AM159" s="1851"/>
      <c r="AN159" s="1851"/>
      <c r="AO159" s="1851"/>
      <c r="AP159" s="1851"/>
      <c r="AQ159" s="1851"/>
      <c r="AR159" s="1851"/>
      <c r="AS159" s="1851"/>
      <c r="AT159" s="1851"/>
      <c r="AU159" s="1851"/>
      <c r="AV159" s="1851"/>
      <c r="AW159" s="1851"/>
      <c r="AX159" s="1851"/>
      <c r="AY159" s="1851"/>
      <c r="AZ159" s="1851"/>
      <c r="BA159" s="1851"/>
      <c r="BB159" s="1851"/>
    </row>
    <row r="160" spans="1:54" x14ac:dyDescent="0.25">
      <c r="A160" s="1880" t="s">
        <v>1352</v>
      </c>
      <c r="B160" s="1881"/>
      <c r="C160" s="1856" t="s">
        <v>1353</v>
      </c>
      <c r="D160" s="1856"/>
      <c r="E160" s="1856"/>
      <c r="F160" s="1856"/>
      <c r="G160" s="1856"/>
      <c r="H160" s="1856"/>
      <c r="I160" s="1856"/>
      <c r="J160" s="1856"/>
      <c r="K160" s="1856"/>
      <c r="L160" s="1856"/>
      <c r="M160" s="1856"/>
      <c r="N160" s="1856"/>
      <c r="O160" s="1856"/>
      <c r="P160" s="1856"/>
      <c r="Q160" s="1856"/>
      <c r="R160" s="1856"/>
      <c r="S160" s="1856"/>
      <c r="T160" s="1856"/>
      <c r="U160" s="1856"/>
      <c r="V160" s="1856" t="s">
        <v>1337</v>
      </c>
      <c r="W160" s="1856"/>
      <c r="X160" s="1856"/>
      <c r="Y160" s="1851"/>
      <c r="Z160" s="1851"/>
      <c r="AA160" s="1851"/>
      <c r="AB160" s="1851"/>
      <c r="AC160" s="1851"/>
      <c r="AD160" s="1851"/>
      <c r="AE160" s="1851"/>
      <c r="AF160" s="1851"/>
      <c r="AG160" s="1851"/>
      <c r="AH160" s="1851"/>
      <c r="AI160" s="1851"/>
      <c r="AJ160" s="1851"/>
      <c r="AK160" s="1851"/>
      <c r="AL160" s="1851"/>
      <c r="AM160" s="1851"/>
      <c r="AN160" s="1851"/>
      <c r="AO160" s="1851"/>
      <c r="AP160" s="1851"/>
      <c r="AQ160" s="1851"/>
      <c r="AR160" s="1851"/>
      <c r="AS160" s="1851"/>
      <c r="AT160" s="1851"/>
      <c r="AU160" s="1851"/>
      <c r="AV160" s="1851"/>
      <c r="AW160" s="1851"/>
      <c r="AX160" s="1851"/>
      <c r="AY160" s="1851"/>
      <c r="AZ160" s="1851"/>
      <c r="BA160" s="1851"/>
      <c r="BB160" s="1851"/>
    </row>
    <row r="161" spans="1:54" x14ac:dyDescent="0.25">
      <c r="A161" s="1880" t="s">
        <v>1354</v>
      </c>
      <c r="B161" s="1881"/>
      <c r="C161" s="1856" t="s">
        <v>1355</v>
      </c>
      <c r="D161" s="1856"/>
      <c r="E161" s="1856"/>
      <c r="F161" s="1856"/>
      <c r="G161" s="1856"/>
      <c r="H161" s="1856"/>
      <c r="I161" s="1856"/>
      <c r="J161" s="1856"/>
      <c r="K161" s="1856"/>
      <c r="L161" s="1856"/>
      <c r="M161" s="1856"/>
      <c r="N161" s="1856"/>
      <c r="O161" s="1856"/>
      <c r="P161" s="1856"/>
      <c r="Q161" s="1856"/>
      <c r="R161" s="1856"/>
      <c r="S161" s="1856"/>
      <c r="T161" s="1856"/>
      <c r="U161" s="1856"/>
      <c r="V161" s="1856" t="s">
        <v>1337</v>
      </c>
      <c r="W161" s="1856"/>
      <c r="X161" s="1856"/>
      <c r="Y161" s="1851"/>
      <c r="Z161" s="1851"/>
      <c r="AA161" s="1851"/>
      <c r="AB161" s="1851"/>
      <c r="AC161" s="1851"/>
      <c r="AD161" s="1851"/>
      <c r="AE161" s="1851"/>
      <c r="AF161" s="1851"/>
      <c r="AG161" s="1851"/>
      <c r="AH161" s="1851"/>
      <c r="AI161" s="1851"/>
      <c r="AJ161" s="1851"/>
      <c r="AK161" s="1851"/>
      <c r="AL161" s="1851"/>
      <c r="AM161" s="1851"/>
      <c r="AN161" s="1851"/>
      <c r="AO161" s="1851"/>
      <c r="AP161" s="1851"/>
      <c r="AQ161" s="1851"/>
      <c r="AR161" s="1851"/>
      <c r="AS161" s="1851"/>
      <c r="AT161" s="1851"/>
      <c r="AU161" s="1851"/>
      <c r="AV161" s="1851"/>
      <c r="AW161" s="1851"/>
      <c r="AX161" s="1851"/>
      <c r="AY161" s="1851"/>
      <c r="AZ161" s="1851"/>
      <c r="BA161" s="1851"/>
      <c r="BB161" s="1851"/>
    </row>
    <row r="162" spans="1:54" x14ac:dyDescent="0.25">
      <c r="A162" s="1880" t="s">
        <v>1356</v>
      </c>
      <c r="B162" s="1881"/>
      <c r="C162" s="1856" t="s">
        <v>1357</v>
      </c>
      <c r="D162" s="1856"/>
      <c r="E162" s="1856"/>
      <c r="F162" s="1856"/>
      <c r="G162" s="1856"/>
      <c r="H162" s="1856"/>
      <c r="I162" s="1856"/>
      <c r="J162" s="1856"/>
      <c r="K162" s="1856"/>
      <c r="L162" s="1856"/>
      <c r="M162" s="1856"/>
      <c r="N162" s="1856"/>
      <c r="O162" s="1856"/>
      <c r="P162" s="1856"/>
      <c r="Q162" s="1856"/>
      <c r="R162" s="1856"/>
      <c r="S162" s="1856"/>
      <c r="T162" s="1856"/>
      <c r="U162" s="1856"/>
      <c r="V162" s="1856" t="s">
        <v>1337</v>
      </c>
      <c r="W162" s="1856"/>
      <c r="X162" s="1856"/>
      <c r="Y162" s="1851"/>
      <c r="Z162" s="1851"/>
      <c r="AA162" s="1851"/>
      <c r="AB162" s="1851"/>
      <c r="AC162" s="1851"/>
      <c r="AD162" s="1851"/>
      <c r="AE162" s="1851"/>
      <c r="AF162" s="1851"/>
      <c r="AG162" s="1851"/>
      <c r="AH162" s="1851"/>
      <c r="AI162" s="1851"/>
      <c r="AJ162" s="1851"/>
      <c r="AK162" s="1851"/>
      <c r="AL162" s="1851"/>
      <c r="AM162" s="1851"/>
      <c r="AN162" s="1851"/>
      <c r="AO162" s="1851"/>
      <c r="AP162" s="1851"/>
      <c r="AQ162" s="1851"/>
      <c r="AR162" s="1851"/>
      <c r="AS162" s="1851"/>
      <c r="AT162" s="1851"/>
      <c r="AU162" s="1851"/>
      <c r="AV162" s="1851"/>
      <c r="AW162" s="1851"/>
      <c r="AX162" s="1851"/>
      <c r="AY162" s="1851"/>
      <c r="AZ162" s="1851"/>
      <c r="BA162" s="1851"/>
      <c r="BB162" s="1851"/>
    </row>
    <row r="163" spans="1:54" x14ac:dyDescent="0.25">
      <c r="A163" s="1880" t="s">
        <v>1358</v>
      </c>
      <c r="B163" s="1881"/>
      <c r="C163" s="1856" t="s">
        <v>1359</v>
      </c>
      <c r="D163" s="1856"/>
      <c r="E163" s="1856"/>
      <c r="F163" s="1856"/>
      <c r="G163" s="1856"/>
      <c r="H163" s="1856"/>
      <c r="I163" s="1856"/>
      <c r="J163" s="1856"/>
      <c r="K163" s="1856"/>
      <c r="L163" s="1856"/>
      <c r="M163" s="1856"/>
      <c r="N163" s="1856"/>
      <c r="O163" s="1856"/>
      <c r="P163" s="1856"/>
      <c r="Q163" s="1856"/>
      <c r="R163" s="1856"/>
      <c r="S163" s="1856"/>
      <c r="T163" s="1856"/>
      <c r="U163" s="1856"/>
      <c r="V163" s="1856" t="s">
        <v>1337</v>
      </c>
      <c r="W163" s="1856"/>
      <c r="X163" s="1856"/>
      <c r="Y163" s="1851"/>
      <c r="Z163" s="1851"/>
      <c r="AA163" s="1851"/>
      <c r="AB163" s="1851"/>
      <c r="AC163" s="1851"/>
      <c r="AD163" s="1851"/>
      <c r="AE163" s="1851"/>
      <c r="AF163" s="1851"/>
      <c r="AG163" s="1851"/>
      <c r="AH163" s="1851"/>
      <c r="AI163" s="1851"/>
      <c r="AJ163" s="1851"/>
      <c r="AK163" s="1851"/>
      <c r="AL163" s="1851"/>
      <c r="AM163" s="1851"/>
      <c r="AN163" s="1851"/>
      <c r="AO163" s="1851"/>
      <c r="AP163" s="1851"/>
      <c r="AQ163" s="1851"/>
      <c r="AR163" s="1851"/>
      <c r="AS163" s="1851"/>
      <c r="AT163" s="1851"/>
      <c r="AU163" s="1851"/>
      <c r="AV163" s="1851"/>
      <c r="AW163" s="1851"/>
      <c r="AX163" s="1851"/>
      <c r="AY163" s="1851"/>
      <c r="AZ163" s="1851"/>
      <c r="BA163" s="1851"/>
      <c r="BB163" s="1851"/>
    </row>
    <row r="164" spans="1:54" x14ac:dyDescent="0.25">
      <c r="A164" s="1880" t="s">
        <v>1360</v>
      </c>
      <c r="B164" s="1881"/>
      <c r="C164" s="1856" t="s">
        <v>1361</v>
      </c>
      <c r="D164" s="1856"/>
      <c r="E164" s="1856"/>
      <c r="F164" s="1856"/>
      <c r="G164" s="1856"/>
      <c r="H164" s="1856"/>
      <c r="I164" s="1856"/>
      <c r="J164" s="1856"/>
      <c r="K164" s="1856"/>
      <c r="L164" s="1856"/>
      <c r="M164" s="1856"/>
      <c r="N164" s="1856"/>
      <c r="O164" s="1856"/>
      <c r="P164" s="1856"/>
      <c r="Q164" s="1856"/>
      <c r="R164" s="1856"/>
      <c r="S164" s="1856"/>
      <c r="T164" s="1856"/>
      <c r="U164" s="1856"/>
      <c r="V164" s="1856" t="s">
        <v>1337</v>
      </c>
      <c r="W164" s="1856"/>
      <c r="X164" s="1856"/>
      <c r="Y164" s="1851"/>
      <c r="Z164" s="1851"/>
      <c r="AA164" s="1851"/>
      <c r="AB164" s="1851"/>
      <c r="AC164" s="1851"/>
      <c r="AD164" s="1851"/>
      <c r="AE164" s="1851"/>
      <c r="AF164" s="1851"/>
      <c r="AG164" s="1851"/>
      <c r="AH164" s="1851"/>
      <c r="AI164" s="1851"/>
      <c r="AJ164" s="1851"/>
      <c r="AK164" s="1851"/>
      <c r="AL164" s="1851"/>
      <c r="AM164" s="1851"/>
      <c r="AN164" s="1851"/>
      <c r="AO164" s="1851"/>
      <c r="AP164" s="1851"/>
      <c r="AQ164" s="1851"/>
      <c r="AR164" s="1851"/>
      <c r="AS164" s="1851"/>
      <c r="AT164" s="1851"/>
      <c r="AU164" s="1851"/>
      <c r="AV164" s="1851"/>
      <c r="AW164" s="1851"/>
      <c r="AX164" s="1851"/>
      <c r="AY164" s="1851"/>
      <c r="AZ164" s="1851"/>
      <c r="BA164" s="1851"/>
      <c r="BB164" s="1851"/>
    </row>
    <row r="165" spans="1:54" x14ac:dyDescent="0.25">
      <c r="A165" s="1880" t="s">
        <v>1362</v>
      </c>
      <c r="B165" s="1881"/>
      <c r="C165" s="1856" t="s">
        <v>1363</v>
      </c>
      <c r="D165" s="1856"/>
      <c r="E165" s="1856"/>
      <c r="F165" s="1856"/>
      <c r="G165" s="1856"/>
      <c r="H165" s="1856"/>
      <c r="I165" s="1856"/>
      <c r="J165" s="1856"/>
      <c r="K165" s="1856"/>
      <c r="L165" s="1856"/>
      <c r="M165" s="1856"/>
      <c r="N165" s="1856"/>
      <c r="O165" s="1856"/>
      <c r="P165" s="1856"/>
      <c r="Q165" s="1856"/>
      <c r="R165" s="1856"/>
      <c r="S165" s="1856"/>
      <c r="T165" s="1856"/>
      <c r="U165" s="1856"/>
      <c r="V165" s="1856" t="s">
        <v>1337</v>
      </c>
      <c r="W165" s="1856"/>
      <c r="X165" s="1856"/>
      <c r="Y165" s="1851"/>
      <c r="Z165" s="1851"/>
      <c r="AA165" s="1851"/>
      <c r="AB165" s="1851"/>
      <c r="AC165" s="1851"/>
      <c r="AD165" s="1851"/>
      <c r="AE165" s="1851"/>
      <c r="AF165" s="1851"/>
      <c r="AG165" s="1851"/>
      <c r="AH165" s="1851"/>
      <c r="AI165" s="1851"/>
      <c r="AJ165" s="1851"/>
      <c r="AK165" s="1851"/>
      <c r="AL165" s="1851"/>
      <c r="AM165" s="1851"/>
      <c r="AN165" s="1851"/>
      <c r="AO165" s="1851"/>
      <c r="AP165" s="1851"/>
      <c r="AQ165" s="1851"/>
      <c r="AR165" s="1851"/>
      <c r="AS165" s="1851"/>
      <c r="AT165" s="1851"/>
      <c r="AU165" s="1851"/>
      <c r="AV165" s="1851"/>
      <c r="AW165" s="1851"/>
      <c r="AX165" s="1851"/>
      <c r="AY165" s="1851"/>
      <c r="AZ165" s="1851"/>
      <c r="BA165" s="1851"/>
      <c r="BB165" s="1851"/>
    </row>
    <row r="166" spans="1:54" x14ac:dyDescent="0.25">
      <c r="A166" s="1880" t="s">
        <v>1364</v>
      </c>
      <c r="B166" s="1881"/>
      <c r="C166" s="1856" t="s">
        <v>1365</v>
      </c>
      <c r="D166" s="1856"/>
      <c r="E166" s="1856"/>
      <c r="F166" s="1856"/>
      <c r="G166" s="1856"/>
      <c r="H166" s="1856"/>
      <c r="I166" s="1856"/>
      <c r="J166" s="1856"/>
      <c r="K166" s="1856"/>
      <c r="L166" s="1856"/>
      <c r="M166" s="1856"/>
      <c r="N166" s="1856"/>
      <c r="O166" s="1856"/>
      <c r="P166" s="1856"/>
      <c r="Q166" s="1856"/>
      <c r="R166" s="1856"/>
      <c r="S166" s="1856"/>
      <c r="T166" s="1856"/>
      <c r="U166" s="1856"/>
      <c r="V166" s="1856" t="s">
        <v>1337</v>
      </c>
      <c r="W166" s="1856"/>
      <c r="X166" s="1856"/>
      <c r="Y166" s="1851"/>
      <c r="Z166" s="1851"/>
      <c r="AA166" s="1851"/>
      <c r="AB166" s="1851"/>
      <c r="AC166" s="1851"/>
      <c r="AD166" s="1851"/>
      <c r="AE166" s="1851"/>
      <c r="AF166" s="1851"/>
      <c r="AG166" s="1851"/>
      <c r="AH166" s="1851"/>
      <c r="AI166" s="1851"/>
      <c r="AJ166" s="1851"/>
      <c r="AK166" s="1851"/>
      <c r="AL166" s="1851"/>
      <c r="AM166" s="1851"/>
      <c r="AN166" s="1851"/>
      <c r="AO166" s="1851"/>
      <c r="AP166" s="1851"/>
      <c r="AQ166" s="1851"/>
      <c r="AR166" s="1851"/>
      <c r="AS166" s="1851"/>
      <c r="AT166" s="1851"/>
      <c r="AU166" s="1851"/>
      <c r="AV166" s="1851"/>
      <c r="AW166" s="1851"/>
      <c r="AX166" s="1851"/>
      <c r="AY166" s="1851"/>
      <c r="AZ166" s="1851"/>
      <c r="BA166" s="1851"/>
      <c r="BB166" s="1851"/>
    </row>
    <row r="167" spans="1:54" x14ac:dyDescent="0.25">
      <c r="A167" s="1880" t="s">
        <v>1366</v>
      </c>
      <c r="B167" s="1881"/>
      <c r="C167" s="1856" t="s">
        <v>1367</v>
      </c>
      <c r="D167" s="1856"/>
      <c r="E167" s="1856"/>
      <c r="F167" s="1856"/>
      <c r="G167" s="1856"/>
      <c r="H167" s="1856"/>
      <c r="I167" s="1856"/>
      <c r="J167" s="1856"/>
      <c r="K167" s="1856"/>
      <c r="L167" s="1856"/>
      <c r="M167" s="1856"/>
      <c r="N167" s="1856"/>
      <c r="O167" s="1856"/>
      <c r="P167" s="1856"/>
      <c r="Q167" s="1856"/>
      <c r="R167" s="1856"/>
      <c r="S167" s="1856"/>
      <c r="T167" s="1856"/>
      <c r="U167" s="1856"/>
      <c r="V167" s="1856" t="s">
        <v>1337</v>
      </c>
      <c r="W167" s="1856"/>
      <c r="X167" s="1856"/>
      <c r="Y167" s="1851"/>
      <c r="Z167" s="1851"/>
      <c r="AA167" s="1851"/>
      <c r="AB167" s="1851"/>
      <c r="AC167" s="1851"/>
      <c r="AD167" s="1851"/>
      <c r="AE167" s="1851"/>
      <c r="AF167" s="1851"/>
      <c r="AG167" s="1851"/>
      <c r="AH167" s="1851"/>
      <c r="AI167" s="1851"/>
      <c r="AJ167" s="1851"/>
      <c r="AK167" s="1851"/>
      <c r="AL167" s="1851"/>
      <c r="AM167" s="1851"/>
      <c r="AN167" s="1851"/>
      <c r="AO167" s="1851"/>
      <c r="AP167" s="1851"/>
      <c r="AQ167" s="1851"/>
      <c r="AR167" s="1851"/>
      <c r="AS167" s="1851"/>
      <c r="AT167" s="1851"/>
      <c r="AU167" s="1851"/>
      <c r="AV167" s="1851"/>
      <c r="AW167" s="1851"/>
      <c r="AX167" s="1851"/>
      <c r="AY167" s="1851"/>
      <c r="AZ167" s="1851"/>
      <c r="BA167" s="1851"/>
      <c r="BB167" s="1851"/>
    </row>
    <row r="168" spans="1:54" x14ac:dyDescent="0.25">
      <c r="A168" s="1880" t="s">
        <v>1368</v>
      </c>
      <c r="B168" s="1881"/>
      <c r="C168" s="1856" t="s">
        <v>1369</v>
      </c>
      <c r="D168" s="1856"/>
      <c r="E168" s="1856"/>
      <c r="F168" s="1856"/>
      <c r="G168" s="1856"/>
      <c r="H168" s="1856"/>
      <c r="I168" s="1856"/>
      <c r="J168" s="1856"/>
      <c r="K168" s="1856"/>
      <c r="L168" s="1856"/>
      <c r="M168" s="1856"/>
      <c r="N168" s="1856"/>
      <c r="O168" s="1856"/>
      <c r="P168" s="1856"/>
      <c r="Q168" s="1856"/>
      <c r="R168" s="1856"/>
      <c r="S168" s="1856"/>
      <c r="T168" s="1856"/>
      <c r="U168" s="1856"/>
      <c r="V168" s="1856" t="s">
        <v>1337</v>
      </c>
      <c r="W168" s="1856"/>
      <c r="X168" s="1856"/>
      <c r="Y168" s="1851"/>
      <c r="Z168" s="1851"/>
      <c r="AA168" s="1851"/>
      <c r="AB168" s="1851"/>
      <c r="AC168" s="1851"/>
      <c r="AD168" s="1851"/>
      <c r="AE168" s="1851"/>
      <c r="AF168" s="1851"/>
      <c r="AG168" s="1851"/>
      <c r="AH168" s="1851"/>
      <c r="AI168" s="1851"/>
      <c r="AJ168" s="1851"/>
      <c r="AK168" s="1851"/>
      <c r="AL168" s="1851"/>
      <c r="AM168" s="1851"/>
      <c r="AN168" s="1851"/>
      <c r="AO168" s="1851"/>
      <c r="AP168" s="1851"/>
      <c r="AQ168" s="1851"/>
      <c r="AR168" s="1851"/>
      <c r="AS168" s="1851"/>
      <c r="AT168" s="1851"/>
      <c r="AU168" s="1851"/>
      <c r="AV168" s="1851"/>
      <c r="AW168" s="1851"/>
      <c r="AX168" s="1851"/>
      <c r="AY168" s="1851"/>
      <c r="AZ168" s="1851"/>
      <c r="BA168" s="1851"/>
      <c r="BB168" s="1851"/>
    </row>
    <row r="169" spans="1:54" x14ac:dyDescent="0.25">
      <c r="A169" s="1878" t="s">
        <v>1370</v>
      </c>
      <c r="B169" s="1879"/>
      <c r="C169" s="1855" t="s">
        <v>1371</v>
      </c>
      <c r="D169" s="1855"/>
      <c r="E169" s="1855"/>
      <c r="F169" s="1855"/>
      <c r="G169" s="1855"/>
      <c r="H169" s="1855"/>
      <c r="I169" s="1855"/>
      <c r="J169" s="1855"/>
      <c r="K169" s="1855"/>
      <c r="L169" s="1855"/>
      <c r="M169" s="1855"/>
      <c r="N169" s="1855"/>
      <c r="O169" s="1855"/>
      <c r="P169" s="1855"/>
      <c r="Q169" s="1855"/>
      <c r="R169" s="1855"/>
      <c r="S169" s="1855"/>
      <c r="T169" s="1855"/>
      <c r="U169" s="1855"/>
      <c r="V169" s="1864" t="s">
        <v>1372</v>
      </c>
      <c r="W169" s="1864"/>
      <c r="X169" s="1864"/>
      <c r="Y169" s="1857"/>
      <c r="Z169" s="1877"/>
      <c r="AA169" s="1877"/>
      <c r="AB169" s="1877"/>
      <c r="AC169" s="1859"/>
      <c r="AD169" s="1859"/>
      <c r="AE169" s="1857"/>
      <c r="AF169" s="1877"/>
      <c r="AG169" s="1877"/>
      <c r="AH169" s="1877"/>
      <c r="AI169" s="1859"/>
      <c r="AJ169" s="1859"/>
      <c r="AK169" s="1857"/>
      <c r="AL169" s="1877"/>
      <c r="AM169" s="1877"/>
      <c r="AN169" s="1877"/>
      <c r="AO169" s="1859"/>
      <c r="AP169" s="1859"/>
      <c r="AQ169" s="1857"/>
      <c r="AR169" s="1877"/>
      <c r="AS169" s="1877"/>
      <c r="AT169" s="1877"/>
      <c r="AU169" s="1859"/>
      <c r="AV169" s="1859"/>
      <c r="AW169" s="1857"/>
      <c r="AX169" s="1877"/>
      <c r="AY169" s="1877"/>
      <c r="AZ169" s="1877"/>
      <c r="BA169" s="1859"/>
      <c r="BB169" s="1859"/>
    </row>
    <row r="170" spans="1:54" x14ac:dyDescent="0.25">
      <c r="A170" s="1880" t="s">
        <v>1373</v>
      </c>
      <c r="B170" s="1881"/>
      <c r="C170" s="1856" t="s">
        <v>1374</v>
      </c>
      <c r="D170" s="1856"/>
      <c r="E170" s="1856"/>
      <c r="F170" s="1856"/>
      <c r="G170" s="1856"/>
      <c r="H170" s="1856"/>
      <c r="I170" s="1856"/>
      <c r="J170" s="1856"/>
      <c r="K170" s="1856"/>
      <c r="L170" s="1856"/>
      <c r="M170" s="1856"/>
      <c r="N170" s="1856"/>
      <c r="O170" s="1856"/>
      <c r="P170" s="1856"/>
      <c r="Q170" s="1856"/>
      <c r="R170" s="1856"/>
      <c r="S170" s="1856"/>
      <c r="T170" s="1856"/>
      <c r="U170" s="1856"/>
      <c r="V170" s="1865" t="s">
        <v>1375</v>
      </c>
      <c r="W170" s="1865"/>
      <c r="X170" s="1865"/>
      <c r="Y170" s="1851"/>
      <c r="Z170" s="1851"/>
      <c r="AA170" s="1851"/>
      <c r="AB170" s="1851"/>
      <c r="AC170" s="1851"/>
      <c r="AD170" s="1851"/>
      <c r="AE170" s="1851"/>
      <c r="AF170" s="1851"/>
      <c r="AG170" s="1851"/>
      <c r="AH170" s="1851"/>
      <c r="AI170" s="1851"/>
      <c r="AJ170" s="1851"/>
      <c r="AK170" s="1851"/>
      <c r="AL170" s="1851"/>
      <c r="AM170" s="1851"/>
      <c r="AN170" s="1851"/>
      <c r="AO170" s="1851"/>
      <c r="AP170" s="1851"/>
      <c r="AQ170" s="1851"/>
      <c r="AR170" s="1851"/>
      <c r="AS170" s="1851"/>
      <c r="AT170" s="1851"/>
      <c r="AU170" s="1851"/>
      <c r="AV170" s="1851"/>
      <c r="AW170" s="1851"/>
      <c r="AX170" s="1851"/>
      <c r="AY170" s="1851"/>
      <c r="AZ170" s="1851"/>
      <c r="BA170" s="1851"/>
      <c r="BB170" s="1851"/>
    </row>
    <row r="171" spans="1:54" x14ac:dyDescent="0.25">
      <c r="A171" s="1880" t="s">
        <v>1376</v>
      </c>
      <c r="B171" s="1881"/>
      <c r="C171" s="1856" t="s">
        <v>1377</v>
      </c>
      <c r="D171" s="1856"/>
      <c r="E171" s="1856"/>
      <c r="F171" s="1856"/>
      <c r="G171" s="1856"/>
      <c r="H171" s="1856"/>
      <c r="I171" s="1856"/>
      <c r="J171" s="1856"/>
      <c r="K171" s="1856"/>
      <c r="L171" s="1856"/>
      <c r="M171" s="1856"/>
      <c r="N171" s="1856"/>
      <c r="O171" s="1856"/>
      <c r="P171" s="1856"/>
      <c r="Q171" s="1856"/>
      <c r="R171" s="1856"/>
      <c r="S171" s="1856"/>
      <c r="T171" s="1856"/>
      <c r="U171" s="1856"/>
      <c r="V171" s="1856" t="s">
        <v>1375</v>
      </c>
      <c r="W171" s="1856"/>
      <c r="X171" s="1856"/>
      <c r="Y171" s="1851"/>
      <c r="Z171" s="1851"/>
      <c r="AA171" s="1851"/>
      <c r="AB171" s="1851"/>
      <c r="AC171" s="1851"/>
      <c r="AD171" s="1851"/>
      <c r="AE171" s="1851"/>
      <c r="AF171" s="1851"/>
      <c r="AG171" s="1851"/>
      <c r="AH171" s="1851"/>
      <c r="AI171" s="1851"/>
      <c r="AJ171" s="1851"/>
      <c r="AK171" s="1851"/>
      <c r="AL171" s="1851"/>
      <c r="AM171" s="1851"/>
      <c r="AN171" s="1851"/>
      <c r="AO171" s="1851"/>
      <c r="AP171" s="1851"/>
      <c r="AQ171" s="1851"/>
      <c r="AR171" s="1851"/>
      <c r="AS171" s="1851"/>
      <c r="AT171" s="1851"/>
      <c r="AU171" s="1851"/>
      <c r="AV171" s="1851"/>
      <c r="AW171" s="1851"/>
      <c r="AX171" s="1851"/>
      <c r="AY171" s="1851"/>
      <c r="AZ171" s="1851"/>
      <c r="BA171" s="1851"/>
      <c r="BB171" s="1851"/>
    </row>
    <row r="172" spans="1:54" x14ac:dyDescent="0.25">
      <c r="A172" s="1880" t="s">
        <v>1378</v>
      </c>
      <c r="B172" s="1881"/>
      <c r="C172" s="1856" t="s">
        <v>1379</v>
      </c>
      <c r="D172" s="1856"/>
      <c r="E172" s="1856"/>
      <c r="F172" s="1856"/>
      <c r="G172" s="1856"/>
      <c r="H172" s="1856"/>
      <c r="I172" s="1856"/>
      <c r="J172" s="1856"/>
      <c r="K172" s="1856"/>
      <c r="L172" s="1856"/>
      <c r="M172" s="1856"/>
      <c r="N172" s="1856"/>
      <c r="O172" s="1856"/>
      <c r="P172" s="1856"/>
      <c r="Q172" s="1856"/>
      <c r="R172" s="1856"/>
      <c r="S172" s="1856"/>
      <c r="T172" s="1856"/>
      <c r="U172" s="1856"/>
      <c r="V172" s="1856" t="s">
        <v>1375</v>
      </c>
      <c r="W172" s="1856"/>
      <c r="X172" s="1856"/>
      <c r="Y172" s="1851"/>
      <c r="Z172" s="1851"/>
      <c r="AA172" s="1851"/>
      <c r="AB172" s="1851"/>
      <c r="AC172" s="1851"/>
      <c r="AD172" s="1851"/>
      <c r="AE172" s="1851"/>
      <c r="AF172" s="1851"/>
      <c r="AG172" s="1851"/>
      <c r="AH172" s="1851"/>
      <c r="AI172" s="1851"/>
      <c r="AJ172" s="1851"/>
      <c r="AK172" s="1851"/>
      <c r="AL172" s="1851"/>
      <c r="AM172" s="1851"/>
      <c r="AN172" s="1851"/>
      <c r="AO172" s="1851"/>
      <c r="AP172" s="1851"/>
      <c r="AQ172" s="1851"/>
      <c r="AR172" s="1851"/>
      <c r="AS172" s="1851"/>
      <c r="AT172" s="1851"/>
      <c r="AU172" s="1851"/>
      <c r="AV172" s="1851"/>
      <c r="AW172" s="1851"/>
      <c r="AX172" s="1851"/>
      <c r="AY172" s="1851"/>
      <c r="AZ172" s="1851"/>
      <c r="BA172" s="1851"/>
      <c r="BB172" s="1851"/>
    </row>
    <row r="173" spans="1:54" x14ac:dyDescent="0.25">
      <c r="A173" s="1880" t="s">
        <v>1380</v>
      </c>
      <c r="B173" s="1881"/>
      <c r="C173" s="1856" t="s">
        <v>1381</v>
      </c>
      <c r="D173" s="1856"/>
      <c r="E173" s="1856"/>
      <c r="F173" s="1856"/>
      <c r="G173" s="1856"/>
      <c r="H173" s="1856"/>
      <c r="I173" s="1856"/>
      <c r="J173" s="1856"/>
      <c r="K173" s="1856"/>
      <c r="L173" s="1856"/>
      <c r="M173" s="1856"/>
      <c r="N173" s="1856"/>
      <c r="O173" s="1856"/>
      <c r="P173" s="1856"/>
      <c r="Q173" s="1856"/>
      <c r="R173" s="1856"/>
      <c r="S173" s="1856"/>
      <c r="T173" s="1856"/>
      <c r="U173" s="1856"/>
      <c r="V173" s="1856" t="s">
        <v>1375</v>
      </c>
      <c r="W173" s="1856"/>
      <c r="X173" s="1856"/>
      <c r="Y173" s="1851"/>
      <c r="Z173" s="1851"/>
      <c r="AA173" s="1851"/>
      <c r="AB173" s="1851"/>
      <c r="AC173" s="1851"/>
      <c r="AD173" s="1851"/>
      <c r="AE173" s="1851"/>
      <c r="AF173" s="1851"/>
      <c r="AG173" s="1851"/>
      <c r="AH173" s="1851"/>
      <c r="AI173" s="1851"/>
      <c r="AJ173" s="1851"/>
      <c r="AK173" s="1851"/>
      <c r="AL173" s="1851"/>
      <c r="AM173" s="1851"/>
      <c r="AN173" s="1851"/>
      <c r="AO173" s="1851"/>
      <c r="AP173" s="1851"/>
      <c r="AQ173" s="1851"/>
      <c r="AR173" s="1851"/>
      <c r="AS173" s="1851"/>
      <c r="AT173" s="1851"/>
      <c r="AU173" s="1851"/>
      <c r="AV173" s="1851"/>
      <c r="AW173" s="1851"/>
      <c r="AX173" s="1851"/>
      <c r="AY173" s="1851"/>
      <c r="AZ173" s="1851"/>
      <c r="BA173" s="1851"/>
      <c r="BB173" s="1851"/>
    </row>
    <row r="174" spans="1:54" x14ac:dyDescent="0.25">
      <c r="A174" s="1880" t="s">
        <v>1382</v>
      </c>
      <c r="B174" s="1881"/>
      <c r="C174" s="1856" t="s">
        <v>1383</v>
      </c>
      <c r="D174" s="1856"/>
      <c r="E174" s="1856"/>
      <c r="F174" s="1856"/>
      <c r="G174" s="1856"/>
      <c r="H174" s="1856"/>
      <c r="I174" s="1856"/>
      <c r="J174" s="1856"/>
      <c r="K174" s="1856"/>
      <c r="L174" s="1856"/>
      <c r="M174" s="1856"/>
      <c r="N174" s="1856"/>
      <c r="O174" s="1856"/>
      <c r="P174" s="1856"/>
      <c r="Q174" s="1856"/>
      <c r="R174" s="1856"/>
      <c r="S174" s="1856"/>
      <c r="T174" s="1856"/>
      <c r="U174" s="1856"/>
      <c r="V174" s="1856" t="s">
        <v>1375</v>
      </c>
      <c r="W174" s="1856"/>
      <c r="X174" s="1856"/>
      <c r="Y174" s="1851"/>
      <c r="Z174" s="1851"/>
      <c r="AA174" s="1851"/>
      <c r="AB174" s="1851"/>
      <c r="AC174" s="1851"/>
      <c r="AD174" s="1851"/>
      <c r="AE174" s="1851"/>
      <c r="AF174" s="1851"/>
      <c r="AG174" s="1851"/>
      <c r="AH174" s="1851"/>
      <c r="AI174" s="1851"/>
      <c r="AJ174" s="1851"/>
      <c r="AK174" s="1851"/>
      <c r="AL174" s="1851"/>
      <c r="AM174" s="1851"/>
      <c r="AN174" s="1851"/>
      <c r="AO174" s="1851"/>
      <c r="AP174" s="1851"/>
      <c r="AQ174" s="1851"/>
      <c r="AR174" s="1851"/>
      <c r="AS174" s="1851"/>
      <c r="AT174" s="1851"/>
      <c r="AU174" s="1851"/>
      <c r="AV174" s="1851"/>
      <c r="AW174" s="1851"/>
      <c r="AX174" s="1851"/>
      <c r="AY174" s="1851"/>
      <c r="AZ174" s="1851"/>
      <c r="BA174" s="1851"/>
      <c r="BB174" s="1851"/>
    </row>
    <row r="175" spans="1:54" x14ac:dyDescent="0.25">
      <c r="A175" s="1880" t="s">
        <v>1384</v>
      </c>
      <c r="B175" s="1881"/>
      <c r="C175" s="1856" t="s">
        <v>1385</v>
      </c>
      <c r="D175" s="1856"/>
      <c r="E175" s="1856"/>
      <c r="F175" s="1856"/>
      <c r="G175" s="1856"/>
      <c r="H175" s="1856"/>
      <c r="I175" s="1856"/>
      <c r="J175" s="1856"/>
      <c r="K175" s="1856"/>
      <c r="L175" s="1856"/>
      <c r="M175" s="1856"/>
      <c r="N175" s="1856"/>
      <c r="O175" s="1856"/>
      <c r="P175" s="1856"/>
      <c r="Q175" s="1856"/>
      <c r="R175" s="1856"/>
      <c r="S175" s="1856"/>
      <c r="T175" s="1856"/>
      <c r="U175" s="1856"/>
      <c r="V175" s="1856" t="s">
        <v>1375</v>
      </c>
      <c r="W175" s="1856"/>
      <c r="X175" s="1856"/>
      <c r="Y175" s="1851"/>
      <c r="Z175" s="1851"/>
      <c r="AA175" s="1851"/>
      <c r="AB175" s="1851"/>
      <c r="AC175" s="1851"/>
      <c r="AD175" s="1851"/>
      <c r="AE175" s="1851"/>
      <c r="AF175" s="1851"/>
      <c r="AG175" s="1851"/>
      <c r="AH175" s="1851"/>
      <c r="AI175" s="1851"/>
      <c r="AJ175" s="1851"/>
      <c r="AK175" s="1851"/>
      <c r="AL175" s="1851"/>
      <c r="AM175" s="1851"/>
      <c r="AN175" s="1851"/>
      <c r="AO175" s="1851"/>
      <c r="AP175" s="1851"/>
      <c r="AQ175" s="1851"/>
      <c r="AR175" s="1851"/>
      <c r="AS175" s="1851"/>
      <c r="AT175" s="1851"/>
      <c r="AU175" s="1851"/>
      <c r="AV175" s="1851"/>
      <c r="AW175" s="1851"/>
      <c r="AX175" s="1851"/>
      <c r="AY175" s="1851"/>
      <c r="AZ175" s="1851"/>
      <c r="BA175" s="1851"/>
      <c r="BB175" s="1851"/>
    </row>
    <row r="176" spans="1:54" x14ac:dyDescent="0.25">
      <c r="A176" s="1880" t="s">
        <v>1386</v>
      </c>
      <c r="B176" s="1881"/>
      <c r="C176" s="1856" t="s">
        <v>1387</v>
      </c>
      <c r="D176" s="1856"/>
      <c r="E176" s="1856"/>
      <c r="F176" s="1856"/>
      <c r="G176" s="1856"/>
      <c r="H176" s="1856"/>
      <c r="I176" s="1856"/>
      <c r="J176" s="1856"/>
      <c r="K176" s="1856"/>
      <c r="L176" s="1856"/>
      <c r="M176" s="1856"/>
      <c r="N176" s="1856"/>
      <c r="O176" s="1856"/>
      <c r="P176" s="1856"/>
      <c r="Q176" s="1856"/>
      <c r="R176" s="1856"/>
      <c r="S176" s="1856"/>
      <c r="T176" s="1856"/>
      <c r="U176" s="1856"/>
      <c r="V176" s="1856" t="s">
        <v>1375</v>
      </c>
      <c r="W176" s="1856"/>
      <c r="X176" s="1856"/>
      <c r="Y176" s="1851"/>
      <c r="Z176" s="1851"/>
      <c r="AA176" s="1851"/>
      <c r="AB176" s="1851"/>
      <c r="AC176" s="1851"/>
      <c r="AD176" s="1851"/>
      <c r="AE176" s="1851"/>
      <c r="AF176" s="1851"/>
      <c r="AG176" s="1851"/>
      <c r="AH176" s="1851"/>
      <c r="AI176" s="1851"/>
      <c r="AJ176" s="1851"/>
      <c r="AK176" s="1851"/>
      <c r="AL176" s="1851"/>
      <c r="AM176" s="1851"/>
      <c r="AN176" s="1851"/>
      <c r="AO176" s="1851"/>
      <c r="AP176" s="1851"/>
      <c r="AQ176" s="1851"/>
      <c r="AR176" s="1851"/>
      <c r="AS176" s="1851"/>
      <c r="AT176" s="1851"/>
      <c r="AU176" s="1851"/>
      <c r="AV176" s="1851"/>
      <c r="AW176" s="1851"/>
      <c r="AX176" s="1851"/>
      <c r="AY176" s="1851"/>
      <c r="AZ176" s="1851"/>
      <c r="BA176" s="1851"/>
      <c r="BB176" s="1851"/>
    </row>
    <row r="177" spans="1:54" x14ac:dyDescent="0.25">
      <c r="A177" s="1880" t="s">
        <v>1388</v>
      </c>
      <c r="B177" s="1881"/>
      <c r="C177" s="1856" t="s">
        <v>1389</v>
      </c>
      <c r="D177" s="1856"/>
      <c r="E177" s="1856"/>
      <c r="F177" s="1856"/>
      <c r="G177" s="1856"/>
      <c r="H177" s="1856"/>
      <c r="I177" s="1856"/>
      <c r="J177" s="1856"/>
      <c r="K177" s="1856"/>
      <c r="L177" s="1856"/>
      <c r="M177" s="1856"/>
      <c r="N177" s="1856"/>
      <c r="O177" s="1856"/>
      <c r="P177" s="1856"/>
      <c r="Q177" s="1856"/>
      <c r="R177" s="1856"/>
      <c r="S177" s="1856"/>
      <c r="T177" s="1856"/>
      <c r="U177" s="1856"/>
      <c r="V177" s="1856" t="s">
        <v>1375</v>
      </c>
      <c r="W177" s="1856"/>
      <c r="X177" s="1856"/>
      <c r="Y177" s="1851"/>
      <c r="Z177" s="1851"/>
      <c r="AA177" s="1851"/>
      <c r="AB177" s="1851"/>
      <c r="AC177" s="1851"/>
      <c r="AD177" s="1851"/>
      <c r="AE177" s="1851"/>
      <c r="AF177" s="1851"/>
      <c r="AG177" s="1851"/>
      <c r="AH177" s="1851"/>
      <c r="AI177" s="1851"/>
      <c r="AJ177" s="1851"/>
      <c r="AK177" s="1851"/>
      <c r="AL177" s="1851"/>
      <c r="AM177" s="1851"/>
      <c r="AN177" s="1851"/>
      <c r="AO177" s="1851"/>
      <c r="AP177" s="1851"/>
      <c r="AQ177" s="1851"/>
      <c r="AR177" s="1851"/>
      <c r="AS177" s="1851"/>
      <c r="AT177" s="1851"/>
      <c r="AU177" s="1851"/>
      <c r="AV177" s="1851"/>
      <c r="AW177" s="1851"/>
      <c r="AX177" s="1851"/>
      <c r="AY177" s="1851"/>
      <c r="AZ177" s="1851"/>
      <c r="BA177" s="1851"/>
      <c r="BB177" s="1851"/>
    </row>
    <row r="178" spans="1:54" x14ac:dyDescent="0.25">
      <c r="A178" s="1880" t="s">
        <v>1390</v>
      </c>
      <c r="B178" s="1881"/>
      <c r="C178" s="1856" t="s">
        <v>1391</v>
      </c>
      <c r="D178" s="1856"/>
      <c r="E178" s="1856"/>
      <c r="F178" s="1856"/>
      <c r="G178" s="1856"/>
      <c r="H178" s="1856"/>
      <c r="I178" s="1856"/>
      <c r="J178" s="1856"/>
      <c r="K178" s="1856"/>
      <c r="L178" s="1856"/>
      <c r="M178" s="1856"/>
      <c r="N178" s="1856"/>
      <c r="O178" s="1856"/>
      <c r="P178" s="1856"/>
      <c r="Q178" s="1856"/>
      <c r="R178" s="1856"/>
      <c r="S178" s="1856"/>
      <c r="T178" s="1856"/>
      <c r="U178" s="1856"/>
      <c r="V178" s="1856" t="s">
        <v>1375</v>
      </c>
      <c r="W178" s="1856"/>
      <c r="X178" s="1856"/>
      <c r="Y178" s="1851"/>
      <c r="Z178" s="1851"/>
      <c r="AA178" s="1851"/>
      <c r="AB178" s="1851"/>
      <c r="AC178" s="1851"/>
      <c r="AD178" s="1851"/>
      <c r="AE178" s="1851"/>
      <c r="AF178" s="1851"/>
      <c r="AG178" s="1851"/>
      <c r="AH178" s="1851"/>
      <c r="AI178" s="1851"/>
      <c r="AJ178" s="1851"/>
      <c r="AK178" s="1851"/>
      <c r="AL178" s="1851"/>
      <c r="AM178" s="1851"/>
      <c r="AN178" s="1851"/>
      <c r="AO178" s="1851"/>
      <c r="AP178" s="1851"/>
      <c r="AQ178" s="1851"/>
      <c r="AR178" s="1851"/>
      <c r="AS178" s="1851"/>
      <c r="AT178" s="1851"/>
      <c r="AU178" s="1851"/>
      <c r="AV178" s="1851"/>
      <c r="AW178" s="1851"/>
      <c r="AX178" s="1851"/>
      <c r="AY178" s="1851"/>
      <c r="AZ178" s="1851"/>
      <c r="BA178" s="1851"/>
      <c r="BB178" s="1851"/>
    </row>
    <row r="179" spans="1:54" x14ac:dyDescent="0.25">
      <c r="A179" s="1880" t="s">
        <v>1392</v>
      </c>
      <c r="B179" s="1881"/>
      <c r="C179" s="1856" t="s">
        <v>1393</v>
      </c>
      <c r="D179" s="1856"/>
      <c r="E179" s="1856"/>
      <c r="F179" s="1856"/>
      <c r="G179" s="1856"/>
      <c r="H179" s="1856"/>
      <c r="I179" s="1856"/>
      <c r="J179" s="1856"/>
      <c r="K179" s="1856"/>
      <c r="L179" s="1856"/>
      <c r="M179" s="1856"/>
      <c r="N179" s="1856"/>
      <c r="O179" s="1856"/>
      <c r="P179" s="1856"/>
      <c r="Q179" s="1856"/>
      <c r="R179" s="1856"/>
      <c r="S179" s="1856"/>
      <c r="T179" s="1856"/>
      <c r="U179" s="1856"/>
      <c r="V179" s="1856" t="s">
        <v>1375</v>
      </c>
      <c r="W179" s="1856"/>
      <c r="X179" s="1856"/>
      <c r="Y179" s="1851"/>
      <c r="Z179" s="1851"/>
      <c r="AA179" s="1851"/>
      <c r="AB179" s="1851"/>
      <c r="AC179" s="1851"/>
      <c r="AD179" s="1851"/>
      <c r="AE179" s="1851"/>
      <c r="AF179" s="1851"/>
      <c r="AG179" s="1851"/>
      <c r="AH179" s="1851"/>
      <c r="AI179" s="1851"/>
      <c r="AJ179" s="1851"/>
      <c r="AK179" s="1851"/>
      <c r="AL179" s="1851"/>
      <c r="AM179" s="1851"/>
      <c r="AN179" s="1851"/>
      <c r="AO179" s="1851"/>
      <c r="AP179" s="1851"/>
      <c r="AQ179" s="1851"/>
      <c r="AR179" s="1851"/>
      <c r="AS179" s="1851"/>
      <c r="AT179" s="1851"/>
      <c r="AU179" s="1851"/>
      <c r="AV179" s="1851"/>
      <c r="AW179" s="1851"/>
      <c r="AX179" s="1851"/>
      <c r="AY179" s="1851"/>
      <c r="AZ179" s="1851"/>
      <c r="BA179" s="1851"/>
      <c r="BB179" s="1851"/>
    </row>
    <row r="180" spans="1:54" x14ac:dyDescent="0.25">
      <c r="A180" s="1880" t="s">
        <v>1394</v>
      </c>
      <c r="B180" s="1881"/>
      <c r="C180" s="1856" t="s">
        <v>1395</v>
      </c>
      <c r="D180" s="1856"/>
      <c r="E180" s="1856"/>
      <c r="F180" s="1856"/>
      <c r="G180" s="1856"/>
      <c r="H180" s="1856"/>
      <c r="I180" s="1856"/>
      <c r="J180" s="1856"/>
      <c r="K180" s="1856"/>
      <c r="L180" s="1856"/>
      <c r="M180" s="1856"/>
      <c r="N180" s="1856"/>
      <c r="O180" s="1856"/>
      <c r="P180" s="1856"/>
      <c r="Q180" s="1856"/>
      <c r="R180" s="1856"/>
      <c r="S180" s="1856"/>
      <c r="T180" s="1856"/>
      <c r="U180" s="1856"/>
      <c r="V180" s="1856" t="s">
        <v>1375</v>
      </c>
      <c r="W180" s="1856"/>
      <c r="X180" s="1856"/>
      <c r="Y180" s="1851"/>
      <c r="Z180" s="1851"/>
      <c r="AA180" s="1851"/>
      <c r="AB180" s="1851"/>
      <c r="AC180" s="1851"/>
      <c r="AD180" s="1851"/>
      <c r="AE180" s="1851"/>
      <c r="AF180" s="1851"/>
      <c r="AG180" s="1851"/>
      <c r="AH180" s="1851"/>
      <c r="AI180" s="1851"/>
      <c r="AJ180" s="1851"/>
      <c r="AK180" s="1851"/>
      <c r="AL180" s="1851"/>
      <c r="AM180" s="1851"/>
      <c r="AN180" s="1851"/>
      <c r="AO180" s="1851"/>
      <c r="AP180" s="1851"/>
      <c r="AQ180" s="1851"/>
      <c r="AR180" s="1851"/>
      <c r="AS180" s="1851"/>
      <c r="AT180" s="1851"/>
      <c r="AU180" s="1851"/>
      <c r="AV180" s="1851"/>
      <c r="AW180" s="1851"/>
      <c r="AX180" s="1851"/>
      <c r="AY180" s="1851"/>
      <c r="AZ180" s="1851"/>
      <c r="BA180" s="1851"/>
      <c r="BB180" s="1851"/>
    </row>
    <row r="181" spans="1:54" x14ac:dyDescent="0.25">
      <c r="A181" s="1880" t="s">
        <v>1396</v>
      </c>
      <c r="B181" s="1881"/>
      <c r="C181" s="1856" t="s">
        <v>1397</v>
      </c>
      <c r="D181" s="1856"/>
      <c r="E181" s="1856"/>
      <c r="F181" s="1856"/>
      <c r="G181" s="1856"/>
      <c r="H181" s="1856"/>
      <c r="I181" s="1856"/>
      <c r="J181" s="1856"/>
      <c r="K181" s="1856"/>
      <c r="L181" s="1856"/>
      <c r="M181" s="1856"/>
      <c r="N181" s="1856"/>
      <c r="O181" s="1856"/>
      <c r="P181" s="1856"/>
      <c r="Q181" s="1856"/>
      <c r="R181" s="1856"/>
      <c r="S181" s="1856"/>
      <c r="T181" s="1856"/>
      <c r="U181" s="1856"/>
      <c r="V181" s="1856" t="s">
        <v>1375</v>
      </c>
      <c r="W181" s="1856"/>
      <c r="X181" s="1856"/>
      <c r="Y181" s="1851"/>
      <c r="Z181" s="1851"/>
      <c r="AA181" s="1851"/>
      <c r="AB181" s="1851"/>
      <c r="AC181" s="1851"/>
      <c r="AD181" s="1851"/>
      <c r="AE181" s="1851"/>
      <c r="AF181" s="1851"/>
      <c r="AG181" s="1851"/>
      <c r="AH181" s="1851"/>
      <c r="AI181" s="1851"/>
      <c r="AJ181" s="1851"/>
      <c r="AK181" s="1851"/>
      <c r="AL181" s="1851"/>
      <c r="AM181" s="1851"/>
      <c r="AN181" s="1851"/>
      <c r="AO181" s="1851"/>
      <c r="AP181" s="1851"/>
      <c r="AQ181" s="1851"/>
      <c r="AR181" s="1851"/>
      <c r="AS181" s="1851"/>
      <c r="AT181" s="1851"/>
      <c r="AU181" s="1851"/>
      <c r="AV181" s="1851"/>
      <c r="AW181" s="1851"/>
      <c r="AX181" s="1851"/>
      <c r="AY181" s="1851"/>
      <c r="AZ181" s="1851"/>
      <c r="BA181" s="1851"/>
      <c r="BB181" s="1851"/>
    </row>
    <row r="182" spans="1:54" x14ac:dyDescent="0.25">
      <c r="A182" s="1880" t="s">
        <v>1398</v>
      </c>
      <c r="B182" s="1881"/>
      <c r="C182" s="1856" t="s">
        <v>1399</v>
      </c>
      <c r="D182" s="1856"/>
      <c r="E182" s="1856"/>
      <c r="F182" s="1856"/>
      <c r="G182" s="1856"/>
      <c r="H182" s="1856"/>
      <c r="I182" s="1856"/>
      <c r="J182" s="1856"/>
      <c r="K182" s="1856"/>
      <c r="L182" s="1856"/>
      <c r="M182" s="1856"/>
      <c r="N182" s="1856"/>
      <c r="O182" s="1856"/>
      <c r="P182" s="1856"/>
      <c r="Q182" s="1856"/>
      <c r="R182" s="1856"/>
      <c r="S182" s="1856"/>
      <c r="T182" s="1856"/>
      <c r="U182" s="1856"/>
      <c r="V182" s="1856" t="s">
        <v>1375</v>
      </c>
      <c r="W182" s="1856"/>
      <c r="X182" s="1856"/>
      <c r="Y182" s="1851"/>
      <c r="Z182" s="1851"/>
      <c r="AA182" s="1851"/>
      <c r="AB182" s="1851"/>
      <c r="AC182" s="1851"/>
      <c r="AD182" s="1851"/>
      <c r="AE182" s="1851"/>
      <c r="AF182" s="1851"/>
      <c r="AG182" s="1851"/>
      <c r="AH182" s="1851"/>
      <c r="AI182" s="1851"/>
      <c r="AJ182" s="1851"/>
      <c r="AK182" s="1851"/>
      <c r="AL182" s="1851"/>
      <c r="AM182" s="1851"/>
      <c r="AN182" s="1851"/>
      <c r="AO182" s="1851"/>
      <c r="AP182" s="1851"/>
      <c r="AQ182" s="1851"/>
      <c r="AR182" s="1851"/>
      <c r="AS182" s="1851"/>
      <c r="AT182" s="1851"/>
      <c r="AU182" s="1851"/>
      <c r="AV182" s="1851"/>
      <c r="AW182" s="1851"/>
      <c r="AX182" s="1851"/>
      <c r="AY182" s="1851"/>
      <c r="AZ182" s="1851"/>
      <c r="BA182" s="1851"/>
      <c r="BB182" s="1851"/>
    </row>
    <row r="183" spans="1:54" x14ac:dyDescent="0.25">
      <c r="A183" s="1878" t="s">
        <v>1400</v>
      </c>
      <c r="B183" s="1879"/>
      <c r="C183" s="1855" t="s">
        <v>1401</v>
      </c>
      <c r="D183" s="1855"/>
      <c r="E183" s="1855"/>
      <c r="F183" s="1855"/>
      <c r="G183" s="1855"/>
      <c r="H183" s="1855"/>
      <c r="I183" s="1855"/>
      <c r="J183" s="1855"/>
      <c r="K183" s="1855"/>
      <c r="L183" s="1855"/>
      <c r="M183" s="1855"/>
      <c r="N183" s="1855"/>
      <c r="O183" s="1855"/>
      <c r="P183" s="1855"/>
      <c r="Q183" s="1855"/>
      <c r="R183" s="1855"/>
      <c r="S183" s="1855"/>
      <c r="T183" s="1855"/>
      <c r="U183" s="1855"/>
      <c r="V183" s="1864" t="s">
        <v>1402</v>
      </c>
      <c r="W183" s="1864"/>
      <c r="X183" s="1864"/>
      <c r="Y183" s="1857"/>
      <c r="Z183" s="1877"/>
      <c r="AA183" s="1877"/>
      <c r="AB183" s="1877"/>
      <c r="AC183" s="1859"/>
      <c r="AD183" s="1859"/>
      <c r="AE183" s="1857"/>
      <c r="AF183" s="1877"/>
      <c r="AG183" s="1877"/>
      <c r="AH183" s="1877"/>
      <c r="AI183" s="1859"/>
      <c r="AJ183" s="1859"/>
      <c r="AK183" s="1857"/>
      <c r="AL183" s="1877"/>
      <c r="AM183" s="1877"/>
      <c r="AN183" s="1877"/>
      <c r="AO183" s="1859"/>
      <c r="AP183" s="1859"/>
      <c r="AQ183" s="1857"/>
      <c r="AR183" s="1877"/>
      <c r="AS183" s="1877"/>
      <c r="AT183" s="1877"/>
      <c r="AU183" s="1859"/>
      <c r="AV183" s="1859"/>
      <c r="AW183" s="1857"/>
      <c r="AX183" s="1877"/>
      <c r="AY183" s="1877"/>
      <c r="AZ183" s="1877"/>
      <c r="BA183" s="1859"/>
      <c r="BB183" s="1859"/>
    </row>
    <row r="184" spans="1:54" x14ac:dyDescent="0.25">
      <c r="A184" s="1880" t="s">
        <v>1403</v>
      </c>
      <c r="B184" s="1881"/>
      <c r="C184" s="1856" t="s">
        <v>110</v>
      </c>
      <c r="D184" s="1856"/>
      <c r="E184" s="1856"/>
      <c r="F184" s="1856"/>
      <c r="G184" s="1856"/>
      <c r="H184" s="1856"/>
      <c r="I184" s="1856"/>
      <c r="J184" s="1856"/>
      <c r="K184" s="1856"/>
      <c r="L184" s="1856"/>
      <c r="M184" s="1856"/>
      <c r="N184" s="1856"/>
      <c r="O184" s="1856"/>
      <c r="P184" s="1856"/>
      <c r="Q184" s="1856"/>
      <c r="R184" s="1856"/>
      <c r="S184" s="1856"/>
      <c r="T184" s="1856"/>
      <c r="U184" s="1856"/>
      <c r="V184" s="1865" t="s">
        <v>1404</v>
      </c>
      <c r="W184" s="1865"/>
      <c r="X184" s="1865"/>
      <c r="Y184" s="1851"/>
      <c r="Z184" s="1851"/>
      <c r="AA184" s="1851"/>
      <c r="AB184" s="1851"/>
      <c r="AC184" s="1851"/>
      <c r="AD184" s="1851"/>
      <c r="AE184" s="1851"/>
      <c r="AF184" s="1851"/>
      <c r="AG184" s="1851"/>
      <c r="AH184" s="1851"/>
      <c r="AI184" s="1851"/>
      <c r="AJ184" s="1851"/>
      <c r="AK184" s="1851"/>
      <c r="AL184" s="1851"/>
      <c r="AM184" s="1851"/>
      <c r="AN184" s="1851"/>
      <c r="AO184" s="1851"/>
      <c r="AP184" s="1851"/>
      <c r="AQ184" s="1851"/>
      <c r="AR184" s="1851"/>
      <c r="AS184" s="1851"/>
      <c r="AT184" s="1851"/>
      <c r="AU184" s="1851"/>
      <c r="AV184" s="1851"/>
      <c r="AW184" s="1851"/>
      <c r="AX184" s="1851"/>
      <c r="AY184" s="1851"/>
      <c r="AZ184" s="1851"/>
      <c r="BA184" s="1851"/>
      <c r="BB184" s="1851"/>
    </row>
    <row r="185" spans="1:54" x14ac:dyDescent="0.25">
      <c r="A185" s="1880" t="s">
        <v>1405</v>
      </c>
      <c r="B185" s="1881"/>
      <c r="C185" s="1856" t="s">
        <v>1406</v>
      </c>
      <c r="D185" s="1856"/>
      <c r="E185" s="1856"/>
      <c r="F185" s="1856"/>
      <c r="G185" s="1856"/>
      <c r="H185" s="1856"/>
      <c r="I185" s="1856"/>
      <c r="J185" s="1856"/>
      <c r="K185" s="1856"/>
      <c r="L185" s="1856"/>
      <c r="M185" s="1856"/>
      <c r="N185" s="1856"/>
      <c r="O185" s="1856"/>
      <c r="P185" s="1856"/>
      <c r="Q185" s="1856"/>
      <c r="R185" s="1856"/>
      <c r="S185" s="1856"/>
      <c r="T185" s="1856"/>
      <c r="U185" s="1856"/>
      <c r="V185" s="1865" t="s">
        <v>1407</v>
      </c>
      <c r="W185" s="1865"/>
      <c r="X185" s="1865"/>
      <c r="Y185" s="1851"/>
      <c r="Z185" s="1851"/>
      <c r="AA185" s="1851"/>
      <c r="AB185" s="1851"/>
      <c r="AC185" s="1851"/>
      <c r="AD185" s="1851"/>
      <c r="AE185" s="1851"/>
      <c r="AF185" s="1851"/>
      <c r="AG185" s="1851"/>
      <c r="AH185" s="1851"/>
      <c r="AI185" s="1851"/>
      <c r="AJ185" s="1851"/>
      <c r="AK185" s="1851"/>
      <c r="AL185" s="1851"/>
      <c r="AM185" s="1851"/>
      <c r="AN185" s="1851"/>
      <c r="AO185" s="1851"/>
      <c r="AP185" s="1851"/>
      <c r="AQ185" s="1851"/>
      <c r="AR185" s="1851"/>
      <c r="AS185" s="1851"/>
      <c r="AT185" s="1851"/>
      <c r="AU185" s="1851"/>
      <c r="AV185" s="1851"/>
      <c r="AW185" s="1851"/>
      <c r="AX185" s="1851"/>
      <c r="AY185" s="1851"/>
      <c r="AZ185" s="1851"/>
      <c r="BA185" s="1851"/>
      <c r="BB185" s="1851"/>
    </row>
    <row r="186" spans="1:54" x14ac:dyDescent="0.25">
      <c r="A186" s="1880" t="s">
        <v>1408</v>
      </c>
      <c r="B186" s="1881"/>
      <c r="C186" s="1856" t="s">
        <v>1409</v>
      </c>
      <c r="D186" s="1856"/>
      <c r="E186" s="1856"/>
      <c r="F186" s="1856"/>
      <c r="G186" s="1856"/>
      <c r="H186" s="1856"/>
      <c r="I186" s="1856"/>
      <c r="J186" s="1856"/>
      <c r="K186" s="1856"/>
      <c r="L186" s="1856"/>
      <c r="M186" s="1856"/>
      <c r="N186" s="1856"/>
      <c r="O186" s="1856"/>
      <c r="P186" s="1856"/>
      <c r="Q186" s="1856"/>
      <c r="R186" s="1856"/>
      <c r="S186" s="1856"/>
      <c r="T186" s="1856"/>
      <c r="U186" s="1856"/>
      <c r="V186" s="1856" t="s">
        <v>1407</v>
      </c>
      <c r="W186" s="1856"/>
      <c r="X186" s="1856"/>
      <c r="Y186" s="1851"/>
      <c r="Z186" s="1851"/>
      <c r="AA186" s="1851"/>
      <c r="AB186" s="1851"/>
      <c r="AC186" s="1851"/>
      <c r="AD186" s="1851"/>
      <c r="AE186" s="1851"/>
      <c r="AF186" s="1851"/>
      <c r="AG186" s="1851"/>
      <c r="AH186" s="1851"/>
      <c r="AI186" s="1851"/>
      <c r="AJ186" s="1851"/>
      <c r="AK186" s="1851"/>
      <c r="AL186" s="1851"/>
      <c r="AM186" s="1851"/>
      <c r="AN186" s="1851"/>
      <c r="AO186" s="1851"/>
      <c r="AP186" s="1851"/>
      <c r="AQ186" s="1851"/>
      <c r="AR186" s="1851"/>
      <c r="AS186" s="1851"/>
      <c r="AT186" s="1851"/>
      <c r="AU186" s="1851"/>
      <c r="AV186" s="1851"/>
      <c r="AW186" s="1851"/>
      <c r="AX186" s="1851"/>
      <c r="AY186" s="1851"/>
      <c r="AZ186" s="1851"/>
      <c r="BA186" s="1851"/>
      <c r="BB186" s="1851"/>
    </row>
    <row r="187" spans="1:54" x14ac:dyDescent="0.25">
      <c r="A187" s="1880" t="s">
        <v>1410</v>
      </c>
      <c r="B187" s="1881"/>
      <c r="C187" s="1856" t="s">
        <v>1411</v>
      </c>
      <c r="D187" s="1856"/>
      <c r="E187" s="1856"/>
      <c r="F187" s="1856"/>
      <c r="G187" s="1856"/>
      <c r="H187" s="1856"/>
      <c r="I187" s="1856"/>
      <c r="J187" s="1856"/>
      <c r="K187" s="1856"/>
      <c r="L187" s="1856"/>
      <c r="M187" s="1856"/>
      <c r="N187" s="1856"/>
      <c r="O187" s="1856"/>
      <c r="P187" s="1856"/>
      <c r="Q187" s="1856"/>
      <c r="R187" s="1856"/>
      <c r="S187" s="1856"/>
      <c r="T187" s="1856"/>
      <c r="U187" s="1856"/>
      <c r="V187" s="1856" t="s">
        <v>1407</v>
      </c>
      <c r="W187" s="1856"/>
      <c r="X187" s="1856"/>
      <c r="Y187" s="1851"/>
      <c r="Z187" s="1851"/>
      <c r="AA187" s="1851"/>
      <c r="AB187" s="1851"/>
      <c r="AC187" s="1851"/>
      <c r="AD187" s="1851"/>
      <c r="AE187" s="1851"/>
      <c r="AF187" s="1851"/>
      <c r="AG187" s="1851"/>
      <c r="AH187" s="1851"/>
      <c r="AI187" s="1851"/>
      <c r="AJ187" s="1851"/>
      <c r="AK187" s="1851"/>
      <c r="AL187" s="1851"/>
      <c r="AM187" s="1851"/>
      <c r="AN187" s="1851"/>
      <c r="AO187" s="1851"/>
      <c r="AP187" s="1851"/>
      <c r="AQ187" s="1851"/>
      <c r="AR187" s="1851"/>
      <c r="AS187" s="1851"/>
      <c r="AT187" s="1851"/>
      <c r="AU187" s="1851"/>
      <c r="AV187" s="1851"/>
      <c r="AW187" s="1851"/>
      <c r="AX187" s="1851"/>
      <c r="AY187" s="1851"/>
      <c r="AZ187" s="1851"/>
      <c r="BA187" s="1851"/>
      <c r="BB187" s="1851"/>
    </row>
    <row r="188" spans="1:54" x14ac:dyDescent="0.25">
      <c r="A188" s="1880" t="s">
        <v>1412</v>
      </c>
      <c r="B188" s="1881"/>
      <c r="C188" s="1865" t="s">
        <v>1413</v>
      </c>
      <c r="D188" s="1865"/>
      <c r="E188" s="1865"/>
      <c r="F188" s="1865"/>
      <c r="G188" s="1865"/>
      <c r="H188" s="1865"/>
      <c r="I188" s="1865"/>
      <c r="J188" s="1865"/>
      <c r="K188" s="1865"/>
      <c r="L188" s="1865"/>
      <c r="M188" s="1865"/>
      <c r="N188" s="1865"/>
      <c r="O188" s="1865"/>
      <c r="P188" s="1865"/>
      <c r="Q188" s="1865"/>
      <c r="R188" s="1865"/>
      <c r="S188" s="1865"/>
      <c r="T188" s="1865"/>
      <c r="U188" s="1865"/>
      <c r="V188" s="1865" t="s">
        <v>1414</v>
      </c>
      <c r="W188" s="1865"/>
      <c r="X188" s="1865"/>
      <c r="Y188" s="1851"/>
      <c r="Z188" s="1851"/>
      <c r="AA188" s="1851"/>
      <c r="AB188" s="1851"/>
      <c r="AC188" s="1851"/>
      <c r="AD188" s="1851"/>
      <c r="AE188" s="1851"/>
      <c r="AF188" s="1851"/>
      <c r="AG188" s="1851"/>
      <c r="AH188" s="1851"/>
      <c r="AI188" s="1851"/>
      <c r="AJ188" s="1851"/>
      <c r="AK188" s="1851"/>
      <c r="AL188" s="1851"/>
      <c r="AM188" s="1851"/>
      <c r="AN188" s="1851"/>
      <c r="AO188" s="1851"/>
      <c r="AP188" s="1851"/>
      <c r="AQ188" s="1851"/>
      <c r="AR188" s="1851"/>
      <c r="AS188" s="1851"/>
      <c r="AT188" s="1851"/>
      <c r="AU188" s="1851"/>
      <c r="AV188" s="1851"/>
      <c r="AW188" s="1851"/>
      <c r="AX188" s="1851"/>
      <c r="AY188" s="1851"/>
      <c r="AZ188" s="1851"/>
      <c r="BA188" s="1851"/>
      <c r="BB188" s="1851"/>
    </row>
    <row r="189" spans="1:54" x14ac:dyDescent="0.25">
      <c r="A189" s="1880" t="s">
        <v>1415</v>
      </c>
      <c r="B189" s="1881"/>
      <c r="C189" s="1865" t="s">
        <v>859</v>
      </c>
      <c r="D189" s="1865"/>
      <c r="E189" s="1865"/>
      <c r="F189" s="1865"/>
      <c r="G189" s="1865"/>
      <c r="H189" s="1865"/>
      <c r="I189" s="1865"/>
      <c r="J189" s="1865"/>
      <c r="K189" s="1865"/>
      <c r="L189" s="1865"/>
      <c r="M189" s="1865"/>
      <c r="N189" s="1865"/>
      <c r="O189" s="1865"/>
      <c r="P189" s="1865"/>
      <c r="Q189" s="1865"/>
      <c r="R189" s="1865"/>
      <c r="S189" s="1865"/>
      <c r="T189" s="1865"/>
      <c r="U189" s="1865"/>
      <c r="V189" s="1865" t="s">
        <v>1414</v>
      </c>
      <c r="W189" s="1865"/>
      <c r="X189" s="1865"/>
      <c r="Y189" s="1851"/>
      <c r="Z189" s="1851"/>
      <c r="AA189" s="1851"/>
      <c r="AB189" s="1851"/>
      <c r="AC189" s="1851"/>
      <c r="AD189" s="1851"/>
      <c r="AE189" s="1851"/>
      <c r="AF189" s="1851"/>
      <c r="AG189" s="1851"/>
      <c r="AH189" s="1851"/>
      <c r="AI189" s="1851"/>
      <c r="AJ189" s="1851"/>
      <c r="AK189" s="1851"/>
      <c r="AL189" s="1851"/>
      <c r="AM189" s="1851"/>
      <c r="AN189" s="1851"/>
      <c r="AO189" s="1851"/>
      <c r="AP189" s="1851"/>
      <c r="AQ189" s="1851"/>
      <c r="AR189" s="1851"/>
      <c r="AS189" s="1851"/>
      <c r="AT189" s="1851"/>
      <c r="AU189" s="1851"/>
      <c r="AV189" s="1851"/>
      <c r="AW189" s="1851"/>
      <c r="AX189" s="1851"/>
      <c r="AY189" s="1851"/>
      <c r="AZ189" s="1851"/>
      <c r="BA189" s="1851"/>
      <c r="BB189" s="1851"/>
    </row>
    <row r="190" spans="1:54" x14ac:dyDescent="0.25">
      <c r="A190" s="1880" t="s">
        <v>1416</v>
      </c>
      <c r="B190" s="1881"/>
      <c r="C190" s="1865" t="s">
        <v>1417</v>
      </c>
      <c r="D190" s="1865"/>
      <c r="E190" s="1865"/>
      <c r="F190" s="1865"/>
      <c r="G190" s="1865"/>
      <c r="H190" s="1865"/>
      <c r="I190" s="1865"/>
      <c r="J190" s="1865"/>
      <c r="K190" s="1865"/>
      <c r="L190" s="1865"/>
      <c r="M190" s="1865"/>
      <c r="N190" s="1865"/>
      <c r="O190" s="1865"/>
      <c r="P190" s="1865"/>
      <c r="Q190" s="1865"/>
      <c r="R190" s="1865"/>
      <c r="S190" s="1865"/>
      <c r="T190" s="1865"/>
      <c r="U190" s="1865"/>
      <c r="V190" s="1865" t="s">
        <v>1418</v>
      </c>
      <c r="W190" s="1865"/>
      <c r="X190" s="1865"/>
      <c r="Y190" s="1851"/>
      <c r="Z190" s="1851"/>
      <c r="AA190" s="1851"/>
      <c r="AB190" s="1851"/>
      <c r="AC190" s="1851"/>
      <c r="AD190" s="1851"/>
      <c r="AE190" s="1851"/>
      <c r="AF190" s="1851"/>
      <c r="AG190" s="1851"/>
      <c r="AH190" s="1851"/>
      <c r="AI190" s="1851"/>
      <c r="AJ190" s="1851"/>
      <c r="AK190" s="1851"/>
      <c r="AL190" s="1851"/>
      <c r="AM190" s="1851"/>
      <c r="AN190" s="1851"/>
      <c r="AO190" s="1851"/>
      <c r="AP190" s="1851"/>
      <c r="AQ190" s="1851"/>
      <c r="AR190" s="1851"/>
      <c r="AS190" s="1851"/>
      <c r="AT190" s="1851"/>
      <c r="AU190" s="1851"/>
      <c r="AV190" s="1851"/>
      <c r="AW190" s="1851"/>
      <c r="AX190" s="1851"/>
      <c r="AY190" s="1851"/>
      <c r="AZ190" s="1851"/>
      <c r="BA190" s="1851"/>
      <c r="BB190" s="1851"/>
    </row>
    <row r="191" spans="1:54" x14ac:dyDescent="0.25">
      <c r="A191" s="1880" t="s">
        <v>1419</v>
      </c>
      <c r="B191" s="1881"/>
      <c r="C191" s="1865" t="s">
        <v>1420</v>
      </c>
      <c r="D191" s="1865"/>
      <c r="E191" s="1865"/>
      <c r="F191" s="1865"/>
      <c r="G191" s="1865"/>
      <c r="H191" s="1865"/>
      <c r="I191" s="1865"/>
      <c r="J191" s="1865"/>
      <c r="K191" s="1865"/>
      <c r="L191" s="1865"/>
      <c r="M191" s="1865"/>
      <c r="N191" s="1865"/>
      <c r="O191" s="1865"/>
      <c r="P191" s="1865"/>
      <c r="Q191" s="1865"/>
      <c r="R191" s="1865"/>
      <c r="S191" s="1865"/>
      <c r="T191" s="1865"/>
      <c r="U191" s="1865"/>
      <c r="V191" s="1856" t="s">
        <v>1418</v>
      </c>
      <c r="W191" s="1856"/>
      <c r="X191" s="1856"/>
      <c r="Y191" s="1851"/>
      <c r="Z191" s="1851"/>
      <c r="AA191" s="1851"/>
      <c r="AB191" s="1851"/>
      <c r="AC191" s="1851"/>
      <c r="AD191" s="1851"/>
      <c r="AE191" s="1851"/>
      <c r="AF191" s="1851"/>
      <c r="AG191" s="1851"/>
      <c r="AH191" s="1851"/>
      <c r="AI191" s="1851"/>
      <c r="AJ191" s="1851"/>
      <c r="AK191" s="1851"/>
      <c r="AL191" s="1851"/>
      <c r="AM191" s="1851"/>
      <c r="AN191" s="1851"/>
      <c r="AO191" s="1851"/>
      <c r="AP191" s="1851"/>
      <c r="AQ191" s="1851"/>
      <c r="AR191" s="1851"/>
      <c r="AS191" s="1851"/>
      <c r="AT191" s="1851"/>
      <c r="AU191" s="1851"/>
      <c r="AV191" s="1851"/>
      <c r="AW191" s="1851"/>
      <c r="AX191" s="1851"/>
      <c r="AY191" s="1851"/>
      <c r="AZ191" s="1851"/>
      <c r="BA191" s="1851"/>
      <c r="BB191" s="1851"/>
    </row>
    <row r="192" spans="1:54" x14ac:dyDescent="0.25">
      <c r="A192" s="1880" t="s">
        <v>1421</v>
      </c>
      <c r="B192" s="1881"/>
      <c r="C192" s="1856" t="s">
        <v>1422</v>
      </c>
      <c r="D192" s="1856"/>
      <c r="E192" s="1856"/>
      <c r="F192" s="1856"/>
      <c r="G192" s="1856"/>
      <c r="H192" s="1856"/>
      <c r="I192" s="1856"/>
      <c r="J192" s="1856"/>
      <c r="K192" s="1856"/>
      <c r="L192" s="1856"/>
      <c r="M192" s="1856"/>
      <c r="N192" s="1856"/>
      <c r="O192" s="1856"/>
      <c r="P192" s="1856"/>
      <c r="Q192" s="1856"/>
      <c r="R192" s="1856"/>
      <c r="S192" s="1856"/>
      <c r="T192" s="1856"/>
      <c r="U192" s="1856"/>
      <c r="V192" s="1856" t="s">
        <v>1418</v>
      </c>
      <c r="W192" s="1856"/>
      <c r="X192" s="1856"/>
      <c r="Y192" s="1851"/>
      <c r="Z192" s="1851"/>
      <c r="AA192" s="1851"/>
      <c r="AB192" s="1851"/>
      <c r="AC192" s="1851"/>
      <c r="AD192" s="1851"/>
      <c r="AE192" s="1851"/>
      <c r="AF192" s="1851"/>
      <c r="AG192" s="1851"/>
      <c r="AH192" s="1851"/>
      <c r="AI192" s="1851"/>
      <c r="AJ192" s="1851"/>
      <c r="AK192" s="1851"/>
      <c r="AL192" s="1851"/>
      <c r="AM192" s="1851"/>
      <c r="AN192" s="1851"/>
      <c r="AO192" s="1851"/>
      <c r="AP192" s="1851"/>
      <c r="AQ192" s="1851"/>
      <c r="AR192" s="1851"/>
      <c r="AS192" s="1851"/>
      <c r="AT192" s="1851"/>
      <c r="AU192" s="1851"/>
      <c r="AV192" s="1851"/>
      <c r="AW192" s="1851"/>
      <c r="AX192" s="1851"/>
      <c r="AY192" s="1851"/>
      <c r="AZ192" s="1851"/>
      <c r="BA192" s="1851"/>
      <c r="BB192" s="1851"/>
    </row>
    <row r="193" spans="1:54" x14ac:dyDescent="0.25">
      <c r="A193" s="1880" t="s">
        <v>1423</v>
      </c>
      <c r="B193" s="1881"/>
      <c r="C193" s="1856" t="s">
        <v>1424</v>
      </c>
      <c r="D193" s="1856"/>
      <c r="E193" s="1856"/>
      <c r="F193" s="1856"/>
      <c r="G193" s="1856"/>
      <c r="H193" s="1856"/>
      <c r="I193" s="1856"/>
      <c r="J193" s="1856"/>
      <c r="K193" s="1856"/>
      <c r="L193" s="1856"/>
      <c r="M193" s="1856"/>
      <c r="N193" s="1856"/>
      <c r="O193" s="1856"/>
      <c r="P193" s="1856"/>
      <c r="Q193" s="1856"/>
      <c r="R193" s="1856"/>
      <c r="S193" s="1856"/>
      <c r="T193" s="1856"/>
      <c r="U193" s="1856"/>
      <c r="V193" s="1856" t="s">
        <v>1418</v>
      </c>
      <c r="W193" s="1856"/>
      <c r="X193" s="1856"/>
      <c r="Y193" s="1851"/>
      <c r="Z193" s="1851"/>
      <c r="AA193" s="1851"/>
      <c r="AB193" s="1851"/>
      <c r="AC193" s="1851"/>
      <c r="AD193" s="1851"/>
      <c r="AE193" s="1851"/>
      <c r="AF193" s="1851"/>
      <c r="AG193" s="1851"/>
      <c r="AH193" s="1851"/>
      <c r="AI193" s="1851"/>
      <c r="AJ193" s="1851"/>
      <c r="AK193" s="1851"/>
      <c r="AL193" s="1851"/>
      <c r="AM193" s="1851"/>
      <c r="AN193" s="1851"/>
      <c r="AO193" s="1851"/>
      <c r="AP193" s="1851"/>
      <c r="AQ193" s="1851"/>
      <c r="AR193" s="1851"/>
      <c r="AS193" s="1851"/>
      <c r="AT193" s="1851"/>
      <c r="AU193" s="1851"/>
      <c r="AV193" s="1851"/>
      <c r="AW193" s="1851"/>
      <c r="AX193" s="1851"/>
      <c r="AY193" s="1851"/>
      <c r="AZ193" s="1851"/>
      <c r="BA193" s="1851"/>
      <c r="BB193" s="1851"/>
    </row>
    <row r="194" spans="1:54" x14ac:dyDescent="0.25">
      <c r="A194" s="1880" t="s">
        <v>1425</v>
      </c>
      <c r="B194" s="1881"/>
      <c r="C194" s="1856" t="s">
        <v>1426</v>
      </c>
      <c r="D194" s="1856"/>
      <c r="E194" s="1856"/>
      <c r="F194" s="1856"/>
      <c r="G194" s="1856"/>
      <c r="H194" s="1856"/>
      <c r="I194" s="1856"/>
      <c r="J194" s="1856"/>
      <c r="K194" s="1856"/>
      <c r="L194" s="1856"/>
      <c r="M194" s="1856"/>
      <c r="N194" s="1856"/>
      <c r="O194" s="1856"/>
      <c r="P194" s="1856"/>
      <c r="Q194" s="1856"/>
      <c r="R194" s="1856"/>
      <c r="S194" s="1856"/>
      <c r="T194" s="1856"/>
      <c r="U194" s="1856"/>
      <c r="V194" s="1856" t="s">
        <v>1418</v>
      </c>
      <c r="W194" s="1856"/>
      <c r="X194" s="1856"/>
      <c r="Y194" s="1851"/>
      <c r="Z194" s="1851"/>
      <c r="AA194" s="1851"/>
      <c r="AB194" s="1851"/>
      <c r="AC194" s="1851"/>
      <c r="AD194" s="1851"/>
      <c r="AE194" s="1851"/>
      <c r="AF194" s="1851"/>
      <c r="AG194" s="1851"/>
      <c r="AH194" s="1851"/>
      <c r="AI194" s="1851"/>
      <c r="AJ194" s="1851"/>
      <c r="AK194" s="1851"/>
      <c r="AL194" s="1851"/>
      <c r="AM194" s="1851"/>
      <c r="AN194" s="1851"/>
      <c r="AO194" s="1851"/>
      <c r="AP194" s="1851"/>
      <c r="AQ194" s="1851"/>
      <c r="AR194" s="1851"/>
      <c r="AS194" s="1851"/>
      <c r="AT194" s="1851"/>
      <c r="AU194" s="1851"/>
      <c r="AV194" s="1851"/>
      <c r="AW194" s="1851"/>
      <c r="AX194" s="1851"/>
      <c r="AY194" s="1851"/>
      <c r="AZ194" s="1851"/>
      <c r="BA194" s="1851"/>
      <c r="BB194" s="1851"/>
    </row>
    <row r="195" spans="1:54" x14ac:dyDescent="0.25">
      <c r="A195" s="1880" t="s">
        <v>1427</v>
      </c>
      <c r="B195" s="1881"/>
      <c r="C195" s="1856" t="s">
        <v>1428</v>
      </c>
      <c r="D195" s="1856"/>
      <c r="E195" s="1856"/>
      <c r="F195" s="1856"/>
      <c r="G195" s="1856"/>
      <c r="H195" s="1856"/>
      <c r="I195" s="1856"/>
      <c r="J195" s="1856"/>
      <c r="K195" s="1856"/>
      <c r="L195" s="1856"/>
      <c r="M195" s="1856"/>
      <c r="N195" s="1856"/>
      <c r="O195" s="1856"/>
      <c r="P195" s="1856"/>
      <c r="Q195" s="1856"/>
      <c r="R195" s="1856"/>
      <c r="S195" s="1856"/>
      <c r="T195" s="1856"/>
      <c r="U195" s="1856"/>
      <c r="V195" s="1856" t="s">
        <v>1418</v>
      </c>
      <c r="W195" s="1856"/>
      <c r="X195" s="1856"/>
      <c r="Y195" s="1851"/>
      <c r="Z195" s="1851"/>
      <c r="AA195" s="1851"/>
      <c r="AB195" s="1851"/>
      <c r="AC195" s="1851"/>
      <c r="AD195" s="1851"/>
      <c r="AE195" s="1851"/>
      <c r="AF195" s="1851"/>
      <c r="AG195" s="1851"/>
      <c r="AH195" s="1851"/>
      <c r="AI195" s="1851"/>
      <c r="AJ195" s="1851"/>
      <c r="AK195" s="1851"/>
      <c r="AL195" s="1851"/>
      <c r="AM195" s="1851"/>
      <c r="AN195" s="1851"/>
      <c r="AO195" s="1851"/>
      <c r="AP195" s="1851"/>
      <c r="AQ195" s="1851"/>
      <c r="AR195" s="1851"/>
      <c r="AS195" s="1851"/>
      <c r="AT195" s="1851"/>
      <c r="AU195" s="1851"/>
      <c r="AV195" s="1851"/>
      <c r="AW195" s="1851"/>
      <c r="AX195" s="1851"/>
      <c r="AY195" s="1851"/>
      <c r="AZ195" s="1851"/>
      <c r="BA195" s="1851"/>
      <c r="BB195" s="1851"/>
    </row>
    <row r="196" spans="1:54" x14ac:dyDescent="0.25">
      <c r="A196" s="1880" t="s">
        <v>1429</v>
      </c>
      <c r="B196" s="1881"/>
      <c r="C196" s="1856" t="s">
        <v>1430</v>
      </c>
      <c r="D196" s="1856"/>
      <c r="E196" s="1856"/>
      <c r="F196" s="1856"/>
      <c r="G196" s="1856"/>
      <c r="H196" s="1856"/>
      <c r="I196" s="1856"/>
      <c r="J196" s="1856"/>
      <c r="K196" s="1856"/>
      <c r="L196" s="1856"/>
      <c r="M196" s="1856"/>
      <c r="N196" s="1856"/>
      <c r="O196" s="1856"/>
      <c r="P196" s="1856"/>
      <c r="Q196" s="1856"/>
      <c r="R196" s="1856"/>
      <c r="S196" s="1856"/>
      <c r="T196" s="1856"/>
      <c r="U196" s="1856"/>
      <c r="V196" s="1856" t="s">
        <v>1418</v>
      </c>
      <c r="W196" s="1856"/>
      <c r="X196" s="1856"/>
      <c r="Y196" s="1851"/>
      <c r="Z196" s="1851"/>
      <c r="AA196" s="1851"/>
      <c r="AB196" s="1851"/>
      <c r="AC196" s="1851"/>
      <c r="AD196" s="1851"/>
      <c r="AE196" s="1851"/>
      <c r="AF196" s="1851"/>
      <c r="AG196" s="1851"/>
      <c r="AH196" s="1851"/>
      <c r="AI196" s="1851"/>
      <c r="AJ196" s="1851"/>
      <c r="AK196" s="1851"/>
      <c r="AL196" s="1851"/>
      <c r="AM196" s="1851"/>
      <c r="AN196" s="1851"/>
      <c r="AO196" s="1851"/>
      <c r="AP196" s="1851"/>
      <c r="AQ196" s="1851"/>
      <c r="AR196" s="1851"/>
      <c r="AS196" s="1851"/>
      <c r="AT196" s="1851"/>
      <c r="AU196" s="1851"/>
      <c r="AV196" s="1851"/>
      <c r="AW196" s="1851"/>
      <c r="AX196" s="1851"/>
      <c r="AY196" s="1851"/>
      <c r="AZ196" s="1851"/>
      <c r="BA196" s="1851"/>
      <c r="BB196" s="1851"/>
    </row>
    <row r="197" spans="1:54" x14ac:dyDescent="0.25">
      <c r="A197" s="1880" t="s">
        <v>1431</v>
      </c>
      <c r="B197" s="1881"/>
      <c r="C197" s="1865" t="s">
        <v>118</v>
      </c>
      <c r="D197" s="1865"/>
      <c r="E197" s="1865"/>
      <c r="F197" s="1865"/>
      <c r="G197" s="1865"/>
      <c r="H197" s="1865"/>
      <c r="I197" s="1865"/>
      <c r="J197" s="1865"/>
      <c r="K197" s="1865"/>
      <c r="L197" s="1865"/>
      <c r="M197" s="1865"/>
      <c r="N197" s="1865"/>
      <c r="O197" s="1865"/>
      <c r="P197" s="1865"/>
      <c r="Q197" s="1865"/>
      <c r="R197" s="1865"/>
      <c r="S197" s="1865"/>
      <c r="T197" s="1865"/>
      <c r="U197" s="1865"/>
      <c r="V197" s="1865" t="s">
        <v>1432</v>
      </c>
      <c r="W197" s="1865"/>
      <c r="X197" s="1865"/>
      <c r="Y197" s="1851"/>
      <c r="Z197" s="1851"/>
      <c r="AA197" s="1851"/>
      <c r="AB197" s="1851"/>
      <c r="AC197" s="1851"/>
      <c r="AD197" s="1851"/>
      <c r="AE197" s="1851"/>
      <c r="AF197" s="1851"/>
      <c r="AG197" s="1851"/>
      <c r="AH197" s="1851"/>
      <c r="AI197" s="1851"/>
      <c r="AJ197" s="1851"/>
      <c r="AK197" s="1851"/>
      <c r="AL197" s="1851"/>
      <c r="AM197" s="1851"/>
      <c r="AN197" s="1851"/>
      <c r="AO197" s="1851"/>
      <c r="AP197" s="1851"/>
      <c r="AQ197" s="1851"/>
      <c r="AR197" s="1851"/>
      <c r="AS197" s="1851"/>
      <c r="AT197" s="1851"/>
      <c r="AU197" s="1851"/>
      <c r="AV197" s="1851"/>
      <c r="AW197" s="1851"/>
      <c r="AX197" s="1851"/>
      <c r="AY197" s="1851"/>
      <c r="AZ197" s="1851"/>
      <c r="BA197" s="1851"/>
      <c r="BB197" s="1851"/>
    </row>
    <row r="198" spans="1:54" x14ac:dyDescent="0.25">
      <c r="A198" s="1880" t="s">
        <v>1433</v>
      </c>
      <c r="B198" s="1881"/>
      <c r="C198" s="1865" t="s">
        <v>450</v>
      </c>
      <c r="D198" s="1865"/>
      <c r="E198" s="1865"/>
      <c r="F198" s="1865"/>
      <c r="G198" s="1865"/>
      <c r="H198" s="1865"/>
      <c r="I198" s="1865"/>
      <c r="J198" s="1865"/>
      <c r="K198" s="1865"/>
      <c r="L198" s="1865"/>
      <c r="M198" s="1865"/>
      <c r="N198" s="1865"/>
      <c r="O198" s="1865"/>
      <c r="P198" s="1865"/>
      <c r="Q198" s="1865"/>
      <c r="R198" s="1865"/>
      <c r="S198" s="1865"/>
      <c r="T198" s="1865"/>
      <c r="U198" s="1865"/>
      <c r="V198" s="1865" t="s">
        <v>1434</v>
      </c>
      <c r="W198" s="1865"/>
      <c r="X198" s="1865"/>
      <c r="Y198" s="1851"/>
      <c r="Z198" s="1851"/>
      <c r="AA198" s="1851"/>
      <c r="AB198" s="1851"/>
      <c r="AC198" s="1851"/>
      <c r="AD198" s="1851"/>
      <c r="AE198" s="1851"/>
      <c r="AF198" s="1851"/>
      <c r="AG198" s="1851"/>
      <c r="AH198" s="1851"/>
      <c r="AI198" s="1851"/>
      <c r="AJ198" s="1851"/>
      <c r="AK198" s="1851"/>
      <c r="AL198" s="1851"/>
      <c r="AM198" s="1851"/>
      <c r="AN198" s="1851"/>
      <c r="AO198" s="1851"/>
      <c r="AP198" s="1851"/>
      <c r="AQ198" s="1851"/>
      <c r="AR198" s="1851"/>
      <c r="AS198" s="1851"/>
      <c r="AT198" s="1851"/>
      <c r="AU198" s="1851"/>
      <c r="AV198" s="1851"/>
      <c r="AW198" s="1851"/>
      <c r="AX198" s="1851"/>
      <c r="AY198" s="1851"/>
      <c r="AZ198" s="1851"/>
      <c r="BA198" s="1851"/>
      <c r="BB198" s="1851"/>
    </row>
    <row r="199" spans="1:54" x14ac:dyDescent="0.25">
      <c r="A199" s="1880" t="s">
        <v>1435</v>
      </c>
      <c r="B199" s="1881"/>
      <c r="C199" s="1865" t="s">
        <v>122</v>
      </c>
      <c r="D199" s="1865"/>
      <c r="E199" s="1865"/>
      <c r="F199" s="1865"/>
      <c r="G199" s="1865"/>
      <c r="H199" s="1865"/>
      <c r="I199" s="1865"/>
      <c r="J199" s="1865"/>
      <c r="K199" s="1865"/>
      <c r="L199" s="1865"/>
      <c r="M199" s="1865"/>
      <c r="N199" s="1865"/>
      <c r="O199" s="1865"/>
      <c r="P199" s="1865"/>
      <c r="Q199" s="1865"/>
      <c r="R199" s="1865"/>
      <c r="S199" s="1865"/>
      <c r="T199" s="1865"/>
      <c r="U199" s="1865"/>
      <c r="V199" s="1865" t="s">
        <v>1436</v>
      </c>
      <c r="W199" s="1865"/>
      <c r="X199" s="1865"/>
      <c r="Y199" s="1851"/>
      <c r="Z199" s="1851"/>
      <c r="AA199" s="1851"/>
      <c r="AB199" s="1851"/>
      <c r="AC199" s="1851"/>
      <c r="AD199" s="1851"/>
      <c r="AE199" s="1851"/>
      <c r="AF199" s="1851"/>
      <c r="AG199" s="1851"/>
      <c r="AH199" s="1851"/>
      <c r="AI199" s="1851"/>
      <c r="AJ199" s="1851"/>
      <c r="AK199" s="1851"/>
      <c r="AL199" s="1851"/>
      <c r="AM199" s="1851"/>
      <c r="AN199" s="1851"/>
      <c r="AO199" s="1851"/>
      <c r="AP199" s="1851"/>
      <c r="AQ199" s="1851"/>
      <c r="AR199" s="1851"/>
      <c r="AS199" s="1851"/>
      <c r="AT199" s="1851"/>
      <c r="AU199" s="1851"/>
      <c r="AV199" s="1851"/>
      <c r="AW199" s="1851"/>
      <c r="AX199" s="1851"/>
      <c r="AY199" s="1851"/>
      <c r="AZ199" s="1851"/>
      <c r="BA199" s="1851"/>
      <c r="BB199" s="1851"/>
    </row>
    <row r="200" spans="1:54" x14ac:dyDescent="0.25">
      <c r="A200" s="1880" t="s">
        <v>1437</v>
      </c>
      <c r="B200" s="1881"/>
      <c r="C200" s="1856" t="s">
        <v>1438</v>
      </c>
      <c r="D200" s="1856"/>
      <c r="E200" s="1856"/>
      <c r="F200" s="1856"/>
      <c r="G200" s="1856"/>
      <c r="H200" s="1856"/>
      <c r="I200" s="1856"/>
      <c r="J200" s="1856"/>
      <c r="K200" s="1856"/>
      <c r="L200" s="1856"/>
      <c r="M200" s="1856"/>
      <c r="N200" s="1856"/>
      <c r="O200" s="1856"/>
      <c r="P200" s="1856"/>
      <c r="Q200" s="1856"/>
      <c r="R200" s="1856"/>
      <c r="S200" s="1856"/>
      <c r="T200" s="1856"/>
      <c r="U200" s="1856"/>
      <c r="V200" s="1865" t="s">
        <v>1439</v>
      </c>
      <c r="W200" s="1865"/>
      <c r="X200" s="1865"/>
      <c r="Y200" s="1851"/>
      <c r="Z200" s="1851"/>
      <c r="AA200" s="1851"/>
      <c r="AB200" s="1851"/>
      <c r="AC200" s="1851"/>
      <c r="AD200" s="1851"/>
      <c r="AE200" s="1851"/>
      <c r="AF200" s="1851"/>
      <c r="AG200" s="1851"/>
      <c r="AH200" s="1851"/>
      <c r="AI200" s="1851"/>
      <c r="AJ200" s="1851"/>
      <c r="AK200" s="1851"/>
      <c r="AL200" s="1851"/>
      <c r="AM200" s="1851"/>
      <c r="AN200" s="1851"/>
      <c r="AO200" s="1851"/>
      <c r="AP200" s="1851"/>
      <c r="AQ200" s="1851"/>
      <c r="AR200" s="1851"/>
      <c r="AS200" s="1851"/>
      <c r="AT200" s="1851"/>
      <c r="AU200" s="1851"/>
      <c r="AV200" s="1851"/>
      <c r="AW200" s="1851"/>
      <c r="AX200" s="1851"/>
      <c r="AY200" s="1851"/>
      <c r="AZ200" s="1851"/>
      <c r="BA200" s="1851"/>
      <c r="BB200" s="1851"/>
    </row>
    <row r="201" spans="1:54" x14ac:dyDescent="0.25">
      <c r="A201" s="1880" t="s">
        <v>1440</v>
      </c>
      <c r="B201" s="1881"/>
      <c r="C201" s="1865" t="s">
        <v>859</v>
      </c>
      <c r="D201" s="1865"/>
      <c r="E201" s="1865"/>
      <c r="F201" s="1865"/>
      <c r="G201" s="1865"/>
      <c r="H201" s="1865"/>
      <c r="I201" s="1865"/>
      <c r="J201" s="1865"/>
      <c r="K201" s="1865"/>
      <c r="L201" s="1865"/>
      <c r="M201" s="1865"/>
      <c r="N201" s="1865"/>
      <c r="O201" s="1865"/>
      <c r="P201" s="1865"/>
      <c r="Q201" s="1865"/>
      <c r="R201" s="1865"/>
      <c r="S201" s="1865"/>
      <c r="T201" s="1865"/>
      <c r="U201" s="1865"/>
      <c r="V201" s="1865" t="s">
        <v>1439</v>
      </c>
      <c r="W201" s="1865"/>
      <c r="X201" s="1865"/>
      <c r="Y201" s="1851"/>
      <c r="Z201" s="1851"/>
      <c r="AA201" s="1851"/>
      <c r="AB201" s="1851"/>
      <c r="AC201" s="1851"/>
      <c r="AD201" s="1851"/>
      <c r="AE201" s="1851"/>
      <c r="AF201" s="1851"/>
      <c r="AG201" s="1851"/>
      <c r="AH201" s="1851"/>
      <c r="AI201" s="1851"/>
      <c r="AJ201" s="1851"/>
      <c r="AK201" s="1851"/>
      <c r="AL201" s="1851"/>
      <c r="AM201" s="1851"/>
      <c r="AN201" s="1851"/>
      <c r="AO201" s="1851"/>
      <c r="AP201" s="1851"/>
      <c r="AQ201" s="1851"/>
      <c r="AR201" s="1851"/>
      <c r="AS201" s="1851"/>
      <c r="AT201" s="1851"/>
      <c r="AU201" s="1851"/>
      <c r="AV201" s="1851"/>
      <c r="AW201" s="1851"/>
      <c r="AX201" s="1851"/>
      <c r="AY201" s="1851"/>
      <c r="AZ201" s="1851"/>
      <c r="BA201" s="1851"/>
      <c r="BB201" s="1851"/>
    </row>
    <row r="202" spans="1:54" x14ac:dyDescent="0.25">
      <c r="A202" s="1880" t="s">
        <v>1441</v>
      </c>
      <c r="B202" s="1881"/>
      <c r="C202" s="1865" t="s">
        <v>1442</v>
      </c>
      <c r="D202" s="1865"/>
      <c r="E202" s="1865"/>
      <c r="F202" s="1865"/>
      <c r="G202" s="1865"/>
      <c r="H202" s="1865"/>
      <c r="I202" s="1865"/>
      <c r="J202" s="1865"/>
      <c r="K202" s="1865"/>
      <c r="L202" s="1865"/>
      <c r="M202" s="1865"/>
      <c r="N202" s="1865"/>
      <c r="O202" s="1865"/>
      <c r="P202" s="1865"/>
      <c r="Q202" s="1865"/>
      <c r="R202" s="1865"/>
      <c r="S202" s="1865"/>
      <c r="T202" s="1865"/>
      <c r="U202" s="1865"/>
      <c r="V202" s="1865" t="s">
        <v>1439</v>
      </c>
      <c r="W202" s="1865"/>
      <c r="X202" s="1865"/>
      <c r="Y202" s="1851"/>
      <c r="Z202" s="1851"/>
      <c r="AA202" s="1851"/>
      <c r="AB202" s="1851"/>
      <c r="AC202" s="1851"/>
      <c r="AD202" s="1851"/>
      <c r="AE202" s="1851"/>
      <c r="AF202" s="1851"/>
      <c r="AG202" s="1851"/>
      <c r="AH202" s="1851"/>
      <c r="AI202" s="1851"/>
      <c r="AJ202" s="1851"/>
      <c r="AK202" s="1851"/>
      <c r="AL202" s="1851"/>
      <c r="AM202" s="1851"/>
      <c r="AN202" s="1851"/>
      <c r="AO202" s="1851"/>
      <c r="AP202" s="1851"/>
      <c r="AQ202" s="1851"/>
      <c r="AR202" s="1851"/>
      <c r="AS202" s="1851"/>
      <c r="AT202" s="1851"/>
      <c r="AU202" s="1851"/>
      <c r="AV202" s="1851"/>
      <c r="AW202" s="1851"/>
      <c r="AX202" s="1851"/>
      <c r="AY202" s="1851"/>
      <c r="AZ202" s="1851"/>
      <c r="BA202" s="1851"/>
      <c r="BB202" s="1851"/>
    </row>
    <row r="203" spans="1:54" x14ac:dyDescent="0.25">
      <c r="A203" s="1880" t="s">
        <v>1443</v>
      </c>
      <c r="B203" s="1881"/>
      <c r="C203" s="1865" t="s">
        <v>1444</v>
      </c>
      <c r="D203" s="1865"/>
      <c r="E203" s="1865"/>
      <c r="F203" s="1865"/>
      <c r="G203" s="1865"/>
      <c r="H203" s="1865"/>
      <c r="I203" s="1865"/>
      <c r="J203" s="1865"/>
      <c r="K203" s="1865"/>
      <c r="L203" s="1865"/>
      <c r="M203" s="1865"/>
      <c r="N203" s="1865"/>
      <c r="O203" s="1865"/>
      <c r="P203" s="1865"/>
      <c r="Q203" s="1865"/>
      <c r="R203" s="1865"/>
      <c r="S203" s="1865"/>
      <c r="T203" s="1865"/>
      <c r="U203" s="1865"/>
      <c r="V203" s="1865" t="s">
        <v>1439</v>
      </c>
      <c r="W203" s="1865"/>
      <c r="X203" s="1865"/>
      <c r="Y203" s="1851"/>
      <c r="Z203" s="1851"/>
      <c r="AA203" s="1851"/>
      <c r="AB203" s="1851"/>
      <c r="AC203" s="1851"/>
      <c r="AD203" s="1851"/>
      <c r="AE203" s="1851"/>
      <c r="AF203" s="1851"/>
      <c r="AG203" s="1851"/>
      <c r="AH203" s="1851"/>
      <c r="AI203" s="1851"/>
      <c r="AJ203" s="1851"/>
      <c r="AK203" s="1851"/>
      <c r="AL203" s="1851"/>
      <c r="AM203" s="1851"/>
      <c r="AN203" s="1851"/>
      <c r="AO203" s="1851"/>
      <c r="AP203" s="1851"/>
      <c r="AQ203" s="1851"/>
      <c r="AR203" s="1851"/>
      <c r="AS203" s="1851"/>
      <c r="AT203" s="1851"/>
      <c r="AU203" s="1851"/>
      <c r="AV203" s="1851"/>
      <c r="AW203" s="1851"/>
      <c r="AX203" s="1851"/>
      <c r="AY203" s="1851"/>
      <c r="AZ203" s="1851"/>
      <c r="BA203" s="1851"/>
      <c r="BB203" s="1851"/>
    </row>
    <row r="204" spans="1:54" x14ac:dyDescent="0.25">
      <c r="A204" s="1880" t="s">
        <v>1445</v>
      </c>
      <c r="B204" s="1881"/>
      <c r="C204" s="1856" t="s">
        <v>1446</v>
      </c>
      <c r="D204" s="1856"/>
      <c r="E204" s="1856"/>
      <c r="F204" s="1856"/>
      <c r="G204" s="1856"/>
      <c r="H204" s="1856"/>
      <c r="I204" s="1856"/>
      <c r="J204" s="1856"/>
      <c r="K204" s="1856"/>
      <c r="L204" s="1856"/>
      <c r="M204" s="1856"/>
      <c r="N204" s="1856"/>
      <c r="O204" s="1856"/>
      <c r="P204" s="1856"/>
      <c r="Q204" s="1856"/>
      <c r="R204" s="1856"/>
      <c r="S204" s="1856"/>
      <c r="T204" s="1856"/>
      <c r="U204" s="1856"/>
      <c r="V204" s="1865" t="s">
        <v>1447</v>
      </c>
      <c r="W204" s="1865"/>
      <c r="X204" s="1865"/>
      <c r="Y204" s="1851"/>
      <c r="Z204" s="1851"/>
      <c r="AA204" s="1851"/>
      <c r="AB204" s="1851"/>
      <c r="AC204" s="1851"/>
      <c r="AD204" s="1851"/>
      <c r="AE204" s="1851"/>
      <c r="AF204" s="1851"/>
      <c r="AG204" s="1851"/>
      <c r="AH204" s="1851"/>
      <c r="AI204" s="1851"/>
      <c r="AJ204" s="1851"/>
      <c r="AK204" s="1851"/>
      <c r="AL204" s="1851"/>
      <c r="AM204" s="1851"/>
      <c r="AN204" s="1851"/>
      <c r="AO204" s="1851"/>
      <c r="AP204" s="1851"/>
      <c r="AQ204" s="1851"/>
      <c r="AR204" s="1851"/>
      <c r="AS204" s="1851"/>
      <c r="AT204" s="1851"/>
      <c r="AU204" s="1851"/>
      <c r="AV204" s="1851"/>
      <c r="AW204" s="1851"/>
      <c r="AX204" s="1851"/>
      <c r="AY204" s="1851"/>
      <c r="AZ204" s="1851"/>
      <c r="BA204" s="1851"/>
      <c r="BB204" s="1851"/>
    </row>
    <row r="205" spans="1:54" x14ac:dyDescent="0.25">
      <c r="A205" s="1880" t="s">
        <v>1448</v>
      </c>
      <c r="B205" s="1881"/>
      <c r="C205" s="1856" t="s">
        <v>1449</v>
      </c>
      <c r="D205" s="1856"/>
      <c r="E205" s="1856"/>
      <c r="F205" s="1856"/>
      <c r="G205" s="1856"/>
      <c r="H205" s="1856"/>
      <c r="I205" s="1856"/>
      <c r="J205" s="1856"/>
      <c r="K205" s="1856"/>
      <c r="L205" s="1856"/>
      <c r="M205" s="1856"/>
      <c r="N205" s="1856"/>
      <c r="O205" s="1856"/>
      <c r="P205" s="1856"/>
      <c r="Q205" s="1856"/>
      <c r="R205" s="1856"/>
      <c r="S205" s="1856"/>
      <c r="T205" s="1856"/>
      <c r="U205" s="1856"/>
      <c r="V205" s="1865" t="s">
        <v>1447</v>
      </c>
      <c r="W205" s="1865"/>
      <c r="X205" s="1865"/>
      <c r="Y205" s="1851"/>
      <c r="Z205" s="1851"/>
      <c r="AA205" s="1851"/>
      <c r="AB205" s="1851"/>
      <c r="AC205" s="1851"/>
      <c r="AD205" s="1851"/>
      <c r="AE205" s="1851"/>
      <c r="AF205" s="1851"/>
      <c r="AG205" s="1851"/>
      <c r="AH205" s="1851"/>
      <c r="AI205" s="1851"/>
      <c r="AJ205" s="1851"/>
      <c r="AK205" s="1851"/>
      <c r="AL205" s="1851"/>
      <c r="AM205" s="1851"/>
      <c r="AN205" s="1851"/>
      <c r="AO205" s="1851"/>
      <c r="AP205" s="1851"/>
      <c r="AQ205" s="1851"/>
      <c r="AR205" s="1851"/>
      <c r="AS205" s="1851"/>
      <c r="AT205" s="1851"/>
      <c r="AU205" s="1851"/>
      <c r="AV205" s="1851"/>
      <c r="AW205" s="1851"/>
      <c r="AX205" s="1851"/>
      <c r="AY205" s="1851"/>
      <c r="AZ205" s="1851"/>
      <c r="BA205" s="1851"/>
      <c r="BB205" s="1851"/>
    </row>
    <row r="206" spans="1:54" x14ac:dyDescent="0.25">
      <c r="A206" s="1880" t="s">
        <v>1450</v>
      </c>
      <c r="B206" s="1881"/>
      <c r="C206" s="1856" t="s">
        <v>1451</v>
      </c>
      <c r="D206" s="1856"/>
      <c r="E206" s="1856"/>
      <c r="F206" s="1856"/>
      <c r="G206" s="1856"/>
      <c r="H206" s="1856"/>
      <c r="I206" s="1856"/>
      <c r="J206" s="1856"/>
      <c r="K206" s="1856"/>
      <c r="L206" s="1856"/>
      <c r="M206" s="1856"/>
      <c r="N206" s="1856"/>
      <c r="O206" s="1856"/>
      <c r="P206" s="1856"/>
      <c r="Q206" s="1856"/>
      <c r="R206" s="1856"/>
      <c r="S206" s="1856"/>
      <c r="T206" s="1856"/>
      <c r="U206" s="1856"/>
      <c r="V206" s="1865" t="s">
        <v>1447</v>
      </c>
      <c r="W206" s="1865"/>
      <c r="X206" s="1865"/>
      <c r="Y206" s="1851"/>
      <c r="Z206" s="1851"/>
      <c r="AA206" s="1851"/>
      <c r="AB206" s="1851"/>
      <c r="AC206" s="1851"/>
      <c r="AD206" s="1851"/>
      <c r="AE206" s="1851"/>
      <c r="AF206" s="1851"/>
      <c r="AG206" s="1851"/>
      <c r="AH206" s="1851"/>
      <c r="AI206" s="1851"/>
      <c r="AJ206" s="1851"/>
      <c r="AK206" s="1851"/>
      <c r="AL206" s="1851"/>
      <c r="AM206" s="1851"/>
      <c r="AN206" s="1851"/>
      <c r="AO206" s="1851"/>
      <c r="AP206" s="1851"/>
      <c r="AQ206" s="1851"/>
      <c r="AR206" s="1851"/>
      <c r="AS206" s="1851"/>
      <c r="AT206" s="1851"/>
      <c r="AU206" s="1851"/>
      <c r="AV206" s="1851"/>
      <c r="AW206" s="1851"/>
      <c r="AX206" s="1851"/>
      <c r="AY206" s="1851"/>
      <c r="AZ206" s="1851"/>
      <c r="BA206" s="1851"/>
      <c r="BB206" s="1851"/>
    </row>
    <row r="207" spans="1:54" x14ac:dyDescent="0.25">
      <c r="A207" s="1880" t="s">
        <v>1452</v>
      </c>
      <c r="B207" s="1881"/>
      <c r="C207" s="1856" t="s">
        <v>1453</v>
      </c>
      <c r="D207" s="1856"/>
      <c r="E207" s="1856"/>
      <c r="F207" s="1856"/>
      <c r="G207" s="1856"/>
      <c r="H207" s="1856"/>
      <c r="I207" s="1856"/>
      <c r="J207" s="1856"/>
      <c r="K207" s="1856"/>
      <c r="L207" s="1856"/>
      <c r="M207" s="1856"/>
      <c r="N207" s="1856"/>
      <c r="O207" s="1856"/>
      <c r="P207" s="1856"/>
      <c r="Q207" s="1856"/>
      <c r="R207" s="1856"/>
      <c r="S207" s="1856"/>
      <c r="T207" s="1856"/>
      <c r="U207" s="1856"/>
      <c r="V207" s="1865" t="s">
        <v>1447</v>
      </c>
      <c r="W207" s="1865"/>
      <c r="X207" s="1865"/>
      <c r="Y207" s="1851"/>
      <c r="Z207" s="1851"/>
      <c r="AA207" s="1851"/>
      <c r="AB207" s="1851"/>
      <c r="AC207" s="1851"/>
      <c r="AD207" s="1851"/>
      <c r="AE207" s="1851"/>
      <c r="AF207" s="1851"/>
      <c r="AG207" s="1851"/>
      <c r="AH207" s="1851"/>
      <c r="AI207" s="1851"/>
      <c r="AJ207" s="1851"/>
      <c r="AK207" s="1851"/>
      <c r="AL207" s="1851"/>
      <c r="AM207" s="1851"/>
      <c r="AN207" s="1851"/>
      <c r="AO207" s="1851"/>
      <c r="AP207" s="1851"/>
      <c r="AQ207" s="1851"/>
      <c r="AR207" s="1851"/>
      <c r="AS207" s="1851"/>
      <c r="AT207" s="1851"/>
      <c r="AU207" s="1851"/>
      <c r="AV207" s="1851"/>
      <c r="AW207" s="1851"/>
      <c r="AX207" s="1851"/>
      <c r="AY207" s="1851"/>
      <c r="AZ207" s="1851"/>
      <c r="BA207" s="1851"/>
      <c r="BB207" s="1851"/>
    </row>
    <row r="208" spans="1:54" x14ac:dyDescent="0.25">
      <c r="A208" s="1880" t="s">
        <v>1454</v>
      </c>
      <c r="B208" s="1881"/>
      <c r="C208" s="1856" t="s">
        <v>1455</v>
      </c>
      <c r="D208" s="1856"/>
      <c r="E208" s="1856"/>
      <c r="F208" s="1856"/>
      <c r="G208" s="1856"/>
      <c r="H208" s="1856"/>
      <c r="I208" s="1856"/>
      <c r="J208" s="1856"/>
      <c r="K208" s="1856"/>
      <c r="L208" s="1856"/>
      <c r="M208" s="1856"/>
      <c r="N208" s="1856"/>
      <c r="O208" s="1856"/>
      <c r="P208" s="1856"/>
      <c r="Q208" s="1856"/>
      <c r="R208" s="1856"/>
      <c r="S208" s="1856"/>
      <c r="T208" s="1856"/>
      <c r="U208" s="1856"/>
      <c r="V208" s="1865" t="s">
        <v>1447</v>
      </c>
      <c r="W208" s="1865"/>
      <c r="X208" s="1865"/>
      <c r="Y208" s="1851"/>
      <c r="Z208" s="1851"/>
      <c r="AA208" s="1851"/>
      <c r="AB208" s="1851"/>
      <c r="AC208" s="1851"/>
      <c r="AD208" s="1851"/>
      <c r="AE208" s="1851"/>
      <c r="AF208" s="1851"/>
      <c r="AG208" s="1851"/>
      <c r="AH208" s="1851"/>
      <c r="AI208" s="1851"/>
      <c r="AJ208" s="1851"/>
      <c r="AK208" s="1851"/>
      <c r="AL208" s="1851"/>
      <c r="AM208" s="1851"/>
      <c r="AN208" s="1851"/>
      <c r="AO208" s="1851"/>
      <c r="AP208" s="1851"/>
      <c r="AQ208" s="1851"/>
      <c r="AR208" s="1851"/>
      <c r="AS208" s="1851"/>
      <c r="AT208" s="1851"/>
      <c r="AU208" s="1851"/>
      <c r="AV208" s="1851"/>
      <c r="AW208" s="1851"/>
      <c r="AX208" s="1851"/>
      <c r="AY208" s="1851"/>
      <c r="AZ208" s="1851"/>
      <c r="BA208" s="1851"/>
      <c r="BB208" s="1851"/>
    </row>
    <row r="209" spans="1:54" x14ac:dyDescent="0.25">
      <c r="A209" s="1880" t="s">
        <v>1456</v>
      </c>
      <c r="B209" s="1881"/>
      <c r="C209" s="1856" t="s">
        <v>1457</v>
      </c>
      <c r="D209" s="1856"/>
      <c r="E209" s="1856"/>
      <c r="F209" s="1856"/>
      <c r="G209" s="1856"/>
      <c r="H209" s="1856"/>
      <c r="I209" s="1856"/>
      <c r="J209" s="1856"/>
      <c r="K209" s="1856"/>
      <c r="L209" s="1856"/>
      <c r="M209" s="1856"/>
      <c r="N209" s="1856"/>
      <c r="O209" s="1856"/>
      <c r="P209" s="1856"/>
      <c r="Q209" s="1856"/>
      <c r="R209" s="1856"/>
      <c r="S209" s="1856"/>
      <c r="T209" s="1856"/>
      <c r="U209" s="1856"/>
      <c r="V209" s="1865" t="s">
        <v>1458</v>
      </c>
      <c r="W209" s="1865"/>
      <c r="X209" s="1865"/>
      <c r="Y209" s="1851"/>
      <c r="Z209" s="1851"/>
      <c r="AA209" s="1851"/>
      <c r="AB209" s="1851"/>
      <c r="AC209" s="1851"/>
      <c r="AD209" s="1851"/>
      <c r="AE209" s="1851"/>
      <c r="AF209" s="1851"/>
      <c r="AG209" s="1851"/>
      <c r="AH209" s="1851"/>
      <c r="AI209" s="1851"/>
      <c r="AJ209" s="1851"/>
      <c r="AK209" s="1851"/>
      <c r="AL209" s="1851"/>
      <c r="AM209" s="1851"/>
      <c r="AN209" s="1851"/>
      <c r="AO209" s="1851"/>
      <c r="AP209" s="1851"/>
      <c r="AQ209" s="1851"/>
      <c r="AR209" s="1851"/>
      <c r="AS209" s="1851"/>
      <c r="AT209" s="1851"/>
      <c r="AU209" s="1851"/>
      <c r="AV209" s="1851"/>
      <c r="AW209" s="1851"/>
      <c r="AX209" s="1851"/>
      <c r="AY209" s="1851"/>
      <c r="AZ209" s="1851"/>
      <c r="BA209" s="1851"/>
      <c r="BB209" s="1851"/>
    </row>
    <row r="210" spans="1:54" x14ac:dyDescent="0.25">
      <c r="A210" s="1880" t="s">
        <v>1459</v>
      </c>
      <c r="B210" s="1881"/>
      <c r="C210" s="1865" t="s">
        <v>1460</v>
      </c>
      <c r="D210" s="1865"/>
      <c r="E210" s="1865"/>
      <c r="F210" s="1865"/>
      <c r="G210" s="1865"/>
      <c r="H210" s="1865"/>
      <c r="I210" s="1865"/>
      <c r="J210" s="1865"/>
      <c r="K210" s="1865"/>
      <c r="L210" s="1865"/>
      <c r="M210" s="1865"/>
      <c r="N210" s="1865"/>
      <c r="O210" s="1865"/>
      <c r="P210" s="1865"/>
      <c r="Q210" s="1865"/>
      <c r="R210" s="1865"/>
      <c r="S210" s="1865"/>
      <c r="T210" s="1865"/>
      <c r="U210" s="1865"/>
      <c r="V210" s="1865" t="s">
        <v>1458</v>
      </c>
      <c r="W210" s="1865"/>
      <c r="X210" s="1865"/>
      <c r="Y210" s="1851"/>
      <c r="Z210" s="1851"/>
      <c r="AA210" s="1851"/>
      <c r="AB210" s="1851"/>
      <c r="AC210" s="1851"/>
      <c r="AD210" s="1851"/>
      <c r="AE210" s="1851"/>
      <c r="AF210" s="1851"/>
      <c r="AG210" s="1851"/>
      <c r="AH210" s="1851"/>
      <c r="AI210" s="1851"/>
      <c r="AJ210" s="1851"/>
      <c r="AK210" s="1851"/>
      <c r="AL210" s="1851"/>
      <c r="AM210" s="1851"/>
      <c r="AN210" s="1851"/>
      <c r="AO210" s="1851"/>
      <c r="AP210" s="1851"/>
      <c r="AQ210" s="1851"/>
      <c r="AR210" s="1851"/>
      <c r="AS210" s="1851"/>
      <c r="AT210" s="1851"/>
      <c r="AU210" s="1851"/>
      <c r="AV210" s="1851"/>
      <c r="AW210" s="1851"/>
      <c r="AX210" s="1851"/>
      <c r="AY210" s="1851"/>
      <c r="AZ210" s="1851"/>
      <c r="BA210" s="1851"/>
      <c r="BB210" s="1851"/>
    </row>
    <row r="211" spans="1:54" x14ac:dyDescent="0.25">
      <c r="A211" s="1880" t="s">
        <v>1461</v>
      </c>
      <c r="B211" s="1881"/>
      <c r="C211" s="1856" t="s">
        <v>1462</v>
      </c>
      <c r="D211" s="1856"/>
      <c r="E211" s="1856"/>
      <c r="F211" s="1856"/>
      <c r="G211" s="1856"/>
      <c r="H211" s="1856"/>
      <c r="I211" s="1856"/>
      <c r="J211" s="1856"/>
      <c r="K211" s="1856"/>
      <c r="L211" s="1856"/>
      <c r="M211" s="1856"/>
      <c r="N211" s="1856"/>
      <c r="O211" s="1856"/>
      <c r="P211" s="1856"/>
      <c r="Q211" s="1856"/>
      <c r="R211" s="1856"/>
      <c r="S211" s="1856"/>
      <c r="T211" s="1856"/>
      <c r="U211" s="1856"/>
      <c r="V211" s="1865" t="s">
        <v>1458</v>
      </c>
      <c r="W211" s="1865"/>
      <c r="X211" s="1865"/>
      <c r="Y211" s="1851"/>
      <c r="Z211" s="1851"/>
      <c r="AA211" s="1851"/>
      <c r="AB211" s="1851"/>
      <c r="AC211" s="1851"/>
      <c r="AD211" s="1851"/>
      <c r="AE211" s="1851"/>
      <c r="AF211" s="1851"/>
      <c r="AG211" s="1851"/>
      <c r="AH211" s="1851"/>
      <c r="AI211" s="1851"/>
      <c r="AJ211" s="1851"/>
      <c r="AK211" s="1851"/>
      <c r="AL211" s="1851"/>
      <c r="AM211" s="1851"/>
      <c r="AN211" s="1851"/>
      <c r="AO211" s="1851"/>
      <c r="AP211" s="1851"/>
      <c r="AQ211" s="1851"/>
      <c r="AR211" s="1851"/>
      <c r="AS211" s="1851"/>
      <c r="AT211" s="1851"/>
      <c r="AU211" s="1851"/>
      <c r="AV211" s="1851"/>
      <c r="AW211" s="1851"/>
      <c r="AX211" s="1851"/>
      <c r="AY211" s="1851"/>
      <c r="AZ211" s="1851"/>
      <c r="BA211" s="1851"/>
      <c r="BB211" s="1851"/>
    </row>
    <row r="212" spans="1:54" x14ac:dyDescent="0.25">
      <c r="A212" s="1880" t="s">
        <v>1463</v>
      </c>
      <c r="B212" s="1881"/>
      <c r="C212" s="1856" t="s">
        <v>1464</v>
      </c>
      <c r="D212" s="1856"/>
      <c r="E212" s="1856"/>
      <c r="F212" s="1856"/>
      <c r="G212" s="1856"/>
      <c r="H212" s="1856"/>
      <c r="I212" s="1856"/>
      <c r="J212" s="1856"/>
      <c r="K212" s="1856"/>
      <c r="L212" s="1856"/>
      <c r="M212" s="1856"/>
      <c r="N212" s="1856"/>
      <c r="O212" s="1856"/>
      <c r="P212" s="1856"/>
      <c r="Q212" s="1856"/>
      <c r="R212" s="1856"/>
      <c r="S212" s="1856"/>
      <c r="T212" s="1856"/>
      <c r="U212" s="1856"/>
      <c r="V212" s="1865" t="s">
        <v>1458</v>
      </c>
      <c r="W212" s="1865"/>
      <c r="X212" s="1865"/>
      <c r="Y212" s="1851"/>
      <c r="Z212" s="1851"/>
      <c r="AA212" s="1851"/>
      <c r="AB212" s="1851"/>
      <c r="AC212" s="1851"/>
      <c r="AD212" s="1851"/>
      <c r="AE212" s="1851"/>
      <c r="AF212" s="1851"/>
      <c r="AG212" s="1851"/>
      <c r="AH212" s="1851"/>
      <c r="AI212" s="1851"/>
      <c r="AJ212" s="1851"/>
      <c r="AK212" s="1851"/>
      <c r="AL212" s="1851"/>
      <c r="AM212" s="1851"/>
      <c r="AN212" s="1851"/>
      <c r="AO212" s="1851"/>
      <c r="AP212" s="1851"/>
      <c r="AQ212" s="1851"/>
      <c r="AR212" s="1851"/>
      <c r="AS212" s="1851"/>
      <c r="AT212" s="1851"/>
      <c r="AU212" s="1851"/>
      <c r="AV212" s="1851"/>
      <c r="AW212" s="1851"/>
      <c r="AX212" s="1851"/>
      <c r="AY212" s="1851"/>
      <c r="AZ212" s="1851"/>
      <c r="BA212" s="1851"/>
      <c r="BB212" s="1851"/>
    </row>
    <row r="213" spans="1:54" x14ac:dyDescent="0.25">
      <c r="A213" s="1878" t="s">
        <v>1465</v>
      </c>
      <c r="B213" s="1879"/>
      <c r="C213" s="1855" t="s">
        <v>1466</v>
      </c>
      <c r="D213" s="1855"/>
      <c r="E213" s="1855"/>
      <c r="F213" s="1855"/>
      <c r="G213" s="1855"/>
      <c r="H213" s="1855"/>
      <c r="I213" s="1855"/>
      <c r="J213" s="1855"/>
      <c r="K213" s="1855"/>
      <c r="L213" s="1855"/>
      <c r="M213" s="1855"/>
      <c r="N213" s="1855"/>
      <c r="O213" s="1855"/>
      <c r="P213" s="1855"/>
      <c r="Q213" s="1855"/>
      <c r="R213" s="1855"/>
      <c r="S213" s="1855"/>
      <c r="T213" s="1855"/>
      <c r="U213" s="1855"/>
      <c r="V213" s="1864" t="s">
        <v>1467</v>
      </c>
      <c r="W213" s="1864"/>
      <c r="X213" s="1864"/>
      <c r="Y213" s="1857"/>
      <c r="Z213" s="1877"/>
      <c r="AA213" s="1877"/>
      <c r="AB213" s="1877"/>
      <c r="AC213" s="1859"/>
      <c r="AD213" s="1859"/>
      <c r="AE213" s="1857"/>
      <c r="AF213" s="1877"/>
      <c r="AG213" s="1877"/>
      <c r="AH213" s="1877"/>
      <c r="AI213" s="1859"/>
      <c r="AJ213" s="1859"/>
      <c r="AK213" s="1857"/>
      <c r="AL213" s="1877"/>
      <c r="AM213" s="1877"/>
      <c r="AN213" s="1877"/>
      <c r="AO213" s="1859"/>
      <c r="AP213" s="1859"/>
      <c r="AQ213" s="1857"/>
      <c r="AR213" s="1877"/>
      <c r="AS213" s="1877"/>
      <c r="AT213" s="1877"/>
      <c r="AU213" s="1859"/>
      <c r="AV213" s="1859"/>
      <c r="AW213" s="1857"/>
      <c r="AX213" s="1877"/>
      <c r="AY213" s="1877"/>
      <c r="AZ213" s="1877"/>
      <c r="BA213" s="1859"/>
      <c r="BB213" s="1859"/>
    </row>
    <row r="214" spans="1:54" x14ac:dyDescent="0.25">
      <c r="A214" s="1880" t="s">
        <v>1468</v>
      </c>
      <c r="B214" s="1881"/>
      <c r="C214" s="1856" t="s">
        <v>1469</v>
      </c>
      <c r="D214" s="1856"/>
      <c r="E214" s="1856"/>
      <c r="F214" s="1856"/>
      <c r="G214" s="1856"/>
      <c r="H214" s="1856"/>
      <c r="I214" s="1856"/>
      <c r="J214" s="1856"/>
      <c r="K214" s="1856"/>
      <c r="L214" s="1856"/>
      <c r="M214" s="1856"/>
      <c r="N214" s="1856"/>
      <c r="O214" s="1856"/>
      <c r="P214" s="1856"/>
      <c r="Q214" s="1856"/>
      <c r="R214" s="1856"/>
      <c r="S214" s="1856"/>
      <c r="T214" s="1856"/>
      <c r="U214" s="1856"/>
      <c r="V214" s="1865" t="s">
        <v>1470</v>
      </c>
      <c r="W214" s="1865"/>
      <c r="X214" s="1865"/>
      <c r="Y214" s="1851"/>
      <c r="Z214" s="1851"/>
      <c r="AA214" s="1851"/>
      <c r="AB214" s="1851"/>
      <c r="AC214" s="1851"/>
      <c r="AD214" s="1851"/>
      <c r="AE214" s="1851"/>
      <c r="AF214" s="1851"/>
      <c r="AG214" s="1851"/>
      <c r="AH214" s="1851"/>
      <c r="AI214" s="1851"/>
      <c r="AJ214" s="1851"/>
      <c r="AK214" s="1851"/>
      <c r="AL214" s="1851"/>
      <c r="AM214" s="1851"/>
      <c r="AN214" s="1851"/>
      <c r="AO214" s="1851"/>
      <c r="AP214" s="1851"/>
      <c r="AQ214" s="1851"/>
      <c r="AR214" s="1851"/>
      <c r="AS214" s="1851"/>
      <c r="AT214" s="1851"/>
      <c r="AU214" s="1851"/>
      <c r="AV214" s="1851"/>
      <c r="AW214" s="1851"/>
      <c r="AX214" s="1851"/>
      <c r="AY214" s="1851"/>
      <c r="AZ214" s="1851"/>
      <c r="BA214" s="1851"/>
      <c r="BB214" s="1851"/>
    </row>
    <row r="215" spans="1:54" x14ac:dyDescent="0.25">
      <c r="A215" s="1880" t="s">
        <v>1471</v>
      </c>
      <c r="B215" s="1881"/>
      <c r="C215" s="1856" t="s">
        <v>1472</v>
      </c>
      <c r="D215" s="1856"/>
      <c r="E215" s="1856"/>
      <c r="F215" s="1856"/>
      <c r="G215" s="1856"/>
      <c r="H215" s="1856"/>
      <c r="I215" s="1856"/>
      <c r="J215" s="1856"/>
      <c r="K215" s="1856"/>
      <c r="L215" s="1856"/>
      <c r="M215" s="1856"/>
      <c r="N215" s="1856"/>
      <c r="O215" s="1856"/>
      <c r="P215" s="1856"/>
      <c r="Q215" s="1856"/>
      <c r="R215" s="1856"/>
      <c r="S215" s="1856"/>
      <c r="T215" s="1856"/>
      <c r="U215" s="1856"/>
      <c r="V215" s="1865" t="s">
        <v>1470</v>
      </c>
      <c r="W215" s="1865"/>
      <c r="X215" s="1865"/>
      <c r="Y215" s="1851"/>
      <c r="Z215" s="1851"/>
      <c r="AA215" s="1851"/>
      <c r="AB215" s="1851"/>
      <c r="AC215" s="1851"/>
      <c r="AD215" s="1851"/>
      <c r="AE215" s="1851"/>
      <c r="AF215" s="1851"/>
      <c r="AG215" s="1851"/>
      <c r="AH215" s="1851"/>
      <c r="AI215" s="1851"/>
      <c r="AJ215" s="1851"/>
      <c r="AK215" s="1851"/>
      <c r="AL215" s="1851"/>
      <c r="AM215" s="1851"/>
      <c r="AN215" s="1851"/>
      <c r="AO215" s="1851"/>
      <c r="AP215" s="1851"/>
      <c r="AQ215" s="1851"/>
      <c r="AR215" s="1851"/>
      <c r="AS215" s="1851"/>
      <c r="AT215" s="1851"/>
      <c r="AU215" s="1851"/>
      <c r="AV215" s="1851"/>
      <c r="AW215" s="1851"/>
      <c r="AX215" s="1851"/>
      <c r="AY215" s="1851"/>
      <c r="AZ215" s="1851"/>
      <c r="BA215" s="1851"/>
      <c r="BB215" s="1851"/>
    </row>
    <row r="216" spans="1:54" x14ac:dyDescent="0.25">
      <c r="A216" s="1880" t="s">
        <v>1473</v>
      </c>
      <c r="B216" s="1881"/>
      <c r="C216" s="1856" t="s">
        <v>1474</v>
      </c>
      <c r="D216" s="1856"/>
      <c r="E216" s="1856"/>
      <c r="F216" s="1856"/>
      <c r="G216" s="1856"/>
      <c r="H216" s="1856"/>
      <c r="I216" s="1856"/>
      <c r="J216" s="1856"/>
      <c r="K216" s="1856"/>
      <c r="L216" s="1856"/>
      <c r="M216" s="1856"/>
      <c r="N216" s="1856"/>
      <c r="O216" s="1856"/>
      <c r="P216" s="1856"/>
      <c r="Q216" s="1856"/>
      <c r="R216" s="1856"/>
      <c r="S216" s="1856"/>
      <c r="T216" s="1856"/>
      <c r="U216" s="1856"/>
      <c r="V216" s="1865" t="s">
        <v>1475</v>
      </c>
      <c r="W216" s="1865"/>
      <c r="X216" s="1865"/>
      <c r="Y216" s="1851"/>
      <c r="Z216" s="1851"/>
      <c r="AA216" s="1851"/>
      <c r="AB216" s="1851"/>
      <c r="AC216" s="1851"/>
      <c r="AD216" s="1851"/>
      <c r="AE216" s="1851"/>
      <c r="AF216" s="1851"/>
      <c r="AG216" s="1851"/>
      <c r="AH216" s="1851"/>
      <c r="AI216" s="1851"/>
      <c r="AJ216" s="1851"/>
      <c r="AK216" s="1851"/>
      <c r="AL216" s="1851"/>
      <c r="AM216" s="1851"/>
      <c r="AN216" s="1851"/>
      <c r="AO216" s="1851"/>
      <c r="AP216" s="1851"/>
      <c r="AQ216" s="1851"/>
      <c r="AR216" s="1851"/>
      <c r="AS216" s="1851"/>
      <c r="AT216" s="1851"/>
      <c r="AU216" s="1851"/>
      <c r="AV216" s="1851"/>
      <c r="AW216" s="1851"/>
      <c r="AX216" s="1851"/>
      <c r="AY216" s="1851"/>
      <c r="AZ216" s="1851"/>
      <c r="BA216" s="1851"/>
      <c r="BB216" s="1851"/>
    </row>
    <row r="217" spans="1:54" x14ac:dyDescent="0.25">
      <c r="A217" s="1880" t="s">
        <v>1476</v>
      </c>
      <c r="B217" s="1881"/>
      <c r="C217" s="1856" t="s">
        <v>1477</v>
      </c>
      <c r="D217" s="1856"/>
      <c r="E217" s="1856"/>
      <c r="F217" s="1856"/>
      <c r="G217" s="1856"/>
      <c r="H217" s="1856"/>
      <c r="I217" s="1856"/>
      <c r="J217" s="1856"/>
      <c r="K217" s="1856"/>
      <c r="L217" s="1856"/>
      <c r="M217" s="1856"/>
      <c r="N217" s="1856"/>
      <c r="O217" s="1856"/>
      <c r="P217" s="1856"/>
      <c r="Q217" s="1856"/>
      <c r="R217" s="1856"/>
      <c r="S217" s="1856"/>
      <c r="T217" s="1856"/>
      <c r="U217" s="1856"/>
      <c r="V217" s="1865" t="s">
        <v>1475</v>
      </c>
      <c r="W217" s="1865"/>
      <c r="X217" s="1865"/>
      <c r="Y217" s="1851"/>
      <c r="Z217" s="1851"/>
      <c r="AA217" s="1851"/>
      <c r="AB217" s="1851"/>
      <c r="AC217" s="1851"/>
      <c r="AD217" s="1851"/>
      <c r="AE217" s="1851"/>
      <c r="AF217" s="1851"/>
      <c r="AG217" s="1851"/>
      <c r="AH217" s="1851"/>
      <c r="AI217" s="1851"/>
      <c r="AJ217" s="1851"/>
      <c r="AK217" s="1851"/>
      <c r="AL217" s="1851"/>
      <c r="AM217" s="1851"/>
      <c r="AN217" s="1851"/>
      <c r="AO217" s="1851"/>
      <c r="AP217" s="1851"/>
      <c r="AQ217" s="1851"/>
      <c r="AR217" s="1851"/>
      <c r="AS217" s="1851"/>
      <c r="AT217" s="1851"/>
      <c r="AU217" s="1851"/>
      <c r="AV217" s="1851"/>
      <c r="AW217" s="1851"/>
      <c r="AX217" s="1851"/>
      <c r="AY217" s="1851"/>
      <c r="AZ217" s="1851"/>
      <c r="BA217" s="1851"/>
      <c r="BB217" s="1851"/>
    </row>
    <row r="218" spans="1:54" x14ac:dyDescent="0.25">
      <c r="A218" s="1880" t="s">
        <v>1478</v>
      </c>
      <c r="B218" s="1881"/>
      <c r="C218" s="1856" t="s">
        <v>136</v>
      </c>
      <c r="D218" s="1856"/>
      <c r="E218" s="1856"/>
      <c r="F218" s="1856"/>
      <c r="G218" s="1856"/>
      <c r="H218" s="1856"/>
      <c r="I218" s="1856"/>
      <c r="J218" s="1856"/>
      <c r="K218" s="1856"/>
      <c r="L218" s="1856"/>
      <c r="M218" s="1856"/>
      <c r="N218" s="1856"/>
      <c r="O218" s="1856"/>
      <c r="P218" s="1856"/>
      <c r="Q218" s="1856"/>
      <c r="R218" s="1856"/>
      <c r="S218" s="1856"/>
      <c r="T218" s="1856"/>
      <c r="U218" s="1856"/>
      <c r="V218" s="1865" t="s">
        <v>1479</v>
      </c>
      <c r="W218" s="1865"/>
      <c r="X218" s="1865"/>
      <c r="Y218" s="1851"/>
      <c r="Z218" s="1851"/>
      <c r="AA218" s="1851"/>
      <c r="AB218" s="1851"/>
      <c r="AC218" s="1851"/>
      <c r="AD218" s="1851"/>
      <c r="AE218" s="1851"/>
      <c r="AF218" s="1851"/>
      <c r="AG218" s="1851"/>
      <c r="AH218" s="1851"/>
      <c r="AI218" s="1851"/>
      <c r="AJ218" s="1851"/>
      <c r="AK218" s="1851"/>
      <c r="AL218" s="1851"/>
      <c r="AM218" s="1851"/>
      <c r="AN218" s="1851"/>
      <c r="AO218" s="1851"/>
      <c r="AP218" s="1851"/>
      <c r="AQ218" s="1851"/>
      <c r="AR218" s="1851"/>
      <c r="AS218" s="1851"/>
      <c r="AT218" s="1851"/>
      <c r="AU218" s="1851"/>
      <c r="AV218" s="1851"/>
      <c r="AW218" s="1851"/>
      <c r="AX218" s="1851"/>
      <c r="AY218" s="1851"/>
      <c r="AZ218" s="1851"/>
      <c r="BA218" s="1851"/>
      <c r="BB218" s="1851"/>
    </row>
    <row r="219" spans="1:54" x14ac:dyDescent="0.25">
      <c r="A219" s="1880" t="s">
        <v>1480</v>
      </c>
      <c r="B219" s="1881"/>
      <c r="C219" s="1856" t="s">
        <v>1481</v>
      </c>
      <c r="D219" s="1856"/>
      <c r="E219" s="1856"/>
      <c r="F219" s="1856"/>
      <c r="G219" s="1856"/>
      <c r="H219" s="1856"/>
      <c r="I219" s="1856"/>
      <c r="J219" s="1856"/>
      <c r="K219" s="1856"/>
      <c r="L219" s="1856"/>
      <c r="M219" s="1856"/>
      <c r="N219" s="1856"/>
      <c r="O219" s="1856"/>
      <c r="P219" s="1856"/>
      <c r="Q219" s="1856"/>
      <c r="R219" s="1856"/>
      <c r="S219" s="1856"/>
      <c r="T219" s="1856"/>
      <c r="U219" s="1856"/>
      <c r="V219" s="1865" t="s">
        <v>1482</v>
      </c>
      <c r="W219" s="1865"/>
      <c r="X219" s="1865"/>
      <c r="Y219" s="1851"/>
      <c r="Z219" s="1851"/>
      <c r="AA219" s="1851"/>
      <c r="AB219" s="1851"/>
      <c r="AC219" s="1851"/>
      <c r="AD219" s="1851"/>
      <c r="AE219" s="1851"/>
      <c r="AF219" s="1851"/>
      <c r="AG219" s="1851"/>
      <c r="AH219" s="1851"/>
      <c r="AI219" s="1851"/>
      <c r="AJ219" s="1851"/>
      <c r="AK219" s="1851"/>
      <c r="AL219" s="1851"/>
      <c r="AM219" s="1851"/>
      <c r="AN219" s="1851"/>
      <c r="AO219" s="1851"/>
      <c r="AP219" s="1851"/>
      <c r="AQ219" s="1851"/>
      <c r="AR219" s="1851"/>
      <c r="AS219" s="1851"/>
      <c r="AT219" s="1851"/>
      <c r="AU219" s="1851"/>
      <c r="AV219" s="1851"/>
      <c r="AW219" s="1851"/>
      <c r="AX219" s="1851"/>
      <c r="AY219" s="1851"/>
      <c r="AZ219" s="1851"/>
      <c r="BA219" s="1851"/>
      <c r="BB219" s="1851"/>
    </row>
    <row r="220" spans="1:54" x14ac:dyDescent="0.25">
      <c r="A220" s="1880" t="s">
        <v>1483</v>
      </c>
      <c r="B220" s="1881"/>
      <c r="C220" s="1856" t="s">
        <v>1484</v>
      </c>
      <c r="D220" s="1856"/>
      <c r="E220" s="1856"/>
      <c r="F220" s="1856"/>
      <c r="G220" s="1856"/>
      <c r="H220" s="1856"/>
      <c r="I220" s="1856"/>
      <c r="J220" s="1856"/>
      <c r="K220" s="1856"/>
      <c r="L220" s="1856"/>
      <c r="M220" s="1856"/>
      <c r="N220" s="1856"/>
      <c r="O220" s="1856"/>
      <c r="P220" s="1856"/>
      <c r="Q220" s="1856"/>
      <c r="R220" s="1856"/>
      <c r="S220" s="1856"/>
      <c r="T220" s="1856"/>
      <c r="U220" s="1856"/>
      <c r="V220" s="1865" t="s">
        <v>1482</v>
      </c>
      <c r="W220" s="1865"/>
      <c r="X220" s="1865"/>
      <c r="Y220" s="1851"/>
      <c r="Z220" s="1851"/>
      <c r="AA220" s="1851"/>
      <c r="AB220" s="1851"/>
      <c r="AC220" s="1851"/>
      <c r="AD220" s="1851"/>
      <c r="AE220" s="1851"/>
      <c r="AF220" s="1851"/>
      <c r="AG220" s="1851"/>
      <c r="AH220" s="1851"/>
      <c r="AI220" s="1851"/>
      <c r="AJ220" s="1851"/>
      <c r="AK220" s="1851"/>
      <c r="AL220" s="1851"/>
      <c r="AM220" s="1851"/>
      <c r="AN220" s="1851"/>
      <c r="AO220" s="1851"/>
      <c r="AP220" s="1851"/>
      <c r="AQ220" s="1851"/>
      <c r="AR220" s="1851"/>
      <c r="AS220" s="1851"/>
      <c r="AT220" s="1851"/>
      <c r="AU220" s="1851"/>
      <c r="AV220" s="1851"/>
      <c r="AW220" s="1851"/>
      <c r="AX220" s="1851"/>
      <c r="AY220" s="1851"/>
      <c r="AZ220" s="1851"/>
      <c r="BA220" s="1851"/>
      <c r="BB220" s="1851"/>
    </row>
    <row r="221" spans="1:54" x14ac:dyDescent="0.25">
      <c r="A221" s="1880" t="s">
        <v>1485</v>
      </c>
      <c r="B221" s="1881"/>
      <c r="C221" s="1856" t="s">
        <v>140</v>
      </c>
      <c r="D221" s="1856"/>
      <c r="E221" s="1856"/>
      <c r="F221" s="1856"/>
      <c r="G221" s="1856"/>
      <c r="H221" s="1856"/>
      <c r="I221" s="1856"/>
      <c r="J221" s="1856"/>
      <c r="K221" s="1856"/>
      <c r="L221" s="1856"/>
      <c r="M221" s="1856"/>
      <c r="N221" s="1856"/>
      <c r="O221" s="1856"/>
      <c r="P221" s="1856"/>
      <c r="Q221" s="1856"/>
      <c r="R221" s="1856"/>
      <c r="S221" s="1856"/>
      <c r="T221" s="1856"/>
      <c r="U221" s="1856"/>
      <c r="V221" s="1865" t="s">
        <v>1486</v>
      </c>
      <c r="W221" s="1865"/>
      <c r="X221" s="1865"/>
      <c r="Y221" s="1851"/>
      <c r="Z221" s="1851"/>
      <c r="AA221" s="1851"/>
      <c r="AB221" s="1851"/>
      <c r="AC221" s="1851"/>
      <c r="AD221" s="1851"/>
      <c r="AE221" s="1851"/>
      <c r="AF221" s="1851"/>
      <c r="AG221" s="1851"/>
      <c r="AH221" s="1851"/>
      <c r="AI221" s="1851"/>
      <c r="AJ221" s="1851"/>
      <c r="AK221" s="1851"/>
      <c r="AL221" s="1851"/>
      <c r="AM221" s="1851"/>
      <c r="AN221" s="1851"/>
      <c r="AO221" s="1851"/>
      <c r="AP221" s="1851"/>
      <c r="AQ221" s="1851"/>
      <c r="AR221" s="1851"/>
      <c r="AS221" s="1851"/>
      <c r="AT221" s="1851"/>
      <c r="AU221" s="1851"/>
      <c r="AV221" s="1851"/>
      <c r="AW221" s="1851"/>
      <c r="AX221" s="1851"/>
      <c r="AY221" s="1851"/>
      <c r="AZ221" s="1851"/>
      <c r="BA221" s="1851"/>
      <c r="BB221" s="1851"/>
    </row>
    <row r="222" spans="1:54" x14ac:dyDescent="0.25">
      <c r="A222" s="1878" t="s">
        <v>1487</v>
      </c>
      <c r="B222" s="1879"/>
      <c r="C222" s="1855" t="s">
        <v>1488</v>
      </c>
      <c r="D222" s="1855"/>
      <c r="E222" s="1855"/>
      <c r="F222" s="1855"/>
      <c r="G222" s="1855"/>
      <c r="H222" s="1855"/>
      <c r="I222" s="1855"/>
      <c r="J222" s="1855"/>
      <c r="K222" s="1855"/>
      <c r="L222" s="1855"/>
      <c r="M222" s="1855"/>
      <c r="N222" s="1855"/>
      <c r="O222" s="1855"/>
      <c r="P222" s="1855"/>
      <c r="Q222" s="1855"/>
      <c r="R222" s="1855"/>
      <c r="S222" s="1855"/>
      <c r="T222" s="1855"/>
      <c r="U222" s="1855"/>
      <c r="V222" s="1864" t="s">
        <v>1489</v>
      </c>
      <c r="W222" s="1864"/>
      <c r="X222" s="1864"/>
      <c r="Y222" s="1857"/>
      <c r="Z222" s="1877"/>
      <c r="AA222" s="1877"/>
      <c r="AB222" s="1877"/>
      <c r="AC222" s="1859"/>
      <c r="AD222" s="1859"/>
      <c r="AE222" s="1857"/>
      <c r="AF222" s="1877"/>
      <c r="AG222" s="1877"/>
      <c r="AH222" s="1877"/>
      <c r="AI222" s="1859"/>
      <c r="AJ222" s="1859"/>
      <c r="AK222" s="1857"/>
      <c r="AL222" s="1877"/>
      <c r="AM222" s="1877"/>
      <c r="AN222" s="1877"/>
      <c r="AO222" s="1859"/>
      <c r="AP222" s="1859"/>
      <c r="AQ222" s="1857"/>
      <c r="AR222" s="1877"/>
      <c r="AS222" s="1877"/>
      <c r="AT222" s="1877"/>
      <c r="AU222" s="1859"/>
      <c r="AV222" s="1859"/>
      <c r="AW222" s="1857"/>
      <c r="AX222" s="1877"/>
      <c r="AY222" s="1877"/>
      <c r="AZ222" s="1877"/>
      <c r="BA222" s="1859"/>
      <c r="BB222" s="1859"/>
    </row>
    <row r="223" spans="1:54" x14ac:dyDescent="0.25">
      <c r="A223" s="1880" t="s">
        <v>1490</v>
      </c>
      <c r="B223" s="1881"/>
      <c r="C223" s="1856" t="s">
        <v>1491</v>
      </c>
      <c r="D223" s="1856"/>
      <c r="E223" s="1856"/>
      <c r="F223" s="1856"/>
      <c r="G223" s="1856"/>
      <c r="H223" s="1856"/>
      <c r="I223" s="1856"/>
      <c r="J223" s="1856"/>
      <c r="K223" s="1856"/>
      <c r="L223" s="1856"/>
      <c r="M223" s="1856"/>
      <c r="N223" s="1856"/>
      <c r="O223" s="1856"/>
      <c r="P223" s="1856"/>
      <c r="Q223" s="1856"/>
      <c r="R223" s="1856"/>
      <c r="S223" s="1856"/>
      <c r="T223" s="1856"/>
      <c r="U223" s="1856"/>
      <c r="V223" s="1865" t="s">
        <v>1492</v>
      </c>
      <c r="W223" s="1865"/>
      <c r="X223" s="1865"/>
      <c r="Y223" s="1851"/>
      <c r="Z223" s="1851"/>
      <c r="AA223" s="1851"/>
      <c r="AB223" s="1851"/>
      <c r="AC223" s="1851"/>
      <c r="AD223" s="1851"/>
      <c r="AE223" s="1851"/>
      <c r="AF223" s="1851"/>
      <c r="AG223" s="1851"/>
      <c r="AH223" s="1851"/>
      <c r="AI223" s="1851"/>
      <c r="AJ223" s="1851"/>
      <c r="AK223" s="1851"/>
      <c r="AL223" s="1851"/>
      <c r="AM223" s="1851"/>
      <c r="AN223" s="1851"/>
      <c r="AO223" s="1851"/>
      <c r="AP223" s="1851"/>
      <c r="AQ223" s="1851"/>
      <c r="AR223" s="1851"/>
      <c r="AS223" s="1851"/>
      <c r="AT223" s="1851"/>
      <c r="AU223" s="1851"/>
      <c r="AV223" s="1851"/>
      <c r="AW223" s="1851"/>
      <c r="AX223" s="1851"/>
      <c r="AY223" s="1851"/>
      <c r="AZ223" s="1851"/>
      <c r="BA223" s="1851"/>
      <c r="BB223" s="1851"/>
    </row>
    <row r="224" spans="1:54" x14ac:dyDescent="0.25">
      <c r="A224" s="1880" t="s">
        <v>1493</v>
      </c>
      <c r="B224" s="1881"/>
      <c r="C224" s="1856" t="s">
        <v>1494</v>
      </c>
      <c r="D224" s="1856"/>
      <c r="E224" s="1856"/>
      <c r="F224" s="1856"/>
      <c r="G224" s="1856"/>
      <c r="H224" s="1856"/>
      <c r="I224" s="1856"/>
      <c r="J224" s="1856"/>
      <c r="K224" s="1856"/>
      <c r="L224" s="1856"/>
      <c r="M224" s="1856"/>
      <c r="N224" s="1856"/>
      <c r="O224" s="1856"/>
      <c r="P224" s="1856"/>
      <c r="Q224" s="1856"/>
      <c r="R224" s="1856"/>
      <c r="S224" s="1856"/>
      <c r="T224" s="1856"/>
      <c r="U224" s="1856"/>
      <c r="V224" s="1865" t="s">
        <v>1495</v>
      </c>
      <c r="W224" s="1865"/>
      <c r="X224" s="1865"/>
      <c r="Y224" s="1857"/>
      <c r="Z224" s="1877"/>
      <c r="AA224" s="1877"/>
      <c r="AB224" s="1877"/>
      <c r="AC224" s="1859"/>
      <c r="AD224" s="1859"/>
      <c r="AE224" s="1857"/>
      <c r="AF224" s="1877"/>
      <c r="AG224" s="1877"/>
      <c r="AH224" s="1877"/>
      <c r="AI224" s="1859"/>
      <c r="AJ224" s="1859"/>
      <c r="AK224" s="1857"/>
      <c r="AL224" s="1877"/>
      <c r="AM224" s="1877"/>
      <c r="AN224" s="1877"/>
      <c r="AO224" s="1859"/>
      <c r="AP224" s="1859"/>
      <c r="AQ224" s="1857"/>
      <c r="AR224" s="1877"/>
      <c r="AS224" s="1877"/>
      <c r="AT224" s="1877"/>
      <c r="AU224" s="1859"/>
      <c r="AV224" s="1859"/>
      <c r="AW224" s="1857"/>
      <c r="AX224" s="1877"/>
      <c r="AY224" s="1877"/>
      <c r="AZ224" s="1877"/>
      <c r="BA224" s="1859"/>
      <c r="BB224" s="1859"/>
    </row>
    <row r="225" spans="1:54" x14ac:dyDescent="0.25">
      <c r="A225" s="1880" t="s">
        <v>1496</v>
      </c>
      <c r="B225" s="1881"/>
      <c r="C225" s="1856" t="s">
        <v>996</v>
      </c>
      <c r="D225" s="1856"/>
      <c r="E225" s="1856"/>
      <c r="F225" s="1856"/>
      <c r="G225" s="1856"/>
      <c r="H225" s="1856"/>
      <c r="I225" s="1856"/>
      <c r="J225" s="1856"/>
      <c r="K225" s="1856"/>
      <c r="L225" s="1856"/>
      <c r="M225" s="1856"/>
      <c r="N225" s="1856"/>
      <c r="O225" s="1856"/>
      <c r="P225" s="1856"/>
      <c r="Q225" s="1856"/>
      <c r="R225" s="1856"/>
      <c r="S225" s="1856"/>
      <c r="T225" s="1856"/>
      <c r="U225" s="1856"/>
      <c r="V225" s="1856" t="s">
        <v>1495</v>
      </c>
      <c r="W225" s="1856"/>
      <c r="X225" s="1856"/>
      <c r="Y225" s="1851"/>
      <c r="Z225" s="1851"/>
      <c r="AA225" s="1851"/>
      <c r="AB225" s="1851"/>
      <c r="AC225" s="1851"/>
      <c r="AD225" s="1851"/>
      <c r="AE225" s="1851"/>
      <c r="AF225" s="1851"/>
      <c r="AG225" s="1851"/>
      <c r="AH225" s="1851"/>
      <c r="AI225" s="1851"/>
      <c r="AJ225" s="1851"/>
      <c r="AK225" s="1851"/>
      <c r="AL225" s="1851"/>
      <c r="AM225" s="1851"/>
      <c r="AN225" s="1851"/>
      <c r="AO225" s="1851"/>
      <c r="AP225" s="1851"/>
      <c r="AQ225" s="1851"/>
      <c r="AR225" s="1851"/>
      <c r="AS225" s="1851"/>
      <c r="AT225" s="1851"/>
      <c r="AU225" s="1851"/>
      <c r="AV225" s="1851"/>
      <c r="AW225" s="1851"/>
      <c r="AX225" s="1851"/>
      <c r="AY225" s="1851"/>
      <c r="AZ225" s="1851"/>
      <c r="BA225" s="1851"/>
      <c r="BB225" s="1851"/>
    </row>
    <row r="226" spans="1:54" x14ac:dyDescent="0.25">
      <c r="A226" s="1880" t="s">
        <v>1497</v>
      </c>
      <c r="B226" s="1881"/>
      <c r="C226" s="1856" t="s">
        <v>997</v>
      </c>
      <c r="D226" s="1856"/>
      <c r="E226" s="1856"/>
      <c r="F226" s="1856"/>
      <c r="G226" s="1856"/>
      <c r="H226" s="1856"/>
      <c r="I226" s="1856"/>
      <c r="J226" s="1856"/>
      <c r="K226" s="1856"/>
      <c r="L226" s="1856"/>
      <c r="M226" s="1856"/>
      <c r="N226" s="1856"/>
      <c r="O226" s="1856"/>
      <c r="P226" s="1856"/>
      <c r="Q226" s="1856"/>
      <c r="R226" s="1856"/>
      <c r="S226" s="1856"/>
      <c r="T226" s="1856"/>
      <c r="U226" s="1856"/>
      <c r="V226" s="1856" t="s">
        <v>1495</v>
      </c>
      <c r="W226" s="1856"/>
      <c r="X226" s="1856"/>
      <c r="Y226" s="1851"/>
      <c r="Z226" s="1851"/>
      <c r="AA226" s="1851"/>
      <c r="AB226" s="1851"/>
      <c r="AC226" s="1851"/>
      <c r="AD226" s="1851"/>
      <c r="AE226" s="1851"/>
      <c r="AF226" s="1851"/>
      <c r="AG226" s="1851"/>
      <c r="AH226" s="1851"/>
      <c r="AI226" s="1851"/>
      <c r="AJ226" s="1851"/>
      <c r="AK226" s="1851"/>
      <c r="AL226" s="1851"/>
      <c r="AM226" s="1851"/>
      <c r="AN226" s="1851"/>
      <c r="AO226" s="1851"/>
      <c r="AP226" s="1851"/>
      <c r="AQ226" s="1851"/>
      <c r="AR226" s="1851"/>
      <c r="AS226" s="1851"/>
      <c r="AT226" s="1851"/>
      <c r="AU226" s="1851"/>
      <c r="AV226" s="1851"/>
      <c r="AW226" s="1851"/>
      <c r="AX226" s="1851"/>
      <c r="AY226" s="1851"/>
      <c r="AZ226" s="1851"/>
      <c r="BA226" s="1851"/>
      <c r="BB226" s="1851"/>
    </row>
    <row r="227" spans="1:54" x14ac:dyDescent="0.25">
      <c r="A227" s="1880" t="s">
        <v>1498</v>
      </c>
      <c r="B227" s="1881"/>
      <c r="C227" s="1856" t="s">
        <v>998</v>
      </c>
      <c r="D227" s="1856"/>
      <c r="E227" s="1856"/>
      <c r="F227" s="1856"/>
      <c r="G227" s="1856"/>
      <c r="H227" s="1856"/>
      <c r="I227" s="1856"/>
      <c r="J227" s="1856"/>
      <c r="K227" s="1856"/>
      <c r="L227" s="1856"/>
      <c r="M227" s="1856"/>
      <c r="N227" s="1856"/>
      <c r="O227" s="1856"/>
      <c r="P227" s="1856"/>
      <c r="Q227" s="1856"/>
      <c r="R227" s="1856"/>
      <c r="S227" s="1856"/>
      <c r="T227" s="1856"/>
      <c r="U227" s="1856"/>
      <c r="V227" s="1856" t="s">
        <v>1495</v>
      </c>
      <c r="W227" s="1856"/>
      <c r="X227" s="1856"/>
      <c r="Y227" s="1851"/>
      <c r="Z227" s="1851"/>
      <c r="AA227" s="1851"/>
      <c r="AB227" s="1851"/>
      <c r="AC227" s="1851"/>
      <c r="AD227" s="1851"/>
      <c r="AE227" s="1851"/>
      <c r="AF227" s="1851"/>
      <c r="AG227" s="1851"/>
      <c r="AH227" s="1851"/>
      <c r="AI227" s="1851"/>
      <c r="AJ227" s="1851"/>
      <c r="AK227" s="1851"/>
      <c r="AL227" s="1851"/>
      <c r="AM227" s="1851"/>
      <c r="AN227" s="1851"/>
      <c r="AO227" s="1851"/>
      <c r="AP227" s="1851"/>
      <c r="AQ227" s="1851"/>
      <c r="AR227" s="1851"/>
      <c r="AS227" s="1851"/>
      <c r="AT227" s="1851"/>
      <c r="AU227" s="1851"/>
      <c r="AV227" s="1851"/>
      <c r="AW227" s="1851"/>
      <c r="AX227" s="1851"/>
      <c r="AY227" s="1851"/>
      <c r="AZ227" s="1851"/>
      <c r="BA227" s="1851"/>
      <c r="BB227" s="1851"/>
    </row>
    <row r="228" spans="1:54" x14ac:dyDescent="0.25">
      <c r="A228" s="1880" t="s">
        <v>1499</v>
      </c>
      <c r="B228" s="1881"/>
      <c r="C228" s="1856" t="s">
        <v>999</v>
      </c>
      <c r="D228" s="1856"/>
      <c r="E228" s="1856"/>
      <c r="F228" s="1856"/>
      <c r="G228" s="1856"/>
      <c r="H228" s="1856"/>
      <c r="I228" s="1856"/>
      <c r="J228" s="1856"/>
      <c r="K228" s="1856"/>
      <c r="L228" s="1856"/>
      <c r="M228" s="1856"/>
      <c r="N228" s="1856"/>
      <c r="O228" s="1856"/>
      <c r="P228" s="1856"/>
      <c r="Q228" s="1856"/>
      <c r="R228" s="1856"/>
      <c r="S228" s="1856"/>
      <c r="T228" s="1856"/>
      <c r="U228" s="1856"/>
      <c r="V228" s="1856" t="s">
        <v>1495</v>
      </c>
      <c r="W228" s="1856"/>
      <c r="X228" s="1856"/>
      <c r="Y228" s="1851"/>
      <c r="Z228" s="1851"/>
      <c r="AA228" s="1851"/>
      <c r="AB228" s="1851"/>
      <c r="AC228" s="1851"/>
      <c r="AD228" s="1851"/>
      <c r="AE228" s="1851"/>
      <c r="AF228" s="1851"/>
      <c r="AG228" s="1851"/>
      <c r="AH228" s="1851"/>
      <c r="AI228" s="1851"/>
      <c r="AJ228" s="1851"/>
      <c r="AK228" s="1851"/>
      <c r="AL228" s="1851"/>
      <c r="AM228" s="1851"/>
      <c r="AN228" s="1851"/>
      <c r="AO228" s="1851"/>
      <c r="AP228" s="1851"/>
      <c r="AQ228" s="1851"/>
      <c r="AR228" s="1851"/>
      <c r="AS228" s="1851"/>
      <c r="AT228" s="1851"/>
      <c r="AU228" s="1851"/>
      <c r="AV228" s="1851"/>
      <c r="AW228" s="1851"/>
      <c r="AX228" s="1851"/>
      <c r="AY228" s="1851"/>
      <c r="AZ228" s="1851"/>
      <c r="BA228" s="1851"/>
      <c r="BB228" s="1851"/>
    </row>
    <row r="229" spans="1:54" x14ac:dyDescent="0.25">
      <c r="A229" s="1880" t="s">
        <v>1500</v>
      </c>
      <c r="B229" s="1881"/>
      <c r="C229" s="1856" t="s">
        <v>1000</v>
      </c>
      <c r="D229" s="1856"/>
      <c r="E229" s="1856"/>
      <c r="F229" s="1856"/>
      <c r="G229" s="1856"/>
      <c r="H229" s="1856"/>
      <c r="I229" s="1856"/>
      <c r="J229" s="1856"/>
      <c r="K229" s="1856"/>
      <c r="L229" s="1856"/>
      <c r="M229" s="1856"/>
      <c r="N229" s="1856"/>
      <c r="O229" s="1856"/>
      <c r="P229" s="1856"/>
      <c r="Q229" s="1856"/>
      <c r="R229" s="1856"/>
      <c r="S229" s="1856"/>
      <c r="T229" s="1856"/>
      <c r="U229" s="1856"/>
      <c r="V229" s="1856" t="s">
        <v>1495</v>
      </c>
      <c r="W229" s="1856"/>
      <c r="X229" s="1856"/>
      <c r="Y229" s="1851"/>
      <c r="Z229" s="1851"/>
      <c r="AA229" s="1851"/>
      <c r="AB229" s="1851"/>
      <c r="AC229" s="1851"/>
      <c r="AD229" s="1851"/>
      <c r="AE229" s="1851"/>
      <c r="AF229" s="1851"/>
      <c r="AG229" s="1851"/>
      <c r="AH229" s="1851"/>
      <c r="AI229" s="1851"/>
      <c r="AJ229" s="1851"/>
      <c r="AK229" s="1851"/>
      <c r="AL229" s="1851"/>
      <c r="AM229" s="1851"/>
      <c r="AN229" s="1851"/>
      <c r="AO229" s="1851"/>
      <c r="AP229" s="1851"/>
      <c r="AQ229" s="1851"/>
      <c r="AR229" s="1851"/>
      <c r="AS229" s="1851"/>
      <c r="AT229" s="1851"/>
      <c r="AU229" s="1851"/>
      <c r="AV229" s="1851"/>
      <c r="AW229" s="1851"/>
      <c r="AX229" s="1851"/>
      <c r="AY229" s="1851"/>
      <c r="AZ229" s="1851"/>
      <c r="BA229" s="1851"/>
      <c r="BB229" s="1851"/>
    </row>
    <row r="230" spans="1:54" x14ac:dyDescent="0.25">
      <c r="A230" s="1880" t="s">
        <v>1501</v>
      </c>
      <c r="B230" s="1881"/>
      <c r="C230" s="1856" t="s">
        <v>1001</v>
      </c>
      <c r="D230" s="1856"/>
      <c r="E230" s="1856"/>
      <c r="F230" s="1856"/>
      <c r="G230" s="1856"/>
      <c r="H230" s="1856"/>
      <c r="I230" s="1856"/>
      <c r="J230" s="1856"/>
      <c r="K230" s="1856"/>
      <c r="L230" s="1856"/>
      <c r="M230" s="1856"/>
      <c r="N230" s="1856"/>
      <c r="O230" s="1856"/>
      <c r="P230" s="1856"/>
      <c r="Q230" s="1856"/>
      <c r="R230" s="1856"/>
      <c r="S230" s="1856"/>
      <c r="T230" s="1856"/>
      <c r="U230" s="1856"/>
      <c r="V230" s="1856" t="s">
        <v>1495</v>
      </c>
      <c r="W230" s="1856"/>
      <c r="X230" s="1856"/>
      <c r="Y230" s="1851"/>
      <c r="Z230" s="1851"/>
      <c r="AA230" s="1851"/>
      <c r="AB230" s="1851"/>
      <c r="AC230" s="1851"/>
      <c r="AD230" s="1851"/>
      <c r="AE230" s="1851"/>
      <c r="AF230" s="1851"/>
      <c r="AG230" s="1851"/>
      <c r="AH230" s="1851"/>
      <c r="AI230" s="1851"/>
      <c r="AJ230" s="1851"/>
      <c r="AK230" s="1851"/>
      <c r="AL230" s="1851"/>
      <c r="AM230" s="1851"/>
      <c r="AN230" s="1851"/>
      <c r="AO230" s="1851"/>
      <c r="AP230" s="1851"/>
      <c r="AQ230" s="1851"/>
      <c r="AR230" s="1851"/>
      <c r="AS230" s="1851"/>
      <c r="AT230" s="1851"/>
      <c r="AU230" s="1851"/>
      <c r="AV230" s="1851"/>
      <c r="AW230" s="1851"/>
      <c r="AX230" s="1851"/>
      <c r="AY230" s="1851"/>
      <c r="AZ230" s="1851"/>
      <c r="BA230" s="1851"/>
      <c r="BB230" s="1851"/>
    </row>
    <row r="231" spans="1:54" x14ac:dyDescent="0.25">
      <c r="A231" s="1880" t="s">
        <v>1502</v>
      </c>
      <c r="B231" s="1881"/>
      <c r="C231" s="1856" t="s">
        <v>1002</v>
      </c>
      <c r="D231" s="1856"/>
      <c r="E231" s="1856"/>
      <c r="F231" s="1856"/>
      <c r="G231" s="1856"/>
      <c r="H231" s="1856"/>
      <c r="I231" s="1856"/>
      <c r="J231" s="1856"/>
      <c r="K231" s="1856"/>
      <c r="L231" s="1856"/>
      <c r="M231" s="1856"/>
      <c r="N231" s="1856"/>
      <c r="O231" s="1856"/>
      <c r="P231" s="1856"/>
      <c r="Q231" s="1856"/>
      <c r="R231" s="1856"/>
      <c r="S231" s="1856"/>
      <c r="T231" s="1856"/>
      <c r="U231" s="1856"/>
      <c r="V231" s="1856" t="s">
        <v>1495</v>
      </c>
      <c r="W231" s="1856"/>
      <c r="X231" s="1856"/>
      <c r="Y231" s="1851"/>
      <c r="Z231" s="1851"/>
      <c r="AA231" s="1851"/>
      <c r="AB231" s="1851"/>
      <c r="AC231" s="1851"/>
      <c r="AD231" s="1851"/>
      <c r="AE231" s="1851"/>
      <c r="AF231" s="1851"/>
      <c r="AG231" s="1851"/>
      <c r="AH231" s="1851"/>
      <c r="AI231" s="1851"/>
      <c r="AJ231" s="1851"/>
      <c r="AK231" s="1851"/>
      <c r="AL231" s="1851"/>
      <c r="AM231" s="1851"/>
      <c r="AN231" s="1851"/>
      <c r="AO231" s="1851"/>
      <c r="AP231" s="1851"/>
      <c r="AQ231" s="1851"/>
      <c r="AR231" s="1851"/>
      <c r="AS231" s="1851"/>
      <c r="AT231" s="1851"/>
      <c r="AU231" s="1851"/>
      <c r="AV231" s="1851"/>
      <c r="AW231" s="1851"/>
      <c r="AX231" s="1851"/>
      <c r="AY231" s="1851"/>
      <c r="AZ231" s="1851"/>
      <c r="BA231" s="1851"/>
      <c r="BB231" s="1851"/>
    </row>
    <row r="232" spans="1:54" x14ac:dyDescent="0.25">
      <c r="A232" s="1880" t="s">
        <v>1503</v>
      </c>
      <c r="B232" s="1881"/>
      <c r="C232" s="1856" t="s">
        <v>1003</v>
      </c>
      <c r="D232" s="1856"/>
      <c r="E232" s="1856"/>
      <c r="F232" s="1856"/>
      <c r="G232" s="1856"/>
      <c r="H232" s="1856"/>
      <c r="I232" s="1856"/>
      <c r="J232" s="1856"/>
      <c r="K232" s="1856"/>
      <c r="L232" s="1856"/>
      <c r="M232" s="1856"/>
      <c r="N232" s="1856"/>
      <c r="O232" s="1856"/>
      <c r="P232" s="1856"/>
      <c r="Q232" s="1856"/>
      <c r="R232" s="1856"/>
      <c r="S232" s="1856"/>
      <c r="T232" s="1856"/>
      <c r="U232" s="1856"/>
      <c r="V232" s="1856" t="s">
        <v>1495</v>
      </c>
      <c r="W232" s="1856"/>
      <c r="X232" s="1856"/>
      <c r="Y232" s="1851"/>
      <c r="Z232" s="1851"/>
      <c r="AA232" s="1851"/>
      <c r="AB232" s="1851"/>
      <c r="AC232" s="1851"/>
      <c r="AD232" s="1851"/>
      <c r="AE232" s="1851"/>
      <c r="AF232" s="1851"/>
      <c r="AG232" s="1851"/>
      <c r="AH232" s="1851"/>
      <c r="AI232" s="1851"/>
      <c r="AJ232" s="1851"/>
      <c r="AK232" s="1851"/>
      <c r="AL232" s="1851"/>
      <c r="AM232" s="1851"/>
      <c r="AN232" s="1851"/>
      <c r="AO232" s="1851"/>
      <c r="AP232" s="1851"/>
      <c r="AQ232" s="1851"/>
      <c r="AR232" s="1851"/>
      <c r="AS232" s="1851"/>
      <c r="AT232" s="1851"/>
      <c r="AU232" s="1851"/>
      <c r="AV232" s="1851"/>
      <c r="AW232" s="1851"/>
      <c r="AX232" s="1851"/>
      <c r="AY232" s="1851"/>
      <c r="AZ232" s="1851"/>
      <c r="BA232" s="1851"/>
      <c r="BB232" s="1851"/>
    </row>
    <row r="233" spans="1:54" x14ac:dyDescent="0.25">
      <c r="A233" s="1880" t="s">
        <v>1504</v>
      </c>
      <c r="B233" s="1881"/>
      <c r="C233" s="1856" t="s">
        <v>1004</v>
      </c>
      <c r="D233" s="1856"/>
      <c r="E233" s="1856"/>
      <c r="F233" s="1856"/>
      <c r="G233" s="1856"/>
      <c r="H233" s="1856"/>
      <c r="I233" s="1856"/>
      <c r="J233" s="1856"/>
      <c r="K233" s="1856"/>
      <c r="L233" s="1856"/>
      <c r="M233" s="1856"/>
      <c r="N233" s="1856"/>
      <c r="O233" s="1856"/>
      <c r="P233" s="1856"/>
      <c r="Q233" s="1856"/>
      <c r="R233" s="1856"/>
      <c r="S233" s="1856"/>
      <c r="T233" s="1856"/>
      <c r="U233" s="1856"/>
      <c r="V233" s="1856" t="s">
        <v>1495</v>
      </c>
      <c r="W233" s="1856"/>
      <c r="X233" s="1856"/>
      <c r="Y233" s="1851"/>
      <c r="Z233" s="1851"/>
      <c r="AA233" s="1851"/>
      <c r="AB233" s="1851"/>
      <c r="AC233" s="1851"/>
      <c r="AD233" s="1851"/>
      <c r="AE233" s="1851"/>
      <c r="AF233" s="1851"/>
      <c r="AG233" s="1851"/>
      <c r="AH233" s="1851"/>
      <c r="AI233" s="1851"/>
      <c r="AJ233" s="1851"/>
      <c r="AK233" s="1851"/>
      <c r="AL233" s="1851"/>
      <c r="AM233" s="1851"/>
      <c r="AN233" s="1851"/>
      <c r="AO233" s="1851"/>
      <c r="AP233" s="1851"/>
      <c r="AQ233" s="1851"/>
      <c r="AR233" s="1851"/>
      <c r="AS233" s="1851"/>
      <c r="AT233" s="1851"/>
      <c r="AU233" s="1851"/>
      <c r="AV233" s="1851"/>
      <c r="AW233" s="1851"/>
      <c r="AX233" s="1851"/>
      <c r="AY233" s="1851"/>
      <c r="AZ233" s="1851"/>
      <c r="BA233" s="1851"/>
      <c r="BB233" s="1851"/>
    </row>
    <row r="234" spans="1:54" x14ac:dyDescent="0.25">
      <c r="A234" s="1880" t="s">
        <v>1505</v>
      </c>
      <c r="B234" s="1881"/>
      <c r="C234" s="1856" t="s">
        <v>1005</v>
      </c>
      <c r="D234" s="1856"/>
      <c r="E234" s="1856"/>
      <c r="F234" s="1856"/>
      <c r="G234" s="1856"/>
      <c r="H234" s="1856"/>
      <c r="I234" s="1856"/>
      <c r="J234" s="1856"/>
      <c r="K234" s="1856"/>
      <c r="L234" s="1856"/>
      <c r="M234" s="1856"/>
      <c r="N234" s="1856"/>
      <c r="O234" s="1856"/>
      <c r="P234" s="1856"/>
      <c r="Q234" s="1856"/>
      <c r="R234" s="1856"/>
      <c r="S234" s="1856"/>
      <c r="T234" s="1856"/>
      <c r="U234" s="1856"/>
      <c r="V234" s="1856" t="s">
        <v>1495</v>
      </c>
      <c r="W234" s="1856"/>
      <c r="X234" s="1856"/>
      <c r="Y234" s="1851"/>
      <c r="Z234" s="1851"/>
      <c r="AA234" s="1851"/>
      <c r="AB234" s="1851"/>
      <c r="AC234" s="1851"/>
      <c r="AD234" s="1851"/>
      <c r="AE234" s="1851"/>
      <c r="AF234" s="1851"/>
      <c r="AG234" s="1851"/>
      <c r="AH234" s="1851"/>
      <c r="AI234" s="1851"/>
      <c r="AJ234" s="1851"/>
      <c r="AK234" s="1851"/>
      <c r="AL234" s="1851"/>
      <c r="AM234" s="1851"/>
      <c r="AN234" s="1851"/>
      <c r="AO234" s="1851"/>
      <c r="AP234" s="1851"/>
      <c r="AQ234" s="1851"/>
      <c r="AR234" s="1851"/>
      <c r="AS234" s="1851"/>
      <c r="AT234" s="1851"/>
      <c r="AU234" s="1851"/>
      <c r="AV234" s="1851"/>
      <c r="AW234" s="1851"/>
      <c r="AX234" s="1851"/>
      <c r="AY234" s="1851"/>
      <c r="AZ234" s="1851"/>
      <c r="BA234" s="1851"/>
      <c r="BB234" s="1851"/>
    </row>
    <row r="235" spans="1:54" x14ac:dyDescent="0.25">
      <c r="A235" s="1880" t="s">
        <v>1506</v>
      </c>
      <c r="B235" s="1881"/>
      <c r="C235" s="1856" t="s">
        <v>1006</v>
      </c>
      <c r="D235" s="1856"/>
      <c r="E235" s="1856"/>
      <c r="F235" s="1856"/>
      <c r="G235" s="1856"/>
      <c r="H235" s="1856"/>
      <c r="I235" s="1856"/>
      <c r="J235" s="1856"/>
      <c r="K235" s="1856"/>
      <c r="L235" s="1856"/>
      <c r="M235" s="1856"/>
      <c r="N235" s="1856"/>
      <c r="O235" s="1856"/>
      <c r="P235" s="1856"/>
      <c r="Q235" s="1856"/>
      <c r="R235" s="1856"/>
      <c r="S235" s="1856"/>
      <c r="T235" s="1856"/>
      <c r="U235" s="1856"/>
      <c r="V235" s="1856" t="s">
        <v>1495</v>
      </c>
      <c r="W235" s="1856"/>
      <c r="X235" s="1856"/>
      <c r="Y235" s="1851"/>
      <c r="Z235" s="1851"/>
      <c r="AA235" s="1851"/>
      <c r="AB235" s="1851"/>
      <c r="AC235" s="1851"/>
      <c r="AD235" s="1851"/>
      <c r="AE235" s="1851"/>
      <c r="AF235" s="1851"/>
      <c r="AG235" s="1851"/>
      <c r="AH235" s="1851"/>
      <c r="AI235" s="1851"/>
      <c r="AJ235" s="1851"/>
      <c r="AK235" s="1851"/>
      <c r="AL235" s="1851"/>
      <c r="AM235" s="1851"/>
      <c r="AN235" s="1851"/>
      <c r="AO235" s="1851"/>
      <c r="AP235" s="1851"/>
      <c r="AQ235" s="1851"/>
      <c r="AR235" s="1851"/>
      <c r="AS235" s="1851"/>
      <c r="AT235" s="1851"/>
      <c r="AU235" s="1851"/>
      <c r="AV235" s="1851"/>
      <c r="AW235" s="1851"/>
      <c r="AX235" s="1851"/>
      <c r="AY235" s="1851"/>
      <c r="AZ235" s="1851"/>
      <c r="BA235" s="1851"/>
      <c r="BB235" s="1851"/>
    </row>
    <row r="236" spans="1:54" x14ac:dyDescent="0.25">
      <c r="A236" s="1880" t="s">
        <v>1507</v>
      </c>
      <c r="B236" s="1881"/>
      <c r="C236" s="1856" t="s">
        <v>1508</v>
      </c>
      <c r="D236" s="1856"/>
      <c r="E236" s="1856"/>
      <c r="F236" s="1856"/>
      <c r="G236" s="1856"/>
      <c r="H236" s="1856"/>
      <c r="I236" s="1856"/>
      <c r="J236" s="1856"/>
      <c r="K236" s="1856"/>
      <c r="L236" s="1856"/>
      <c r="M236" s="1856"/>
      <c r="N236" s="1856"/>
      <c r="O236" s="1856"/>
      <c r="P236" s="1856"/>
      <c r="Q236" s="1856"/>
      <c r="R236" s="1856"/>
      <c r="S236" s="1856"/>
      <c r="T236" s="1856"/>
      <c r="U236" s="1856"/>
      <c r="V236" s="1865" t="s">
        <v>1509</v>
      </c>
      <c r="W236" s="1865"/>
      <c r="X236" s="1865"/>
      <c r="Y236" s="1857"/>
      <c r="Z236" s="1877"/>
      <c r="AA236" s="1877"/>
      <c r="AB236" s="1877"/>
      <c r="AC236" s="1859"/>
      <c r="AD236" s="1859"/>
      <c r="AE236" s="1857"/>
      <c r="AF236" s="1877"/>
      <c r="AG236" s="1877"/>
      <c r="AH236" s="1877"/>
      <c r="AI236" s="1859"/>
      <c r="AJ236" s="1859"/>
      <c r="AK236" s="1857"/>
      <c r="AL236" s="1877"/>
      <c r="AM236" s="1877"/>
      <c r="AN236" s="1877"/>
      <c r="AO236" s="1859"/>
      <c r="AP236" s="1859"/>
      <c r="AQ236" s="1857"/>
      <c r="AR236" s="1877"/>
      <c r="AS236" s="1877"/>
      <c r="AT236" s="1877"/>
      <c r="AU236" s="1859"/>
      <c r="AV236" s="1859"/>
      <c r="AW236" s="1857"/>
      <c r="AX236" s="1877"/>
      <c r="AY236" s="1877"/>
      <c r="AZ236" s="1877"/>
      <c r="BA236" s="1859"/>
      <c r="BB236" s="1859"/>
    </row>
    <row r="237" spans="1:54" x14ac:dyDescent="0.25">
      <c r="A237" s="1880" t="s">
        <v>1510</v>
      </c>
      <c r="B237" s="1881"/>
      <c r="C237" s="1856" t="s">
        <v>996</v>
      </c>
      <c r="D237" s="1856"/>
      <c r="E237" s="1856"/>
      <c r="F237" s="1856"/>
      <c r="G237" s="1856"/>
      <c r="H237" s="1856"/>
      <c r="I237" s="1856"/>
      <c r="J237" s="1856"/>
      <c r="K237" s="1856"/>
      <c r="L237" s="1856"/>
      <c r="M237" s="1856"/>
      <c r="N237" s="1856"/>
      <c r="O237" s="1856"/>
      <c r="P237" s="1856"/>
      <c r="Q237" s="1856"/>
      <c r="R237" s="1856"/>
      <c r="S237" s="1856"/>
      <c r="T237" s="1856"/>
      <c r="U237" s="1856"/>
      <c r="V237" s="1856" t="s">
        <v>1509</v>
      </c>
      <c r="W237" s="1856"/>
      <c r="X237" s="1856"/>
      <c r="Y237" s="1851"/>
      <c r="Z237" s="1851"/>
      <c r="AA237" s="1851"/>
      <c r="AB237" s="1851"/>
      <c r="AC237" s="1851"/>
      <c r="AD237" s="1851"/>
      <c r="AE237" s="1851"/>
      <c r="AF237" s="1851"/>
      <c r="AG237" s="1851"/>
      <c r="AH237" s="1851"/>
      <c r="AI237" s="1851"/>
      <c r="AJ237" s="1851"/>
      <c r="AK237" s="1851"/>
      <c r="AL237" s="1851"/>
      <c r="AM237" s="1851"/>
      <c r="AN237" s="1851"/>
      <c r="AO237" s="1851"/>
      <c r="AP237" s="1851"/>
      <c r="AQ237" s="1851"/>
      <c r="AR237" s="1851"/>
      <c r="AS237" s="1851"/>
      <c r="AT237" s="1851"/>
      <c r="AU237" s="1851"/>
      <c r="AV237" s="1851"/>
      <c r="AW237" s="1851"/>
      <c r="AX237" s="1851"/>
      <c r="AY237" s="1851"/>
      <c r="AZ237" s="1851"/>
      <c r="BA237" s="1851"/>
      <c r="BB237" s="1851"/>
    </row>
    <row r="238" spans="1:54" x14ac:dyDescent="0.25">
      <c r="A238" s="1880" t="s">
        <v>1511</v>
      </c>
      <c r="B238" s="1881"/>
      <c r="C238" s="1856" t="s">
        <v>997</v>
      </c>
      <c r="D238" s="1856"/>
      <c r="E238" s="1856"/>
      <c r="F238" s="1856"/>
      <c r="G238" s="1856"/>
      <c r="H238" s="1856"/>
      <c r="I238" s="1856"/>
      <c r="J238" s="1856"/>
      <c r="K238" s="1856"/>
      <c r="L238" s="1856"/>
      <c r="M238" s="1856"/>
      <c r="N238" s="1856"/>
      <c r="O238" s="1856"/>
      <c r="P238" s="1856"/>
      <c r="Q238" s="1856"/>
      <c r="R238" s="1856"/>
      <c r="S238" s="1856"/>
      <c r="T238" s="1856"/>
      <c r="U238" s="1856"/>
      <c r="V238" s="1856" t="s">
        <v>1509</v>
      </c>
      <c r="W238" s="1856"/>
      <c r="X238" s="1856"/>
      <c r="Y238" s="1851"/>
      <c r="Z238" s="1851"/>
      <c r="AA238" s="1851"/>
      <c r="AB238" s="1851"/>
      <c r="AC238" s="1851"/>
      <c r="AD238" s="1851"/>
      <c r="AE238" s="1851"/>
      <c r="AF238" s="1851"/>
      <c r="AG238" s="1851"/>
      <c r="AH238" s="1851"/>
      <c r="AI238" s="1851"/>
      <c r="AJ238" s="1851"/>
      <c r="AK238" s="1851"/>
      <c r="AL238" s="1851"/>
      <c r="AM238" s="1851"/>
      <c r="AN238" s="1851"/>
      <c r="AO238" s="1851"/>
      <c r="AP238" s="1851"/>
      <c r="AQ238" s="1851"/>
      <c r="AR238" s="1851"/>
      <c r="AS238" s="1851"/>
      <c r="AT238" s="1851"/>
      <c r="AU238" s="1851"/>
      <c r="AV238" s="1851"/>
      <c r="AW238" s="1851"/>
      <c r="AX238" s="1851"/>
      <c r="AY238" s="1851"/>
      <c r="AZ238" s="1851"/>
      <c r="BA238" s="1851"/>
      <c r="BB238" s="1851"/>
    </row>
    <row r="239" spans="1:54" x14ac:dyDescent="0.25">
      <c r="A239" s="1880" t="s">
        <v>1512</v>
      </c>
      <c r="B239" s="1881"/>
      <c r="C239" s="1856" t="s">
        <v>998</v>
      </c>
      <c r="D239" s="1856"/>
      <c r="E239" s="1856"/>
      <c r="F239" s="1856"/>
      <c r="G239" s="1856"/>
      <c r="H239" s="1856"/>
      <c r="I239" s="1856"/>
      <c r="J239" s="1856"/>
      <c r="K239" s="1856"/>
      <c r="L239" s="1856"/>
      <c r="M239" s="1856"/>
      <c r="N239" s="1856"/>
      <c r="O239" s="1856"/>
      <c r="P239" s="1856"/>
      <c r="Q239" s="1856"/>
      <c r="R239" s="1856"/>
      <c r="S239" s="1856"/>
      <c r="T239" s="1856"/>
      <c r="U239" s="1856"/>
      <c r="V239" s="1856" t="s">
        <v>1509</v>
      </c>
      <c r="W239" s="1856"/>
      <c r="X239" s="1856"/>
      <c r="Y239" s="1851"/>
      <c r="Z239" s="1851"/>
      <c r="AA239" s="1851"/>
      <c r="AB239" s="1851"/>
      <c r="AC239" s="1851"/>
      <c r="AD239" s="1851"/>
      <c r="AE239" s="1851"/>
      <c r="AF239" s="1851"/>
      <c r="AG239" s="1851"/>
      <c r="AH239" s="1851"/>
      <c r="AI239" s="1851"/>
      <c r="AJ239" s="1851"/>
      <c r="AK239" s="1851"/>
      <c r="AL239" s="1851"/>
      <c r="AM239" s="1851"/>
      <c r="AN239" s="1851"/>
      <c r="AO239" s="1851"/>
      <c r="AP239" s="1851"/>
      <c r="AQ239" s="1851"/>
      <c r="AR239" s="1851"/>
      <c r="AS239" s="1851"/>
      <c r="AT239" s="1851"/>
      <c r="AU239" s="1851"/>
      <c r="AV239" s="1851"/>
      <c r="AW239" s="1851"/>
      <c r="AX239" s="1851"/>
      <c r="AY239" s="1851"/>
      <c r="AZ239" s="1851"/>
      <c r="BA239" s="1851"/>
      <c r="BB239" s="1851"/>
    </row>
    <row r="240" spans="1:54" x14ac:dyDescent="0.25">
      <c r="A240" s="1880" t="s">
        <v>1513</v>
      </c>
      <c r="B240" s="1881"/>
      <c r="C240" s="1856" t="s">
        <v>999</v>
      </c>
      <c r="D240" s="1856"/>
      <c r="E240" s="1856"/>
      <c r="F240" s="1856"/>
      <c r="G240" s="1856"/>
      <c r="H240" s="1856"/>
      <c r="I240" s="1856"/>
      <c r="J240" s="1856"/>
      <c r="K240" s="1856"/>
      <c r="L240" s="1856"/>
      <c r="M240" s="1856"/>
      <c r="N240" s="1856"/>
      <c r="O240" s="1856"/>
      <c r="P240" s="1856"/>
      <c r="Q240" s="1856"/>
      <c r="R240" s="1856"/>
      <c r="S240" s="1856"/>
      <c r="T240" s="1856"/>
      <c r="U240" s="1856"/>
      <c r="V240" s="1856" t="s">
        <v>1509</v>
      </c>
      <c r="W240" s="1856"/>
      <c r="X240" s="1856"/>
      <c r="Y240" s="1851"/>
      <c r="Z240" s="1851"/>
      <c r="AA240" s="1851"/>
      <c r="AB240" s="1851"/>
      <c r="AC240" s="1851"/>
      <c r="AD240" s="1851"/>
      <c r="AE240" s="1851"/>
      <c r="AF240" s="1851"/>
      <c r="AG240" s="1851"/>
      <c r="AH240" s="1851"/>
      <c r="AI240" s="1851"/>
      <c r="AJ240" s="1851"/>
      <c r="AK240" s="1851"/>
      <c r="AL240" s="1851"/>
      <c r="AM240" s="1851"/>
      <c r="AN240" s="1851"/>
      <c r="AO240" s="1851"/>
      <c r="AP240" s="1851"/>
      <c r="AQ240" s="1851"/>
      <c r="AR240" s="1851"/>
      <c r="AS240" s="1851"/>
      <c r="AT240" s="1851"/>
      <c r="AU240" s="1851"/>
      <c r="AV240" s="1851"/>
      <c r="AW240" s="1851"/>
      <c r="AX240" s="1851"/>
      <c r="AY240" s="1851"/>
      <c r="AZ240" s="1851"/>
      <c r="BA240" s="1851"/>
      <c r="BB240" s="1851"/>
    </row>
    <row r="241" spans="1:54" x14ac:dyDescent="0.25">
      <c r="A241" s="1880" t="s">
        <v>1514</v>
      </c>
      <c r="B241" s="1881"/>
      <c r="C241" s="1856" t="s">
        <v>1000</v>
      </c>
      <c r="D241" s="1856"/>
      <c r="E241" s="1856"/>
      <c r="F241" s="1856"/>
      <c r="G241" s="1856"/>
      <c r="H241" s="1856"/>
      <c r="I241" s="1856"/>
      <c r="J241" s="1856"/>
      <c r="K241" s="1856"/>
      <c r="L241" s="1856"/>
      <c r="M241" s="1856"/>
      <c r="N241" s="1856"/>
      <c r="O241" s="1856"/>
      <c r="P241" s="1856"/>
      <c r="Q241" s="1856"/>
      <c r="R241" s="1856"/>
      <c r="S241" s="1856"/>
      <c r="T241" s="1856"/>
      <c r="U241" s="1856"/>
      <c r="V241" s="1856" t="s">
        <v>1509</v>
      </c>
      <c r="W241" s="1856"/>
      <c r="X241" s="1856"/>
      <c r="Y241" s="1851"/>
      <c r="Z241" s="1851"/>
      <c r="AA241" s="1851"/>
      <c r="AB241" s="1851"/>
      <c r="AC241" s="1851"/>
      <c r="AD241" s="1851"/>
      <c r="AE241" s="1851"/>
      <c r="AF241" s="1851"/>
      <c r="AG241" s="1851"/>
      <c r="AH241" s="1851"/>
      <c r="AI241" s="1851"/>
      <c r="AJ241" s="1851"/>
      <c r="AK241" s="1851"/>
      <c r="AL241" s="1851"/>
      <c r="AM241" s="1851"/>
      <c r="AN241" s="1851"/>
      <c r="AO241" s="1851"/>
      <c r="AP241" s="1851"/>
      <c r="AQ241" s="1851"/>
      <c r="AR241" s="1851"/>
      <c r="AS241" s="1851"/>
      <c r="AT241" s="1851"/>
      <c r="AU241" s="1851"/>
      <c r="AV241" s="1851"/>
      <c r="AW241" s="1851"/>
      <c r="AX241" s="1851"/>
      <c r="AY241" s="1851"/>
      <c r="AZ241" s="1851"/>
      <c r="BA241" s="1851"/>
      <c r="BB241" s="1851"/>
    </row>
    <row r="242" spans="1:54" x14ac:dyDescent="0.25">
      <c r="A242" s="1880" t="s">
        <v>1515</v>
      </c>
      <c r="B242" s="1881"/>
      <c r="C242" s="1856" t="s">
        <v>1001</v>
      </c>
      <c r="D242" s="1856"/>
      <c r="E242" s="1856"/>
      <c r="F242" s="1856"/>
      <c r="G242" s="1856"/>
      <c r="H242" s="1856"/>
      <c r="I242" s="1856"/>
      <c r="J242" s="1856"/>
      <c r="K242" s="1856"/>
      <c r="L242" s="1856"/>
      <c r="M242" s="1856"/>
      <c r="N242" s="1856"/>
      <c r="O242" s="1856"/>
      <c r="P242" s="1856"/>
      <c r="Q242" s="1856"/>
      <c r="R242" s="1856"/>
      <c r="S242" s="1856"/>
      <c r="T242" s="1856"/>
      <c r="U242" s="1856"/>
      <c r="V242" s="1856" t="s">
        <v>1509</v>
      </c>
      <c r="W242" s="1856"/>
      <c r="X242" s="1856"/>
      <c r="Y242" s="1851"/>
      <c r="Z242" s="1851"/>
      <c r="AA242" s="1851"/>
      <c r="AB242" s="1851"/>
      <c r="AC242" s="1851"/>
      <c r="AD242" s="1851"/>
      <c r="AE242" s="1851"/>
      <c r="AF242" s="1851"/>
      <c r="AG242" s="1851"/>
      <c r="AH242" s="1851"/>
      <c r="AI242" s="1851"/>
      <c r="AJ242" s="1851"/>
      <c r="AK242" s="1851"/>
      <c r="AL242" s="1851"/>
      <c r="AM242" s="1851"/>
      <c r="AN242" s="1851"/>
      <c r="AO242" s="1851"/>
      <c r="AP242" s="1851"/>
      <c r="AQ242" s="1851"/>
      <c r="AR242" s="1851"/>
      <c r="AS242" s="1851"/>
      <c r="AT242" s="1851"/>
      <c r="AU242" s="1851"/>
      <c r="AV242" s="1851"/>
      <c r="AW242" s="1851"/>
      <c r="AX242" s="1851"/>
      <c r="AY242" s="1851"/>
      <c r="AZ242" s="1851"/>
      <c r="BA242" s="1851"/>
      <c r="BB242" s="1851"/>
    </row>
    <row r="243" spans="1:54" x14ac:dyDescent="0.25">
      <c r="A243" s="1880" t="s">
        <v>1516</v>
      </c>
      <c r="B243" s="1881"/>
      <c r="C243" s="1856" t="s">
        <v>1002</v>
      </c>
      <c r="D243" s="1856"/>
      <c r="E243" s="1856"/>
      <c r="F243" s="1856"/>
      <c r="G243" s="1856"/>
      <c r="H243" s="1856"/>
      <c r="I243" s="1856"/>
      <c r="J243" s="1856"/>
      <c r="K243" s="1856"/>
      <c r="L243" s="1856"/>
      <c r="M243" s="1856"/>
      <c r="N243" s="1856"/>
      <c r="O243" s="1856"/>
      <c r="P243" s="1856"/>
      <c r="Q243" s="1856"/>
      <c r="R243" s="1856"/>
      <c r="S243" s="1856"/>
      <c r="T243" s="1856"/>
      <c r="U243" s="1856"/>
      <c r="V243" s="1856" t="s">
        <v>1509</v>
      </c>
      <c r="W243" s="1856"/>
      <c r="X243" s="1856"/>
      <c r="Y243" s="1851"/>
      <c r="Z243" s="1851"/>
      <c r="AA243" s="1851"/>
      <c r="AB243" s="1851"/>
      <c r="AC243" s="1851"/>
      <c r="AD243" s="1851"/>
      <c r="AE243" s="1851"/>
      <c r="AF243" s="1851"/>
      <c r="AG243" s="1851"/>
      <c r="AH243" s="1851"/>
      <c r="AI243" s="1851"/>
      <c r="AJ243" s="1851"/>
      <c r="AK243" s="1851"/>
      <c r="AL243" s="1851"/>
      <c r="AM243" s="1851"/>
      <c r="AN243" s="1851"/>
      <c r="AO243" s="1851"/>
      <c r="AP243" s="1851"/>
      <c r="AQ243" s="1851"/>
      <c r="AR243" s="1851"/>
      <c r="AS243" s="1851"/>
      <c r="AT243" s="1851"/>
      <c r="AU243" s="1851"/>
      <c r="AV243" s="1851"/>
      <c r="AW243" s="1851"/>
      <c r="AX243" s="1851"/>
      <c r="AY243" s="1851"/>
      <c r="AZ243" s="1851"/>
      <c r="BA243" s="1851"/>
      <c r="BB243" s="1851"/>
    </row>
    <row r="244" spans="1:54" x14ac:dyDescent="0.25">
      <c r="A244" s="1880" t="s">
        <v>1517</v>
      </c>
      <c r="B244" s="1881"/>
      <c r="C244" s="1856" t="s">
        <v>1003</v>
      </c>
      <c r="D244" s="1856"/>
      <c r="E244" s="1856"/>
      <c r="F244" s="1856"/>
      <c r="G244" s="1856"/>
      <c r="H244" s="1856"/>
      <c r="I244" s="1856"/>
      <c r="J244" s="1856"/>
      <c r="K244" s="1856"/>
      <c r="L244" s="1856"/>
      <c r="M244" s="1856"/>
      <c r="N244" s="1856"/>
      <c r="O244" s="1856"/>
      <c r="P244" s="1856"/>
      <c r="Q244" s="1856"/>
      <c r="R244" s="1856"/>
      <c r="S244" s="1856"/>
      <c r="T244" s="1856"/>
      <c r="U244" s="1856"/>
      <c r="V244" s="1856" t="s">
        <v>1509</v>
      </c>
      <c r="W244" s="1856"/>
      <c r="X244" s="1856"/>
      <c r="Y244" s="1851"/>
      <c r="Z244" s="1851"/>
      <c r="AA244" s="1851"/>
      <c r="AB244" s="1851"/>
      <c r="AC244" s="1851"/>
      <c r="AD244" s="1851"/>
      <c r="AE244" s="1851"/>
      <c r="AF244" s="1851"/>
      <c r="AG244" s="1851"/>
      <c r="AH244" s="1851"/>
      <c r="AI244" s="1851"/>
      <c r="AJ244" s="1851"/>
      <c r="AK244" s="1851"/>
      <c r="AL244" s="1851"/>
      <c r="AM244" s="1851"/>
      <c r="AN244" s="1851"/>
      <c r="AO244" s="1851"/>
      <c r="AP244" s="1851"/>
      <c r="AQ244" s="1851"/>
      <c r="AR244" s="1851"/>
      <c r="AS244" s="1851"/>
      <c r="AT244" s="1851"/>
      <c r="AU244" s="1851"/>
      <c r="AV244" s="1851"/>
      <c r="AW244" s="1851"/>
      <c r="AX244" s="1851"/>
      <c r="AY244" s="1851"/>
      <c r="AZ244" s="1851"/>
      <c r="BA244" s="1851"/>
      <c r="BB244" s="1851"/>
    </row>
    <row r="245" spans="1:54" x14ac:dyDescent="0.25">
      <c r="A245" s="1880" t="s">
        <v>1518</v>
      </c>
      <c r="B245" s="1881"/>
      <c r="C245" s="1856" t="s">
        <v>1004</v>
      </c>
      <c r="D245" s="1856"/>
      <c r="E245" s="1856"/>
      <c r="F245" s="1856"/>
      <c r="G245" s="1856"/>
      <c r="H245" s="1856"/>
      <c r="I245" s="1856"/>
      <c r="J245" s="1856"/>
      <c r="K245" s="1856"/>
      <c r="L245" s="1856"/>
      <c r="M245" s="1856"/>
      <c r="N245" s="1856"/>
      <c r="O245" s="1856"/>
      <c r="P245" s="1856"/>
      <c r="Q245" s="1856"/>
      <c r="R245" s="1856"/>
      <c r="S245" s="1856"/>
      <c r="T245" s="1856"/>
      <c r="U245" s="1856"/>
      <c r="V245" s="1856" t="s">
        <v>1509</v>
      </c>
      <c r="W245" s="1856"/>
      <c r="X245" s="1856"/>
      <c r="Y245" s="1851"/>
      <c r="Z245" s="1851"/>
      <c r="AA245" s="1851"/>
      <c r="AB245" s="1851"/>
      <c r="AC245" s="1851"/>
      <c r="AD245" s="1851"/>
      <c r="AE245" s="1851"/>
      <c r="AF245" s="1851"/>
      <c r="AG245" s="1851"/>
      <c r="AH245" s="1851"/>
      <c r="AI245" s="1851"/>
      <c r="AJ245" s="1851"/>
      <c r="AK245" s="1851"/>
      <c r="AL245" s="1851"/>
      <c r="AM245" s="1851"/>
      <c r="AN245" s="1851"/>
      <c r="AO245" s="1851"/>
      <c r="AP245" s="1851"/>
      <c r="AQ245" s="1851"/>
      <c r="AR245" s="1851"/>
      <c r="AS245" s="1851"/>
      <c r="AT245" s="1851"/>
      <c r="AU245" s="1851"/>
      <c r="AV245" s="1851"/>
      <c r="AW245" s="1851"/>
      <c r="AX245" s="1851"/>
      <c r="AY245" s="1851"/>
      <c r="AZ245" s="1851"/>
      <c r="BA245" s="1851"/>
      <c r="BB245" s="1851"/>
    </row>
    <row r="246" spans="1:54" x14ac:dyDescent="0.25">
      <c r="A246" s="1880" t="s">
        <v>1519</v>
      </c>
      <c r="B246" s="1881"/>
      <c r="C246" s="1856" t="s">
        <v>1005</v>
      </c>
      <c r="D246" s="1856"/>
      <c r="E246" s="1856"/>
      <c r="F246" s="1856"/>
      <c r="G246" s="1856"/>
      <c r="H246" s="1856"/>
      <c r="I246" s="1856"/>
      <c r="J246" s="1856"/>
      <c r="K246" s="1856"/>
      <c r="L246" s="1856"/>
      <c r="M246" s="1856"/>
      <c r="N246" s="1856"/>
      <c r="O246" s="1856"/>
      <c r="P246" s="1856"/>
      <c r="Q246" s="1856"/>
      <c r="R246" s="1856"/>
      <c r="S246" s="1856"/>
      <c r="T246" s="1856"/>
      <c r="U246" s="1856"/>
      <c r="V246" s="1856" t="s">
        <v>1509</v>
      </c>
      <c r="W246" s="1856"/>
      <c r="X246" s="1856"/>
      <c r="Y246" s="1851"/>
      <c r="Z246" s="1851"/>
      <c r="AA246" s="1851"/>
      <c r="AB246" s="1851"/>
      <c r="AC246" s="1851"/>
      <c r="AD246" s="1851"/>
      <c r="AE246" s="1851"/>
      <c r="AF246" s="1851"/>
      <c r="AG246" s="1851"/>
      <c r="AH246" s="1851"/>
      <c r="AI246" s="1851"/>
      <c r="AJ246" s="1851"/>
      <c r="AK246" s="1851"/>
      <c r="AL246" s="1851"/>
      <c r="AM246" s="1851"/>
      <c r="AN246" s="1851"/>
      <c r="AO246" s="1851"/>
      <c r="AP246" s="1851"/>
      <c r="AQ246" s="1851"/>
      <c r="AR246" s="1851"/>
      <c r="AS246" s="1851"/>
      <c r="AT246" s="1851"/>
      <c r="AU246" s="1851"/>
      <c r="AV246" s="1851"/>
      <c r="AW246" s="1851"/>
      <c r="AX246" s="1851"/>
      <c r="AY246" s="1851"/>
      <c r="AZ246" s="1851"/>
      <c r="BA246" s="1851"/>
      <c r="BB246" s="1851"/>
    </row>
    <row r="247" spans="1:54" x14ac:dyDescent="0.25">
      <c r="A247" s="1880" t="s">
        <v>1520</v>
      </c>
      <c r="B247" s="1881"/>
      <c r="C247" s="1856" t="s">
        <v>1006</v>
      </c>
      <c r="D247" s="1856"/>
      <c r="E247" s="1856"/>
      <c r="F247" s="1856"/>
      <c r="G247" s="1856"/>
      <c r="H247" s="1856"/>
      <c r="I247" s="1856"/>
      <c r="J247" s="1856"/>
      <c r="K247" s="1856"/>
      <c r="L247" s="1856"/>
      <c r="M247" s="1856"/>
      <c r="N247" s="1856"/>
      <c r="O247" s="1856"/>
      <c r="P247" s="1856"/>
      <c r="Q247" s="1856"/>
      <c r="R247" s="1856"/>
      <c r="S247" s="1856"/>
      <c r="T247" s="1856"/>
      <c r="U247" s="1856"/>
      <c r="V247" s="1856" t="s">
        <v>1509</v>
      </c>
      <c r="W247" s="1856"/>
      <c r="X247" s="1856"/>
      <c r="Y247" s="1851"/>
      <c r="Z247" s="1851"/>
      <c r="AA247" s="1851"/>
      <c r="AB247" s="1851"/>
      <c r="AC247" s="1851"/>
      <c r="AD247" s="1851"/>
      <c r="AE247" s="1851"/>
      <c r="AF247" s="1851"/>
      <c r="AG247" s="1851"/>
      <c r="AH247" s="1851"/>
      <c r="AI247" s="1851"/>
      <c r="AJ247" s="1851"/>
      <c r="AK247" s="1851"/>
      <c r="AL247" s="1851"/>
      <c r="AM247" s="1851"/>
      <c r="AN247" s="1851"/>
      <c r="AO247" s="1851"/>
      <c r="AP247" s="1851"/>
      <c r="AQ247" s="1851"/>
      <c r="AR247" s="1851"/>
      <c r="AS247" s="1851"/>
      <c r="AT247" s="1851"/>
      <c r="AU247" s="1851"/>
      <c r="AV247" s="1851"/>
      <c r="AW247" s="1851"/>
      <c r="AX247" s="1851"/>
      <c r="AY247" s="1851"/>
      <c r="AZ247" s="1851"/>
      <c r="BA247" s="1851"/>
      <c r="BB247" s="1851"/>
    </row>
    <row r="248" spans="1:54" x14ac:dyDescent="0.25">
      <c r="A248" s="1878" t="s">
        <v>1521</v>
      </c>
      <c r="B248" s="1879"/>
      <c r="C248" s="1855" t="s">
        <v>1522</v>
      </c>
      <c r="D248" s="1855"/>
      <c r="E248" s="1855"/>
      <c r="F248" s="1855"/>
      <c r="G248" s="1855"/>
      <c r="H248" s="1855"/>
      <c r="I248" s="1855"/>
      <c r="J248" s="1855"/>
      <c r="K248" s="1855"/>
      <c r="L248" s="1855"/>
      <c r="M248" s="1855"/>
      <c r="N248" s="1855"/>
      <c r="O248" s="1855"/>
      <c r="P248" s="1855"/>
      <c r="Q248" s="1855"/>
      <c r="R248" s="1855"/>
      <c r="S248" s="1855"/>
      <c r="T248" s="1855"/>
      <c r="U248" s="1855"/>
      <c r="V248" s="1864" t="s">
        <v>1523</v>
      </c>
      <c r="W248" s="1864"/>
      <c r="X248" s="1864"/>
      <c r="Y248" s="1857"/>
      <c r="Z248" s="1877"/>
      <c r="AA248" s="1877"/>
      <c r="AB248" s="1877"/>
      <c r="AC248" s="1859"/>
      <c r="AD248" s="1859"/>
      <c r="AE248" s="1857"/>
      <c r="AF248" s="1877"/>
      <c r="AG248" s="1877"/>
      <c r="AH248" s="1877"/>
      <c r="AI248" s="1859"/>
      <c r="AJ248" s="1859"/>
      <c r="AK248" s="1857"/>
      <c r="AL248" s="1877"/>
      <c r="AM248" s="1877"/>
      <c r="AN248" s="1877"/>
      <c r="AO248" s="1859"/>
      <c r="AP248" s="1859"/>
      <c r="AQ248" s="1857"/>
      <c r="AR248" s="1877"/>
      <c r="AS248" s="1877"/>
      <c r="AT248" s="1877"/>
      <c r="AU248" s="1859"/>
      <c r="AV248" s="1859"/>
      <c r="AW248" s="1857"/>
      <c r="AX248" s="1877"/>
      <c r="AY248" s="1877"/>
      <c r="AZ248" s="1877"/>
      <c r="BA248" s="1859"/>
      <c r="BB248" s="1859"/>
    </row>
    <row r="249" spans="1:54" x14ac:dyDescent="0.25">
      <c r="A249" s="1880" t="s">
        <v>1524</v>
      </c>
      <c r="B249" s="1881"/>
      <c r="C249" s="1856" t="s">
        <v>1525</v>
      </c>
      <c r="D249" s="1856"/>
      <c r="E249" s="1856"/>
      <c r="F249" s="1856"/>
      <c r="G249" s="1856"/>
      <c r="H249" s="1856"/>
      <c r="I249" s="1856"/>
      <c r="J249" s="1856"/>
      <c r="K249" s="1856"/>
      <c r="L249" s="1856"/>
      <c r="M249" s="1856"/>
      <c r="N249" s="1856"/>
      <c r="O249" s="1856"/>
      <c r="P249" s="1856"/>
      <c r="Q249" s="1856"/>
      <c r="R249" s="1856"/>
      <c r="S249" s="1856"/>
      <c r="T249" s="1856"/>
      <c r="U249" s="1856"/>
      <c r="V249" s="1865" t="s">
        <v>1526</v>
      </c>
      <c r="W249" s="1865"/>
      <c r="X249" s="1865"/>
      <c r="Y249" s="1851"/>
      <c r="Z249" s="1851"/>
      <c r="AA249" s="1851"/>
      <c r="AB249" s="1851"/>
      <c r="AC249" s="1851"/>
      <c r="AD249" s="1851"/>
      <c r="AE249" s="1851"/>
      <c r="AF249" s="1851"/>
      <c r="AG249" s="1851"/>
      <c r="AH249" s="1851"/>
      <c r="AI249" s="1851"/>
      <c r="AJ249" s="1851"/>
      <c r="AK249" s="1851"/>
      <c r="AL249" s="1851"/>
      <c r="AM249" s="1851"/>
      <c r="AN249" s="1851"/>
      <c r="AO249" s="1851"/>
      <c r="AP249" s="1851"/>
      <c r="AQ249" s="1851"/>
      <c r="AR249" s="1851"/>
      <c r="AS249" s="1851"/>
      <c r="AT249" s="1851"/>
      <c r="AU249" s="1851"/>
      <c r="AV249" s="1851"/>
      <c r="AW249" s="1851"/>
      <c r="AX249" s="1851"/>
      <c r="AY249" s="1851"/>
      <c r="AZ249" s="1851"/>
      <c r="BA249" s="1851"/>
      <c r="BB249" s="1851"/>
    </row>
    <row r="250" spans="1:54" x14ac:dyDescent="0.25">
      <c r="A250" s="1880" t="s">
        <v>1527</v>
      </c>
      <c r="B250" s="1881"/>
      <c r="C250" s="1856" t="s">
        <v>1528</v>
      </c>
      <c r="D250" s="1856"/>
      <c r="E250" s="1856"/>
      <c r="F250" s="1856"/>
      <c r="G250" s="1856"/>
      <c r="H250" s="1856"/>
      <c r="I250" s="1856"/>
      <c r="J250" s="1856"/>
      <c r="K250" s="1856"/>
      <c r="L250" s="1856"/>
      <c r="M250" s="1856"/>
      <c r="N250" s="1856"/>
      <c r="O250" s="1856"/>
      <c r="P250" s="1856"/>
      <c r="Q250" s="1856"/>
      <c r="R250" s="1856"/>
      <c r="S250" s="1856"/>
      <c r="T250" s="1856"/>
      <c r="U250" s="1856"/>
      <c r="V250" s="1865" t="s">
        <v>1529</v>
      </c>
      <c r="W250" s="1865"/>
      <c r="X250" s="1865"/>
      <c r="Y250" s="1857"/>
      <c r="Z250" s="1877"/>
      <c r="AA250" s="1877"/>
      <c r="AB250" s="1877"/>
      <c r="AC250" s="1859"/>
      <c r="AD250" s="1859"/>
      <c r="AE250" s="1857"/>
      <c r="AF250" s="1877"/>
      <c r="AG250" s="1877"/>
      <c r="AH250" s="1877"/>
      <c r="AI250" s="1859"/>
      <c r="AJ250" s="1859"/>
      <c r="AK250" s="1857"/>
      <c r="AL250" s="1877"/>
      <c r="AM250" s="1877"/>
      <c r="AN250" s="1877"/>
      <c r="AO250" s="1859"/>
      <c r="AP250" s="1859"/>
      <c r="AQ250" s="1857"/>
      <c r="AR250" s="1877"/>
      <c r="AS250" s="1877"/>
      <c r="AT250" s="1877"/>
      <c r="AU250" s="1859"/>
      <c r="AV250" s="1859"/>
      <c r="AW250" s="1857"/>
      <c r="AX250" s="1877"/>
      <c r="AY250" s="1877"/>
      <c r="AZ250" s="1877"/>
      <c r="BA250" s="1859"/>
      <c r="BB250" s="1859"/>
    </row>
    <row r="251" spans="1:54" x14ac:dyDescent="0.25">
      <c r="A251" s="1880" t="s">
        <v>1530</v>
      </c>
      <c r="B251" s="1881"/>
      <c r="C251" s="1856" t="s">
        <v>996</v>
      </c>
      <c r="D251" s="1856"/>
      <c r="E251" s="1856"/>
      <c r="F251" s="1856"/>
      <c r="G251" s="1856"/>
      <c r="H251" s="1856"/>
      <c r="I251" s="1856"/>
      <c r="J251" s="1856"/>
      <c r="K251" s="1856"/>
      <c r="L251" s="1856"/>
      <c r="M251" s="1856"/>
      <c r="N251" s="1856"/>
      <c r="O251" s="1856"/>
      <c r="P251" s="1856"/>
      <c r="Q251" s="1856"/>
      <c r="R251" s="1856"/>
      <c r="S251" s="1856"/>
      <c r="T251" s="1856"/>
      <c r="U251" s="1856"/>
      <c r="V251" s="1856" t="s">
        <v>1529</v>
      </c>
      <c r="W251" s="1856"/>
      <c r="X251" s="1856"/>
      <c r="Y251" s="1851"/>
      <c r="Z251" s="1851"/>
      <c r="AA251" s="1851"/>
      <c r="AB251" s="1851"/>
      <c r="AC251" s="1851"/>
      <c r="AD251" s="1851"/>
      <c r="AE251" s="1851"/>
      <c r="AF251" s="1851"/>
      <c r="AG251" s="1851"/>
      <c r="AH251" s="1851"/>
      <c r="AI251" s="1851"/>
      <c r="AJ251" s="1851"/>
      <c r="AK251" s="1851"/>
      <c r="AL251" s="1851"/>
      <c r="AM251" s="1851"/>
      <c r="AN251" s="1851"/>
      <c r="AO251" s="1851"/>
      <c r="AP251" s="1851"/>
      <c r="AQ251" s="1851"/>
      <c r="AR251" s="1851"/>
      <c r="AS251" s="1851"/>
      <c r="AT251" s="1851"/>
      <c r="AU251" s="1851"/>
      <c r="AV251" s="1851"/>
      <c r="AW251" s="1851"/>
      <c r="AX251" s="1851"/>
      <c r="AY251" s="1851"/>
      <c r="AZ251" s="1851"/>
      <c r="BA251" s="1851"/>
      <c r="BB251" s="1851"/>
    </row>
    <row r="252" spans="1:54" x14ac:dyDescent="0.25">
      <c r="A252" s="1880" t="s">
        <v>1531</v>
      </c>
      <c r="B252" s="1881"/>
      <c r="C252" s="1856" t="s">
        <v>997</v>
      </c>
      <c r="D252" s="1856"/>
      <c r="E252" s="1856"/>
      <c r="F252" s="1856"/>
      <c r="G252" s="1856"/>
      <c r="H252" s="1856"/>
      <c r="I252" s="1856"/>
      <c r="J252" s="1856"/>
      <c r="K252" s="1856"/>
      <c r="L252" s="1856"/>
      <c r="M252" s="1856"/>
      <c r="N252" s="1856"/>
      <c r="O252" s="1856"/>
      <c r="P252" s="1856"/>
      <c r="Q252" s="1856"/>
      <c r="R252" s="1856"/>
      <c r="S252" s="1856"/>
      <c r="T252" s="1856"/>
      <c r="U252" s="1856"/>
      <c r="V252" s="1856" t="s">
        <v>1529</v>
      </c>
      <c r="W252" s="1856"/>
      <c r="X252" s="1856"/>
      <c r="Y252" s="1851"/>
      <c r="Z252" s="1851"/>
      <c r="AA252" s="1851"/>
      <c r="AB252" s="1851"/>
      <c r="AC252" s="1851"/>
      <c r="AD252" s="1851"/>
      <c r="AE252" s="1851"/>
      <c r="AF252" s="1851"/>
      <c r="AG252" s="1851"/>
      <c r="AH252" s="1851"/>
      <c r="AI252" s="1851"/>
      <c r="AJ252" s="1851"/>
      <c r="AK252" s="1851"/>
      <c r="AL252" s="1851"/>
      <c r="AM252" s="1851"/>
      <c r="AN252" s="1851"/>
      <c r="AO252" s="1851"/>
      <c r="AP252" s="1851"/>
      <c r="AQ252" s="1851"/>
      <c r="AR252" s="1851"/>
      <c r="AS252" s="1851"/>
      <c r="AT252" s="1851"/>
      <c r="AU252" s="1851"/>
      <c r="AV252" s="1851"/>
      <c r="AW252" s="1851"/>
      <c r="AX252" s="1851"/>
      <c r="AY252" s="1851"/>
      <c r="AZ252" s="1851"/>
      <c r="BA252" s="1851"/>
      <c r="BB252" s="1851"/>
    </row>
    <row r="253" spans="1:54" x14ac:dyDescent="0.25">
      <c r="A253" s="1880" t="s">
        <v>1532</v>
      </c>
      <c r="B253" s="1881"/>
      <c r="C253" s="1856" t="s">
        <v>998</v>
      </c>
      <c r="D253" s="1856"/>
      <c r="E253" s="1856"/>
      <c r="F253" s="1856"/>
      <c r="G253" s="1856"/>
      <c r="H253" s="1856"/>
      <c r="I253" s="1856"/>
      <c r="J253" s="1856"/>
      <c r="K253" s="1856"/>
      <c r="L253" s="1856"/>
      <c r="M253" s="1856"/>
      <c r="N253" s="1856"/>
      <c r="O253" s="1856"/>
      <c r="P253" s="1856"/>
      <c r="Q253" s="1856"/>
      <c r="R253" s="1856"/>
      <c r="S253" s="1856"/>
      <c r="T253" s="1856"/>
      <c r="U253" s="1856"/>
      <c r="V253" s="1856" t="s">
        <v>1529</v>
      </c>
      <c r="W253" s="1856"/>
      <c r="X253" s="1856"/>
      <c r="Y253" s="1851"/>
      <c r="Z253" s="1851"/>
      <c r="AA253" s="1851"/>
      <c r="AB253" s="1851"/>
      <c r="AC253" s="1851"/>
      <c r="AD253" s="1851"/>
      <c r="AE253" s="1851"/>
      <c r="AF253" s="1851"/>
      <c r="AG253" s="1851"/>
      <c r="AH253" s="1851"/>
      <c r="AI253" s="1851"/>
      <c r="AJ253" s="1851"/>
      <c r="AK253" s="1851"/>
      <c r="AL253" s="1851"/>
      <c r="AM253" s="1851"/>
      <c r="AN253" s="1851"/>
      <c r="AO253" s="1851"/>
      <c r="AP253" s="1851"/>
      <c r="AQ253" s="1851"/>
      <c r="AR253" s="1851"/>
      <c r="AS253" s="1851"/>
      <c r="AT253" s="1851"/>
      <c r="AU253" s="1851"/>
      <c r="AV253" s="1851"/>
      <c r="AW253" s="1851"/>
      <c r="AX253" s="1851"/>
      <c r="AY253" s="1851"/>
      <c r="AZ253" s="1851"/>
      <c r="BA253" s="1851"/>
      <c r="BB253" s="1851"/>
    </row>
    <row r="254" spans="1:54" x14ac:dyDescent="0.25">
      <c r="A254" s="1880" t="s">
        <v>1533</v>
      </c>
      <c r="B254" s="1881"/>
      <c r="C254" s="1856" t="s">
        <v>999</v>
      </c>
      <c r="D254" s="1856"/>
      <c r="E254" s="1856"/>
      <c r="F254" s="1856"/>
      <c r="G254" s="1856"/>
      <c r="H254" s="1856"/>
      <c r="I254" s="1856"/>
      <c r="J254" s="1856"/>
      <c r="K254" s="1856"/>
      <c r="L254" s="1856"/>
      <c r="M254" s="1856"/>
      <c r="N254" s="1856"/>
      <c r="O254" s="1856"/>
      <c r="P254" s="1856"/>
      <c r="Q254" s="1856"/>
      <c r="R254" s="1856"/>
      <c r="S254" s="1856"/>
      <c r="T254" s="1856"/>
      <c r="U254" s="1856"/>
      <c r="V254" s="1856" t="s">
        <v>1529</v>
      </c>
      <c r="W254" s="1856"/>
      <c r="X254" s="1856"/>
      <c r="Y254" s="1851"/>
      <c r="Z254" s="1851"/>
      <c r="AA254" s="1851"/>
      <c r="AB254" s="1851"/>
      <c r="AC254" s="1851"/>
      <c r="AD254" s="1851"/>
      <c r="AE254" s="1851"/>
      <c r="AF254" s="1851"/>
      <c r="AG254" s="1851"/>
      <c r="AH254" s="1851"/>
      <c r="AI254" s="1851"/>
      <c r="AJ254" s="1851"/>
      <c r="AK254" s="1851"/>
      <c r="AL254" s="1851"/>
      <c r="AM254" s="1851"/>
      <c r="AN254" s="1851"/>
      <c r="AO254" s="1851"/>
      <c r="AP254" s="1851"/>
      <c r="AQ254" s="1851"/>
      <c r="AR254" s="1851"/>
      <c r="AS254" s="1851"/>
      <c r="AT254" s="1851"/>
      <c r="AU254" s="1851"/>
      <c r="AV254" s="1851"/>
      <c r="AW254" s="1851"/>
      <c r="AX254" s="1851"/>
      <c r="AY254" s="1851"/>
      <c r="AZ254" s="1851"/>
      <c r="BA254" s="1851"/>
      <c r="BB254" s="1851"/>
    </row>
    <row r="255" spans="1:54" x14ac:dyDescent="0.25">
      <c r="A255" s="1880" t="s">
        <v>1534</v>
      </c>
      <c r="B255" s="1881"/>
      <c r="C255" s="1856" t="s">
        <v>1000</v>
      </c>
      <c r="D255" s="1856"/>
      <c r="E255" s="1856"/>
      <c r="F255" s="1856"/>
      <c r="G255" s="1856"/>
      <c r="H255" s="1856"/>
      <c r="I255" s="1856"/>
      <c r="J255" s="1856"/>
      <c r="K255" s="1856"/>
      <c r="L255" s="1856"/>
      <c r="M255" s="1856"/>
      <c r="N255" s="1856"/>
      <c r="O255" s="1856"/>
      <c r="P255" s="1856"/>
      <c r="Q255" s="1856"/>
      <c r="R255" s="1856"/>
      <c r="S255" s="1856"/>
      <c r="T255" s="1856"/>
      <c r="U255" s="1856"/>
      <c r="V255" s="1856" t="s">
        <v>1529</v>
      </c>
      <c r="W255" s="1856"/>
      <c r="X255" s="1856"/>
      <c r="Y255" s="1851"/>
      <c r="Z255" s="1851"/>
      <c r="AA255" s="1851"/>
      <c r="AB255" s="1851"/>
      <c r="AC255" s="1851"/>
      <c r="AD255" s="1851"/>
      <c r="AE255" s="1851"/>
      <c r="AF255" s="1851"/>
      <c r="AG255" s="1851"/>
      <c r="AH255" s="1851"/>
      <c r="AI255" s="1851"/>
      <c r="AJ255" s="1851"/>
      <c r="AK255" s="1851"/>
      <c r="AL255" s="1851"/>
      <c r="AM255" s="1851"/>
      <c r="AN255" s="1851"/>
      <c r="AO255" s="1851"/>
      <c r="AP255" s="1851"/>
      <c r="AQ255" s="1851"/>
      <c r="AR255" s="1851"/>
      <c r="AS255" s="1851"/>
      <c r="AT255" s="1851"/>
      <c r="AU255" s="1851"/>
      <c r="AV255" s="1851"/>
      <c r="AW255" s="1851"/>
      <c r="AX255" s="1851"/>
      <c r="AY255" s="1851"/>
      <c r="AZ255" s="1851"/>
      <c r="BA255" s="1851"/>
      <c r="BB255" s="1851"/>
    </row>
    <row r="256" spans="1:54" x14ac:dyDescent="0.25">
      <c r="A256" s="1880" t="s">
        <v>1535</v>
      </c>
      <c r="B256" s="1881"/>
      <c r="C256" s="1856" t="s">
        <v>1001</v>
      </c>
      <c r="D256" s="1856"/>
      <c r="E256" s="1856"/>
      <c r="F256" s="1856"/>
      <c r="G256" s="1856"/>
      <c r="H256" s="1856"/>
      <c r="I256" s="1856"/>
      <c r="J256" s="1856"/>
      <c r="K256" s="1856"/>
      <c r="L256" s="1856"/>
      <c r="M256" s="1856"/>
      <c r="N256" s="1856"/>
      <c r="O256" s="1856"/>
      <c r="P256" s="1856"/>
      <c r="Q256" s="1856"/>
      <c r="R256" s="1856"/>
      <c r="S256" s="1856"/>
      <c r="T256" s="1856"/>
      <c r="U256" s="1856"/>
      <c r="V256" s="1856" t="s">
        <v>1529</v>
      </c>
      <c r="W256" s="1856"/>
      <c r="X256" s="1856"/>
      <c r="Y256" s="1851"/>
      <c r="Z256" s="1851"/>
      <c r="AA256" s="1851"/>
      <c r="AB256" s="1851"/>
      <c r="AC256" s="1851"/>
      <c r="AD256" s="1851"/>
      <c r="AE256" s="1851"/>
      <c r="AF256" s="1851"/>
      <c r="AG256" s="1851"/>
      <c r="AH256" s="1851"/>
      <c r="AI256" s="1851"/>
      <c r="AJ256" s="1851"/>
      <c r="AK256" s="1851"/>
      <c r="AL256" s="1851"/>
      <c r="AM256" s="1851"/>
      <c r="AN256" s="1851"/>
      <c r="AO256" s="1851"/>
      <c r="AP256" s="1851"/>
      <c r="AQ256" s="1851"/>
      <c r="AR256" s="1851"/>
      <c r="AS256" s="1851"/>
      <c r="AT256" s="1851"/>
      <c r="AU256" s="1851"/>
      <c r="AV256" s="1851"/>
      <c r="AW256" s="1851"/>
      <c r="AX256" s="1851"/>
      <c r="AY256" s="1851"/>
      <c r="AZ256" s="1851"/>
      <c r="BA256" s="1851"/>
      <c r="BB256" s="1851"/>
    </row>
    <row r="257" spans="1:54" x14ac:dyDescent="0.25">
      <c r="A257" s="1880" t="s">
        <v>1536</v>
      </c>
      <c r="B257" s="1881"/>
      <c r="C257" s="1856" t="s">
        <v>1002</v>
      </c>
      <c r="D257" s="1856"/>
      <c r="E257" s="1856"/>
      <c r="F257" s="1856"/>
      <c r="G257" s="1856"/>
      <c r="H257" s="1856"/>
      <c r="I257" s="1856"/>
      <c r="J257" s="1856"/>
      <c r="K257" s="1856"/>
      <c r="L257" s="1856"/>
      <c r="M257" s="1856"/>
      <c r="N257" s="1856"/>
      <c r="O257" s="1856"/>
      <c r="P257" s="1856"/>
      <c r="Q257" s="1856"/>
      <c r="R257" s="1856"/>
      <c r="S257" s="1856"/>
      <c r="T257" s="1856"/>
      <c r="U257" s="1856"/>
      <c r="V257" s="1856" t="s">
        <v>1529</v>
      </c>
      <c r="W257" s="1856"/>
      <c r="X257" s="1856"/>
      <c r="Y257" s="1851"/>
      <c r="Z257" s="1851"/>
      <c r="AA257" s="1851"/>
      <c r="AB257" s="1851"/>
      <c r="AC257" s="1851"/>
      <c r="AD257" s="1851"/>
      <c r="AE257" s="1851"/>
      <c r="AF257" s="1851"/>
      <c r="AG257" s="1851"/>
      <c r="AH257" s="1851"/>
      <c r="AI257" s="1851"/>
      <c r="AJ257" s="1851"/>
      <c r="AK257" s="1851"/>
      <c r="AL257" s="1851"/>
      <c r="AM257" s="1851"/>
      <c r="AN257" s="1851"/>
      <c r="AO257" s="1851"/>
      <c r="AP257" s="1851"/>
      <c r="AQ257" s="1851"/>
      <c r="AR257" s="1851"/>
      <c r="AS257" s="1851"/>
      <c r="AT257" s="1851"/>
      <c r="AU257" s="1851"/>
      <c r="AV257" s="1851"/>
      <c r="AW257" s="1851"/>
      <c r="AX257" s="1851"/>
      <c r="AY257" s="1851"/>
      <c r="AZ257" s="1851"/>
      <c r="BA257" s="1851"/>
      <c r="BB257" s="1851"/>
    </row>
    <row r="258" spans="1:54" x14ac:dyDescent="0.25">
      <c r="A258" s="1880" t="s">
        <v>1537</v>
      </c>
      <c r="B258" s="1881"/>
      <c r="C258" s="1856" t="s">
        <v>1003</v>
      </c>
      <c r="D258" s="1856"/>
      <c r="E258" s="1856"/>
      <c r="F258" s="1856"/>
      <c r="G258" s="1856"/>
      <c r="H258" s="1856"/>
      <c r="I258" s="1856"/>
      <c r="J258" s="1856"/>
      <c r="K258" s="1856"/>
      <c r="L258" s="1856"/>
      <c r="M258" s="1856"/>
      <c r="N258" s="1856"/>
      <c r="O258" s="1856"/>
      <c r="P258" s="1856"/>
      <c r="Q258" s="1856"/>
      <c r="R258" s="1856"/>
      <c r="S258" s="1856"/>
      <c r="T258" s="1856"/>
      <c r="U258" s="1856"/>
      <c r="V258" s="1856" t="s">
        <v>1529</v>
      </c>
      <c r="W258" s="1856"/>
      <c r="X258" s="1856"/>
      <c r="Y258" s="1851"/>
      <c r="Z258" s="1851"/>
      <c r="AA258" s="1851"/>
      <c r="AB258" s="1851"/>
      <c r="AC258" s="1851"/>
      <c r="AD258" s="1851"/>
      <c r="AE258" s="1851"/>
      <c r="AF258" s="1851"/>
      <c r="AG258" s="1851"/>
      <c r="AH258" s="1851"/>
      <c r="AI258" s="1851"/>
      <c r="AJ258" s="1851"/>
      <c r="AK258" s="1851"/>
      <c r="AL258" s="1851"/>
      <c r="AM258" s="1851"/>
      <c r="AN258" s="1851"/>
      <c r="AO258" s="1851"/>
      <c r="AP258" s="1851"/>
      <c r="AQ258" s="1851"/>
      <c r="AR258" s="1851"/>
      <c r="AS258" s="1851"/>
      <c r="AT258" s="1851"/>
      <c r="AU258" s="1851"/>
      <c r="AV258" s="1851"/>
      <c r="AW258" s="1851"/>
      <c r="AX258" s="1851"/>
      <c r="AY258" s="1851"/>
      <c r="AZ258" s="1851"/>
      <c r="BA258" s="1851"/>
      <c r="BB258" s="1851"/>
    </row>
    <row r="259" spans="1:54" x14ac:dyDescent="0.25">
      <c r="A259" s="1880" t="s">
        <v>1538</v>
      </c>
      <c r="B259" s="1881"/>
      <c r="C259" s="1856" t="s">
        <v>1004</v>
      </c>
      <c r="D259" s="1856"/>
      <c r="E259" s="1856"/>
      <c r="F259" s="1856"/>
      <c r="G259" s="1856"/>
      <c r="H259" s="1856"/>
      <c r="I259" s="1856"/>
      <c r="J259" s="1856"/>
      <c r="K259" s="1856"/>
      <c r="L259" s="1856"/>
      <c r="M259" s="1856"/>
      <c r="N259" s="1856"/>
      <c r="O259" s="1856"/>
      <c r="P259" s="1856"/>
      <c r="Q259" s="1856"/>
      <c r="R259" s="1856"/>
      <c r="S259" s="1856"/>
      <c r="T259" s="1856"/>
      <c r="U259" s="1856"/>
      <c r="V259" s="1856" t="s">
        <v>1529</v>
      </c>
      <c r="W259" s="1856"/>
      <c r="X259" s="1856"/>
      <c r="Y259" s="1851"/>
      <c r="Z259" s="1851"/>
      <c r="AA259" s="1851"/>
      <c r="AB259" s="1851"/>
      <c r="AC259" s="1851"/>
      <c r="AD259" s="1851"/>
      <c r="AE259" s="1851"/>
      <c r="AF259" s="1851"/>
      <c r="AG259" s="1851"/>
      <c r="AH259" s="1851"/>
      <c r="AI259" s="1851"/>
      <c r="AJ259" s="1851"/>
      <c r="AK259" s="1851"/>
      <c r="AL259" s="1851"/>
      <c r="AM259" s="1851"/>
      <c r="AN259" s="1851"/>
      <c r="AO259" s="1851"/>
      <c r="AP259" s="1851"/>
      <c r="AQ259" s="1851"/>
      <c r="AR259" s="1851"/>
      <c r="AS259" s="1851"/>
      <c r="AT259" s="1851"/>
      <c r="AU259" s="1851"/>
      <c r="AV259" s="1851"/>
      <c r="AW259" s="1851"/>
      <c r="AX259" s="1851"/>
      <c r="AY259" s="1851"/>
      <c r="AZ259" s="1851"/>
      <c r="BA259" s="1851"/>
      <c r="BB259" s="1851"/>
    </row>
    <row r="260" spans="1:54" x14ac:dyDescent="0.25">
      <c r="A260" s="1880" t="s">
        <v>1539</v>
      </c>
      <c r="B260" s="1881"/>
      <c r="C260" s="1856" t="s">
        <v>1005</v>
      </c>
      <c r="D260" s="1856"/>
      <c r="E260" s="1856"/>
      <c r="F260" s="1856"/>
      <c r="G260" s="1856"/>
      <c r="H260" s="1856"/>
      <c r="I260" s="1856"/>
      <c r="J260" s="1856"/>
      <c r="K260" s="1856"/>
      <c r="L260" s="1856"/>
      <c r="M260" s="1856"/>
      <c r="N260" s="1856"/>
      <c r="O260" s="1856"/>
      <c r="P260" s="1856"/>
      <c r="Q260" s="1856"/>
      <c r="R260" s="1856"/>
      <c r="S260" s="1856"/>
      <c r="T260" s="1856"/>
      <c r="U260" s="1856"/>
      <c r="V260" s="1856" t="s">
        <v>1529</v>
      </c>
      <c r="W260" s="1856"/>
      <c r="X260" s="1856"/>
      <c r="Y260" s="1851"/>
      <c r="Z260" s="1851"/>
      <c r="AA260" s="1851"/>
      <c r="AB260" s="1851"/>
      <c r="AC260" s="1851"/>
      <c r="AD260" s="1851"/>
      <c r="AE260" s="1851"/>
      <c r="AF260" s="1851"/>
      <c r="AG260" s="1851"/>
      <c r="AH260" s="1851"/>
      <c r="AI260" s="1851"/>
      <c r="AJ260" s="1851"/>
      <c r="AK260" s="1851"/>
      <c r="AL260" s="1851"/>
      <c r="AM260" s="1851"/>
      <c r="AN260" s="1851"/>
      <c r="AO260" s="1851"/>
      <c r="AP260" s="1851"/>
      <c r="AQ260" s="1851"/>
      <c r="AR260" s="1851"/>
      <c r="AS260" s="1851"/>
      <c r="AT260" s="1851"/>
      <c r="AU260" s="1851"/>
      <c r="AV260" s="1851"/>
      <c r="AW260" s="1851"/>
      <c r="AX260" s="1851"/>
      <c r="AY260" s="1851"/>
      <c r="AZ260" s="1851"/>
      <c r="BA260" s="1851"/>
      <c r="BB260" s="1851"/>
    </row>
    <row r="261" spans="1:54" x14ac:dyDescent="0.25">
      <c r="A261" s="1880" t="s">
        <v>1540</v>
      </c>
      <c r="B261" s="1881"/>
      <c r="C261" s="1856" t="s">
        <v>1006</v>
      </c>
      <c r="D261" s="1856"/>
      <c r="E261" s="1856"/>
      <c r="F261" s="1856"/>
      <c r="G261" s="1856"/>
      <c r="H261" s="1856"/>
      <c r="I261" s="1856"/>
      <c r="J261" s="1856"/>
      <c r="K261" s="1856"/>
      <c r="L261" s="1856"/>
      <c r="M261" s="1856"/>
      <c r="N261" s="1856"/>
      <c r="O261" s="1856"/>
      <c r="P261" s="1856"/>
      <c r="Q261" s="1856"/>
      <c r="R261" s="1856"/>
      <c r="S261" s="1856"/>
      <c r="T261" s="1856"/>
      <c r="U261" s="1856"/>
      <c r="V261" s="1856" t="s">
        <v>1529</v>
      </c>
      <c r="W261" s="1856"/>
      <c r="X261" s="1856"/>
      <c r="Y261" s="1851"/>
      <c r="Z261" s="1851"/>
      <c r="AA261" s="1851"/>
      <c r="AB261" s="1851"/>
      <c r="AC261" s="1851"/>
      <c r="AD261" s="1851"/>
      <c r="AE261" s="1851"/>
      <c r="AF261" s="1851"/>
      <c r="AG261" s="1851"/>
      <c r="AH261" s="1851"/>
      <c r="AI261" s="1851"/>
      <c r="AJ261" s="1851"/>
      <c r="AK261" s="1851"/>
      <c r="AL261" s="1851"/>
      <c r="AM261" s="1851"/>
      <c r="AN261" s="1851"/>
      <c r="AO261" s="1851"/>
      <c r="AP261" s="1851"/>
      <c r="AQ261" s="1851"/>
      <c r="AR261" s="1851"/>
      <c r="AS261" s="1851"/>
      <c r="AT261" s="1851"/>
      <c r="AU261" s="1851"/>
      <c r="AV261" s="1851"/>
      <c r="AW261" s="1851"/>
      <c r="AX261" s="1851"/>
      <c r="AY261" s="1851"/>
      <c r="AZ261" s="1851"/>
      <c r="BA261" s="1851"/>
      <c r="BB261" s="1851"/>
    </row>
    <row r="262" spans="1:54" x14ac:dyDescent="0.25">
      <c r="A262" s="1880" t="s">
        <v>1541</v>
      </c>
      <c r="B262" s="1881"/>
      <c r="C262" s="1856" t="s">
        <v>1542</v>
      </c>
      <c r="D262" s="1856"/>
      <c r="E262" s="1856"/>
      <c r="F262" s="1856"/>
      <c r="G262" s="1856"/>
      <c r="H262" s="1856"/>
      <c r="I262" s="1856"/>
      <c r="J262" s="1856"/>
      <c r="K262" s="1856"/>
      <c r="L262" s="1856"/>
      <c r="M262" s="1856"/>
      <c r="N262" s="1856"/>
      <c r="O262" s="1856"/>
      <c r="P262" s="1856"/>
      <c r="Q262" s="1856"/>
      <c r="R262" s="1856"/>
      <c r="S262" s="1856"/>
      <c r="T262" s="1856"/>
      <c r="U262" s="1856"/>
      <c r="V262" s="1865" t="s">
        <v>1543</v>
      </c>
      <c r="W262" s="1865"/>
      <c r="X262" s="1865"/>
      <c r="Y262" s="1857"/>
      <c r="Z262" s="1877"/>
      <c r="AA262" s="1877"/>
      <c r="AB262" s="1877"/>
      <c r="AC262" s="1859"/>
      <c r="AD262" s="1859"/>
      <c r="AE262" s="1857"/>
      <c r="AF262" s="1877"/>
      <c r="AG262" s="1877"/>
      <c r="AH262" s="1877"/>
      <c r="AI262" s="1859"/>
      <c r="AJ262" s="1859"/>
      <c r="AK262" s="1857"/>
      <c r="AL262" s="1877"/>
      <c r="AM262" s="1877"/>
      <c r="AN262" s="1877"/>
      <c r="AO262" s="1859"/>
      <c r="AP262" s="1859"/>
      <c r="AQ262" s="1857"/>
      <c r="AR262" s="1877"/>
      <c r="AS262" s="1877"/>
      <c r="AT262" s="1877"/>
      <c r="AU262" s="1859"/>
      <c r="AV262" s="1859"/>
      <c r="AW262" s="1857"/>
      <c r="AX262" s="1877"/>
      <c r="AY262" s="1877"/>
      <c r="AZ262" s="1877"/>
      <c r="BA262" s="1859"/>
      <c r="BB262" s="1859"/>
    </row>
    <row r="263" spans="1:54" x14ac:dyDescent="0.25">
      <c r="A263" s="1880" t="s">
        <v>1544</v>
      </c>
      <c r="B263" s="1881"/>
      <c r="C263" s="1856" t="s">
        <v>996</v>
      </c>
      <c r="D263" s="1856"/>
      <c r="E263" s="1856"/>
      <c r="F263" s="1856"/>
      <c r="G263" s="1856"/>
      <c r="H263" s="1856"/>
      <c r="I263" s="1856"/>
      <c r="J263" s="1856"/>
      <c r="K263" s="1856"/>
      <c r="L263" s="1856"/>
      <c r="M263" s="1856"/>
      <c r="N263" s="1856"/>
      <c r="O263" s="1856"/>
      <c r="P263" s="1856"/>
      <c r="Q263" s="1856"/>
      <c r="R263" s="1856"/>
      <c r="S263" s="1856"/>
      <c r="T263" s="1856"/>
      <c r="U263" s="1856"/>
      <c r="V263" s="1856" t="s">
        <v>1543</v>
      </c>
      <c r="W263" s="1856"/>
      <c r="X263" s="1856"/>
      <c r="Y263" s="1851"/>
      <c r="Z263" s="1851"/>
      <c r="AA263" s="1851"/>
      <c r="AB263" s="1851"/>
      <c r="AC263" s="1851"/>
      <c r="AD263" s="1851"/>
      <c r="AE263" s="1851"/>
      <c r="AF263" s="1851"/>
      <c r="AG263" s="1851"/>
      <c r="AH263" s="1851"/>
      <c r="AI263" s="1851"/>
      <c r="AJ263" s="1851"/>
      <c r="AK263" s="1851"/>
      <c r="AL263" s="1851"/>
      <c r="AM263" s="1851"/>
      <c r="AN263" s="1851"/>
      <c r="AO263" s="1851"/>
      <c r="AP263" s="1851"/>
      <c r="AQ263" s="1851"/>
      <c r="AR263" s="1851"/>
      <c r="AS263" s="1851"/>
      <c r="AT263" s="1851"/>
      <c r="AU263" s="1851"/>
      <c r="AV263" s="1851"/>
      <c r="AW263" s="1851"/>
      <c r="AX263" s="1851"/>
      <c r="AY263" s="1851"/>
      <c r="AZ263" s="1851"/>
      <c r="BA263" s="1851"/>
      <c r="BB263" s="1851"/>
    </row>
    <row r="264" spans="1:54" x14ac:dyDescent="0.25">
      <c r="A264" s="1880" t="s">
        <v>1545</v>
      </c>
      <c r="B264" s="1881"/>
      <c r="C264" s="1856" t="s">
        <v>997</v>
      </c>
      <c r="D264" s="1856"/>
      <c r="E264" s="1856"/>
      <c r="F264" s="1856"/>
      <c r="G264" s="1856"/>
      <c r="H264" s="1856"/>
      <c r="I264" s="1856"/>
      <c r="J264" s="1856"/>
      <c r="K264" s="1856"/>
      <c r="L264" s="1856"/>
      <c r="M264" s="1856"/>
      <c r="N264" s="1856"/>
      <c r="O264" s="1856"/>
      <c r="P264" s="1856"/>
      <c r="Q264" s="1856"/>
      <c r="R264" s="1856"/>
      <c r="S264" s="1856"/>
      <c r="T264" s="1856"/>
      <c r="U264" s="1856"/>
      <c r="V264" s="1856" t="s">
        <v>1543</v>
      </c>
      <c r="W264" s="1856"/>
      <c r="X264" s="1856"/>
      <c r="Y264" s="1851"/>
      <c r="Z264" s="1851"/>
      <c r="AA264" s="1851"/>
      <c r="AB264" s="1851"/>
      <c r="AC264" s="1851"/>
      <c r="AD264" s="1851"/>
      <c r="AE264" s="1851"/>
      <c r="AF264" s="1851"/>
      <c r="AG264" s="1851"/>
      <c r="AH264" s="1851"/>
      <c r="AI264" s="1851"/>
      <c r="AJ264" s="1851"/>
      <c r="AK264" s="1851"/>
      <c r="AL264" s="1851"/>
      <c r="AM264" s="1851"/>
      <c r="AN264" s="1851"/>
      <c r="AO264" s="1851"/>
      <c r="AP264" s="1851"/>
      <c r="AQ264" s="1851"/>
      <c r="AR264" s="1851"/>
      <c r="AS264" s="1851"/>
      <c r="AT264" s="1851"/>
      <c r="AU264" s="1851"/>
      <c r="AV264" s="1851"/>
      <c r="AW264" s="1851"/>
      <c r="AX264" s="1851"/>
      <c r="AY264" s="1851"/>
      <c r="AZ264" s="1851"/>
      <c r="BA264" s="1851"/>
      <c r="BB264" s="1851"/>
    </row>
    <row r="265" spans="1:54" x14ac:dyDescent="0.25">
      <c r="A265" s="1880" t="s">
        <v>1546</v>
      </c>
      <c r="B265" s="1881"/>
      <c r="C265" s="1856" t="s">
        <v>998</v>
      </c>
      <c r="D265" s="1856"/>
      <c r="E265" s="1856"/>
      <c r="F265" s="1856"/>
      <c r="G265" s="1856"/>
      <c r="H265" s="1856"/>
      <c r="I265" s="1856"/>
      <c r="J265" s="1856"/>
      <c r="K265" s="1856"/>
      <c r="L265" s="1856"/>
      <c r="M265" s="1856"/>
      <c r="N265" s="1856"/>
      <c r="O265" s="1856"/>
      <c r="P265" s="1856"/>
      <c r="Q265" s="1856"/>
      <c r="R265" s="1856"/>
      <c r="S265" s="1856"/>
      <c r="T265" s="1856"/>
      <c r="U265" s="1856"/>
      <c r="V265" s="1856" t="s">
        <v>1543</v>
      </c>
      <c r="W265" s="1856"/>
      <c r="X265" s="1856"/>
      <c r="Y265" s="1851"/>
      <c r="Z265" s="1851"/>
      <c r="AA265" s="1851"/>
      <c r="AB265" s="1851"/>
      <c r="AC265" s="1851"/>
      <c r="AD265" s="1851"/>
      <c r="AE265" s="1851"/>
      <c r="AF265" s="1851"/>
      <c r="AG265" s="1851"/>
      <c r="AH265" s="1851"/>
      <c r="AI265" s="1851"/>
      <c r="AJ265" s="1851"/>
      <c r="AK265" s="1851"/>
      <c r="AL265" s="1851"/>
      <c r="AM265" s="1851"/>
      <c r="AN265" s="1851"/>
      <c r="AO265" s="1851"/>
      <c r="AP265" s="1851"/>
      <c r="AQ265" s="1851"/>
      <c r="AR265" s="1851"/>
      <c r="AS265" s="1851"/>
      <c r="AT265" s="1851"/>
      <c r="AU265" s="1851"/>
      <c r="AV265" s="1851"/>
      <c r="AW265" s="1851"/>
      <c r="AX265" s="1851"/>
      <c r="AY265" s="1851"/>
      <c r="AZ265" s="1851"/>
      <c r="BA265" s="1851"/>
      <c r="BB265" s="1851"/>
    </row>
    <row r="266" spans="1:54" x14ac:dyDescent="0.25">
      <c r="A266" s="1880" t="s">
        <v>1547</v>
      </c>
      <c r="B266" s="1881"/>
      <c r="C266" s="1856" t="s">
        <v>999</v>
      </c>
      <c r="D266" s="1856"/>
      <c r="E266" s="1856"/>
      <c r="F266" s="1856"/>
      <c r="G266" s="1856"/>
      <c r="H266" s="1856"/>
      <c r="I266" s="1856"/>
      <c r="J266" s="1856"/>
      <c r="K266" s="1856"/>
      <c r="L266" s="1856"/>
      <c r="M266" s="1856"/>
      <c r="N266" s="1856"/>
      <c r="O266" s="1856"/>
      <c r="P266" s="1856"/>
      <c r="Q266" s="1856"/>
      <c r="R266" s="1856"/>
      <c r="S266" s="1856"/>
      <c r="T266" s="1856"/>
      <c r="U266" s="1856"/>
      <c r="V266" s="1856" t="s">
        <v>1543</v>
      </c>
      <c r="W266" s="1856"/>
      <c r="X266" s="1856"/>
      <c r="Y266" s="1851"/>
      <c r="Z266" s="1851"/>
      <c r="AA266" s="1851"/>
      <c r="AB266" s="1851"/>
      <c r="AC266" s="1851"/>
      <c r="AD266" s="1851"/>
      <c r="AE266" s="1851"/>
      <c r="AF266" s="1851"/>
      <c r="AG266" s="1851"/>
      <c r="AH266" s="1851"/>
      <c r="AI266" s="1851"/>
      <c r="AJ266" s="1851"/>
      <c r="AK266" s="1851"/>
      <c r="AL266" s="1851"/>
      <c r="AM266" s="1851"/>
      <c r="AN266" s="1851"/>
      <c r="AO266" s="1851"/>
      <c r="AP266" s="1851"/>
      <c r="AQ266" s="1851"/>
      <c r="AR266" s="1851"/>
      <c r="AS266" s="1851"/>
      <c r="AT266" s="1851"/>
      <c r="AU266" s="1851"/>
      <c r="AV266" s="1851"/>
      <c r="AW266" s="1851"/>
      <c r="AX266" s="1851"/>
      <c r="AY266" s="1851"/>
      <c r="AZ266" s="1851"/>
      <c r="BA266" s="1851"/>
      <c r="BB266" s="1851"/>
    </row>
    <row r="267" spans="1:54" x14ac:dyDescent="0.25">
      <c r="A267" s="1880" t="s">
        <v>1548</v>
      </c>
      <c r="B267" s="1881"/>
      <c r="C267" s="1856" t="s">
        <v>1000</v>
      </c>
      <c r="D267" s="1856"/>
      <c r="E267" s="1856"/>
      <c r="F267" s="1856"/>
      <c r="G267" s="1856"/>
      <c r="H267" s="1856"/>
      <c r="I267" s="1856"/>
      <c r="J267" s="1856"/>
      <c r="K267" s="1856"/>
      <c r="L267" s="1856"/>
      <c r="M267" s="1856"/>
      <c r="N267" s="1856"/>
      <c r="O267" s="1856"/>
      <c r="P267" s="1856"/>
      <c r="Q267" s="1856"/>
      <c r="R267" s="1856"/>
      <c r="S267" s="1856"/>
      <c r="T267" s="1856"/>
      <c r="U267" s="1856"/>
      <c r="V267" s="1856" t="s">
        <v>1543</v>
      </c>
      <c r="W267" s="1856"/>
      <c r="X267" s="1856"/>
      <c r="Y267" s="1851"/>
      <c r="Z267" s="1851"/>
      <c r="AA267" s="1851"/>
      <c r="AB267" s="1851"/>
      <c r="AC267" s="1851"/>
      <c r="AD267" s="1851"/>
      <c r="AE267" s="1851"/>
      <c r="AF267" s="1851"/>
      <c r="AG267" s="1851"/>
      <c r="AH267" s="1851"/>
      <c r="AI267" s="1851"/>
      <c r="AJ267" s="1851"/>
      <c r="AK267" s="1851"/>
      <c r="AL267" s="1851"/>
      <c r="AM267" s="1851"/>
      <c r="AN267" s="1851"/>
      <c r="AO267" s="1851"/>
      <c r="AP267" s="1851"/>
      <c r="AQ267" s="1851"/>
      <c r="AR267" s="1851"/>
      <c r="AS267" s="1851"/>
      <c r="AT267" s="1851"/>
      <c r="AU267" s="1851"/>
      <c r="AV267" s="1851"/>
      <c r="AW267" s="1851"/>
      <c r="AX267" s="1851"/>
      <c r="AY267" s="1851"/>
      <c r="AZ267" s="1851"/>
      <c r="BA267" s="1851"/>
      <c r="BB267" s="1851"/>
    </row>
    <row r="268" spans="1:54" x14ac:dyDescent="0.25">
      <c r="A268" s="1880" t="s">
        <v>1549</v>
      </c>
      <c r="B268" s="1881"/>
      <c r="C268" s="1856" t="s">
        <v>1001</v>
      </c>
      <c r="D268" s="1856"/>
      <c r="E268" s="1856"/>
      <c r="F268" s="1856"/>
      <c r="G268" s="1856"/>
      <c r="H268" s="1856"/>
      <c r="I268" s="1856"/>
      <c r="J268" s="1856"/>
      <c r="K268" s="1856"/>
      <c r="L268" s="1856"/>
      <c r="M268" s="1856"/>
      <c r="N268" s="1856"/>
      <c r="O268" s="1856"/>
      <c r="P268" s="1856"/>
      <c r="Q268" s="1856"/>
      <c r="R268" s="1856"/>
      <c r="S268" s="1856"/>
      <c r="T268" s="1856"/>
      <c r="U268" s="1856"/>
      <c r="V268" s="1856" t="s">
        <v>1543</v>
      </c>
      <c r="W268" s="1856"/>
      <c r="X268" s="1856"/>
      <c r="Y268" s="1851"/>
      <c r="Z268" s="1851"/>
      <c r="AA268" s="1851"/>
      <c r="AB268" s="1851"/>
      <c r="AC268" s="1851"/>
      <c r="AD268" s="1851"/>
      <c r="AE268" s="1851"/>
      <c r="AF268" s="1851"/>
      <c r="AG268" s="1851"/>
      <c r="AH268" s="1851"/>
      <c r="AI268" s="1851"/>
      <c r="AJ268" s="1851"/>
      <c r="AK268" s="1851"/>
      <c r="AL268" s="1851"/>
      <c r="AM268" s="1851"/>
      <c r="AN268" s="1851"/>
      <c r="AO268" s="1851"/>
      <c r="AP268" s="1851"/>
      <c r="AQ268" s="1851"/>
      <c r="AR268" s="1851"/>
      <c r="AS268" s="1851"/>
      <c r="AT268" s="1851"/>
      <c r="AU268" s="1851"/>
      <c r="AV268" s="1851"/>
      <c r="AW268" s="1851"/>
      <c r="AX268" s="1851"/>
      <c r="AY268" s="1851"/>
      <c r="AZ268" s="1851"/>
      <c r="BA268" s="1851"/>
      <c r="BB268" s="1851"/>
    </row>
    <row r="269" spans="1:54" x14ac:dyDescent="0.25">
      <c r="A269" s="1880" t="s">
        <v>1550</v>
      </c>
      <c r="B269" s="1881"/>
      <c r="C269" s="1856" t="s">
        <v>1002</v>
      </c>
      <c r="D269" s="1856"/>
      <c r="E269" s="1856"/>
      <c r="F269" s="1856"/>
      <c r="G269" s="1856"/>
      <c r="H269" s="1856"/>
      <c r="I269" s="1856"/>
      <c r="J269" s="1856"/>
      <c r="K269" s="1856"/>
      <c r="L269" s="1856"/>
      <c r="M269" s="1856"/>
      <c r="N269" s="1856"/>
      <c r="O269" s="1856"/>
      <c r="P269" s="1856"/>
      <c r="Q269" s="1856"/>
      <c r="R269" s="1856"/>
      <c r="S269" s="1856"/>
      <c r="T269" s="1856"/>
      <c r="U269" s="1856"/>
      <c r="V269" s="1856" t="s">
        <v>1543</v>
      </c>
      <c r="W269" s="1856"/>
      <c r="X269" s="1856"/>
      <c r="Y269" s="1851"/>
      <c r="Z269" s="1851"/>
      <c r="AA269" s="1851"/>
      <c r="AB269" s="1851"/>
      <c r="AC269" s="1851"/>
      <c r="AD269" s="1851"/>
      <c r="AE269" s="1851"/>
      <c r="AF269" s="1851"/>
      <c r="AG269" s="1851"/>
      <c r="AH269" s="1851"/>
      <c r="AI269" s="1851"/>
      <c r="AJ269" s="1851"/>
      <c r="AK269" s="1851"/>
      <c r="AL269" s="1851"/>
      <c r="AM269" s="1851"/>
      <c r="AN269" s="1851"/>
      <c r="AO269" s="1851"/>
      <c r="AP269" s="1851"/>
      <c r="AQ269" s="1851"/>
      <c r="AR269" s="1851"/>
      <c r="AS269" s="1851"/>
      <c r="AT269" s="1851"/>
      <c r="AU269" s="1851"/>
      <c r="AV269" s="1851"/>
      <c r="AW269" s="1851"/>
      <c r="AX269" s="1851"/>
      <c r="AY269" s="1851"/>
      <c r="AZ269" s="1851"/>
      <c r="BA269" s="1851"/>
      <c r="BB269" s="1851"/>
    </row>
    <row r="270" spans="1:54" x14ac:dyDescent="0.25">
      <c r="A270" s="1880" t="s">
        <v>1551</v>
      </c>
      <c r="B270" s="1881"/>
      <c r="C270" s="1856" t="s">
        <v>1003</v>
      </c>
      <c r="D270" s="1856"/>
      <c r="E270" s="1856"/>
      <c r="F270" s="1856"/>
      <c r="G270" s="1856"/>
      <c r="H270" s="1856"/>
      <c r="I270" s="1856"/>
      <c r="J270" s="1856"/>
      <c r="K270" s="1856"/>
      <c r="L270" s="1856"/>
      <c r="M270" s="1856"/>
      <c r="N270" s="1856"/>
      <c r="O270" s="1856"/>
      <c r="P270" s="1856"/>
      <c r="Q270" s="1856"/>
      <c r="R270" s="1856"/>
      <c r="S270" s="1856"/>
      <c r="T270" s="1856"/>
      <c r="U270" s="1856"/>
      <c r="V270" s="1856" t="s">
        <v>1543</v>
      </c>
      <c r="W270" s="1856"/>
      <c r="X270" s="1856"/>
      <c r="Y270" s="1851"/>
      <c r="Z270" s="1851"/>
      <c r="AA270" s="1851"/>
      <c r="AB270" s="1851"/>
      <c r="AC270" s="1851"/>
      <c r="AD270" s="1851"/>
      <c r="AE270" s="1851"/>
      <c r="AF270" s="1851"/>
      <c r="AG270" s="1851"/>
      <c r="AH270" s="1851"/>
      <c r="AI270" s="1851"/>
      <c r="AJ270" s="1851"/>
      <c r="AK270" s="1851"/>
      <c r="AL270" s="1851"/>
      <c r="AM270" s="1851"/>
      <c r="AN270" s="1851"/>
      <c r="AO270" s="1851"/>
      <c r="AP270" s="1851"/>
      <c r="AQ270" s="1851"/>
      <c r="AR270" s="1851"/>
      <c r="AS270" s="1851"/>
      <c r="AT270" s="1851"/>
      <c r="AU270" s="1851"/>
      <c r="AV270" s="1851"/>
      <c r="AW270" s="1851"/>
      <c r="AX270" s="1851"/>
      <c r="AY270" s="1851"/>
      <c r="AZ270" s="1851"/>
      <c r="BA270" s="1851"/>
      <c r="BB270" s="1851"/>
    </row>
    <row r="271" spans="1:54" x14ac:dyDescent="0.25">
      <c r="A271" s="1880" t="s">
        <v>1552</v>
      </c>
      <c r="B271" s="1881"/>
      <c r="C271" s="1856" t="s">
        <v>1004</v>
      </c>
      <c r="D271" s="1856"/>
      <c r="E271" s="1856"/>
      <c r="F271" s="1856"/>
      <c r="G271" s="1856"/>
      <c r="H271" s="1856"/>
      <c r="I271" s="1856"/>
      <c r="J271" s="1856"/>
      <c r="K271" s="1856"/>
      <c r="L271" s="1856"/>
      <c r="M271" s="1856"/>
      <c r="N271" s="1856"/>
      <c r="O271" s="1856"/>
      <c r="P271" s="1856"/>
      <c r="Q271" s="1856"/>
      <c r="R271" s="1856"/>
      <c r="S271" s="1856"/>
      <c r="T271" s="1856"/>
      <c r="U271" s="1856"/>
      <c r="V271" s="1856" t="s">
        <v>1543</v>
      </c>
      <c r="W271" s="1856"/>
      <c r="X271" s="1856"/>
      <c r="Y271" s="1851"/>
      <c r="Z271" s="1851"/>
      <c r="AA271" s="1851"/>
      <c r="AB271" s="1851"/>
      <c r="AC271" s="1851"/>
      <c r="AD271" s="1851"/>
      <c r="AE271" s="1851"/>
      <c r="AF271" s="1851"/>
      <c r="AG271" s="1851"/>
      <c r="AH271" s="1851"/>
      <c r="AI271" s="1851"/>
      <c r="AJ271" s="1851"/>
      <c r="AK271" s="1851"/>
      <c r="AL271" s="1851"/>
      <c r="AM271" s="1851"/>
      <c r="AN271" s="1851"/>
      <c r="AO271" s="1851"/>
      <c r="AP271" s="1851"/>
      <c r="AQ271" s="1851"/>
      <c r="AR271" s="1851"/>
      <c r="AS271" s="1851"/>
      <c r="AT271" s="1851"/>
      <c r="AU271" s="1851"/>
      <c r="AV271" s="1851"/>
      <c r="AW271" s="1851"/>
      <c r="AX271" s="1851"/>
      <c r="AY271" s="1851"/>
      <c r="AZ271" s="1851"/>
      <c r="BA271" s="1851"/>
      <c r="BB271" s="1851"/>
    </row>
    <row r="272" spans="1:54" x14ac:dyDescent="0.25">
      <c r="A272" s="1880" t="s">
        <v>1553</v>
      </c>
      <c r="B272" s="1881"/>
      <c r="C272" s="1856" t="s">
        <v>1005</v>
      </c>
      <c r="D272" s="1856"/>
      <c r="E272" s="1856"/>
      <c r="F272" s="1856"/>
      <c r="G272" s="1856"/>
      <c r="H272" s="1856"/>
      <c r="I272" s="1856"/>
      <c r="J272" s="1856"/>
      <c r="K272" s="1856"/>
      <c r="L272" s="1856"/>
      <c r="M272" s="1856"/>
      <c r="N272" s="1856"/>
      <c r="O272" s="1856"/>
      <c r="P272" s="1856"/>
      <c r="Q272" s="1856"/>
      <c r="R272" s="1856"/>
      <c r="S272" s="1856"/>
      <c r="T272" s="1856"/>
      <c r="U272" s="1856"/>
      <c r="V272" s="1856" t="s">
        <v>1543</v>
      </c>
      <c r="W272" s="1856"/>
      <c r="X272" s="1856"/>
      <c r="Y272" s="1851"/>
      <c r="Z272" s="1851"/>
      <c r="AA272" s="1851"/>
      <c r="AB272" s="1851"/>
      <c r="AC272" s="1851"/>
      <c r="AD272" s="1851"/>
      <c r="AE272" s="1851"/>
      <c r="AF272" s="1851"/>
      <c r="AG272" s="1851"/>
      <c r="AH272" s="1851"/>
      <c r="AI272" s="1851"/>
      <c r="AJ272" s="1851"/>
      <c r="AK272" s="1851"/>
      <c r="AL272" s="1851"/>
      <c r="AM272" s="1851"/>
      <c r="AN272" s="1851"/>
      <c r="AO272" s="1851"/>
      <c r="AP272" s="1851"/>
      <c r="AQ272" s="1851"/>
      <c r="AR272" s="1851"/>
      <c r="AS272" s="1851"/>
      <c r="AT272" s="1851"/>
      <c r="AU272" s="1851"/>
      <c r="AV272" s="1851"/>
      <c r="AW272" s="1851"/>
      <c r="AX272" s="1851"/>
      <c r="AY272" s="1851"/>
      <c r="AZ272" s="1851"/>
      <c r="BA272" s="1851"/>
      <c r="BB272" s="1851"/>
    </row>
    <row r="273" spans="1:54" x14ac:dyDescent="0.25">
      <c r="A273" s="1880" t="s">
        <v>1554</v>
      </c>
      <c r="B273" s="1881"/>
      <c r="C273" s="1856" t="s">
        <v>1006</v>
      </c>
      <c r="D273" s="1856"/>
      <c r="E273" s="1856"/>
      <c r="F273" s="1856"/>
      <c r="G273" s="1856"/>
      <c r="H273" s="1856"/>
      <c r="I273" s="1856"/>
      <c r="J273" s="1856"/>
      <c r="K273" s="1856"/>
      <c r="L273" s="1856"/>
      <c r="M273" s="1856"/>
      <c r="N273" s="1856"/>
      <c r="O273" s="1856"/>
      <c r="P273" s="1856"/>
      <c r="Q273" s="1856"/>
      <c r="R273" s="1856"/>
      <c r="S273" s="1856"/>
      <c r="T273" s="1856"/>
      <c r="U273" s="1856"/>
      <c r="V273" s="1856" t="s">
        <v>1543</v>
      </c>
      <c r="W273" s="1856"/>
      <c r="X273" s="1856"/>
      <c r="Y273" s="1851"/>
      <c r="Z273" s="1851"/>
      <c r="AA273" s="1851"/>
      <c r="AB273" s="1851"/>
      <c r="AC273" s="1851"/>
      <c r="AD273" s="1851"/>
      <c r="AE273" s="1851"/>
      <c r="AF273" s="1851"/>
      <c r="AG273" s="1851"/>
      <c r="AH273" s="1851"/>
      <c r="AI273" s="1851"/>
      <c r="AJ273" s="1851"/>
      <c r="AK273" s="1851"/>
      <c r="AL273" s="1851"/>
      <c r="AM273" s="1851"/>
      <c r="AN273" s="1851"/>
      <c r="AO273" s="1851"/>
      <c r="AP273" s="1851"/>
      <c r="AQ273" s="1851"/>
      <c r="AR273" s="1851"/>
      <c r="AS273" s="1851"/>
      <c r="AT273" s="1851"/>
      <c r="AU273" s="1851"/>
      <c r="AV273" s="1851"/>
      <c r="AW273" s="1851"/>
      <c r="AX273" s="1851"/>
      <c r="AY273" s="1851"/>
      <c r="AZ273" s="1851"/>
      <c r="BA273" s="1851"/>
      <c r="BB273" s="1851"/>
    </row>
    <row r="274" spans="1:54" x14ac:dyDescent="0.25">
      <c r="A274" s="1878" t="s">
        <v>1555</v>
      </c>
      <c r="B274" s="1879"/>
      <c r="C274" s="1855" t="s">
        <v>1556</v>
      </c>
      <c r="D274" s="1855"/>
      <c r="E274" s="1855"/>
      <c r="F274" s="1855"/>
      <c r="G274" s="1855"/>
      <c r="H274" s="1855"/>
      <c r="I274" s="1855"/>
      <c r="J274" s="1855"/>
      <c r="K274" s="1855"/>
      <c r="L274" s="1855"/>
      <c r="M274" s="1855"/>
      <c r="N274" s="1855"/>
      <c r="O274" s="1855"/>
      <c r="P274" s="1855"/>
      <c r="Q274" s="1855"/>
      <c r="R274" s="1855"/>
      <c r="S274" s="1855"/>
      <c r="T274" s="1855"/>
      <c r="U274" s="1855"/>
      <c r="V274" s="1864" t="s">
        <v>1557</v>
      </c>
      <c r="W274" s="1864"/>
      <c r="X274" s="1864"/>
      <c r="Y274" s="1857"/>
      <c r="Z274" s="1877"/>
      <c r="AA274" s="1877"/>
      <c r="AB274" s="1877"/>
      <c r="AC274" s="1859"/>
      <c r="AD274" s="1859"/>
      <c r="AE274" s="1857"/>
      <c r="AF274" s="1877"/>
      <c r="AG274" s="1877"/>
      <c r="AH274" s="1877"/>
      <c r="AI274" s="1859"/>
      <c r="AJ274" s="1859"/>
      <c r="AK274" s="1857"/>
      <c r="AL274" s="1877"/>
      <c r="AM274" s="1877"/>
      <c r="AN274" s="1877"/>
      <c r="AO274" s="1859"/>
      <c r="AP274" s="1859"/>
      <c r="AQ274" s="1857"/>
      <c r="AR274" s="1877"/>
      <c r="AS274" s="1877"/>
      <c r="AT274" s="1877"/>
      <c r="AU274" s="1859"/>
      <c r="AV274" s="1859"/>
      <c r="AW274" s="1857"/>
      <c r="AX274" s="1877"/>
      <c r="AY274" s="1877"/>
      <c r="AZ274" s="1877"/>
      <c r="BA274" s="1859"/>
      <c r="BB274" s="1859"/>
    </row>
    <row r="275" spans="1:54" x14ac:dyDescent="0.25">
      <c r="A275" s="1878" t="s">
        <v>1558</v>
      </c>
      <c r="B275" s="1879"/>
      <c r="C275" s="1855" t="s">
        <v>1559</v>
      </c>
      <c r="D275" s="1855"/>
      <c r="E275" s="1855"/>
      <c r="F275" s="1855"/>
      <c r="G275" s="1855"/>
      <c r="H275" s="1855"/>
      <c r="I275" s="1855"/>
      <c r="J275" s="1855"/>
      <c r="K275" s="1855"/>
      <c r="L275" s="1855"/>
      <c r="M275" s="1855"/>
      <c r="N275" s="1855"/>
      <c r="O275" s="1855"/>
      <c r="P275" s="1855"/>
      <c r="Q275" s="1855"/>
      <c r="R275" s="1855"/>
      <c r="S275" s="1855"/>
      <c r="T275" s="1855"/>
      <c r="U275" s="1855"/>
      <c r="V275" s="1864" t="s">
        <v>1560</v>
      </c>
      <c r="W275" s="1864"/>
      <c r="X275" s="1864"/>
      <c r="Y275" s="1857"/>
      <c r="Z275" s="1877"/>
      <c r="AA275" s="1877"/>
      <c r="AB275" s="1877"/>
      <c r="AC275" s="1859"/>
      <c r="AD275" s="1859"/>
      <c r="AE275" s="1857"/>
      <c r="AF275" s="1877"/>
      <c r="AG275" s="1877"/>
      <c r="AH275" s="1877"/>
      <c r="AI275" s="1859"/>
      <c r="AJ275" s="1859"/>
      <c r="AK275" s="1857"/>
      <c r="AL275" s="1877"/>
      <c r="AM275" s="1877"/>
      <c r="AN275" s="1877"/>
      <c r="AO275" s="1859"/>
      <c r="AP275" s="1859"/>
      <c r="AQ275" s="1857"/>
      <c r="AR275" s="1877"/>
      <c r="AS275" s="1877"/>
      <c r="AT275" s="1877"/>
      <c r="AU275" s="1859"/>
      <c r="AV275" s="1859"/>
      <c r="AW275" s="1857"/>
      <c r="AX275" s="1877"/>
      <c r="AY275" s="1877"/>
      <c r="AZ275" s="1877"/>
      <c r="BA275" s="1859"/>
      <c r="BB275" s="1859"/>
    </row>
    <row r="276" spans="1:54" x14ac:dyDescent="0.25">
      <c r="A276" s="1851">
        <v>272</v>
      </c>
      <c r="B276" s="1851"/>
      <c r="C276" s="1860" t="s">
        <v>1561</v>
      </c>
      <c r="D276" s="1860"/>
      <c r="E276" s="1860"/>
      <c r="F276" s="1860"/>
      <c r="G276" s="1860"/>
      <c r="H276" s="1860"/>
      <c r="I276" s="1860"/>
      <c r="J276" s="1860"/>
      <c r="K276" s="1860"/>
      <c r="L276" s="1860"/>
      <c r="M276" s="1860"/>
      <c r="N276" s="1860"/>
      <c r="O276" s="1860"/>
      <c r="P276" s="1860"/>
      <c r="Q276" s="1860"/>
      <c r="R276" s="1860"/>
      <c r="S276" s="1860"/>
      <c r="T276" s="1860"/>
      <c r="U276" s="1860"/>
      <c r="V276" s="1856" t="s">
        <v>1562</v>
      </c>
      <c r="W276" s="1856"/>
      <c r="X276" s="1856"/>
      <c r="Y276" s="1851"/>
      <c r="Z276" s="1851"/>
      <c r="AA276" s="1851"/>
      <c r="AB276" s="1851"/>
      <c r="AC276" s="1851"/>
      <c r="AD276" s="1851"/>
      <c r="AE276" s="1851"/>
      <c r="AF276" s="1851"/>
      <c r="AG276" s="1851"/>
      <c r="AH276" s="1851"/>
      <c r="AI276" s="1851"/>
      <c r="AJ276" s="1851"/>
      <c r="AK276" s="1851"/>
      <c r="AL276" s="1851"/>
      <c r="AM276" s="1851"/>
      <c r="AN276" s="1851"/>
      <c r="AO276" s="1851"/>
      <c r="AP276" s="1851"/>
      <c r="AQ276" s="1851"/>
      <c r="AR276" s="1851"/>
      <c r="AS276" s="1851"/>
      <c r="AT276" s="1851"/>
      <c r="AU276" s="1851"/>
      <c r="AV276" s="1851"/>
      <c r="AW276" s="1851"/>
      <c r="AX276" s="1851"/>
      <c r="AY276" s="1851"/>
      <c r="AZ276" s="1851"/>
      <c r="BA276" s="1851"/>
      <c r="BB276" s="1851"/>
    </row>
    <row r="277" spans="1:54" x14ac:dyDescent="0.25">
      <c r="A277" s="1880">
        <v>273</v>
      </c>
      <c r="B277" s="1881"/>
      <c r="C277" s="1856" t="s">
        <v>1065</v>
      </c>
      <c r="D277" s="1856"/>
      <c r="E277" s="1856"/>
      <c r="F277" s="1856"/>
      <c r="G277" s="1856"/>
      <c r="H277" s="1856"/>
      <c r="I277" s="1856"/>
      <c r="J277" s="1856"/>
      <c r="K277" s="1856"/>
      <c r="L277" s="1856"/>
      <c r="M277" s="1856"/>
      <c r="N277" s="1856"/>
      <c r="O277" s="1856"/>
      <c r="P277" s="1856"/>
      <c r="Q277" s="1856"/>
      <c r="R277" s="1856"/>
      <c r="S277" s="1856"/>
      <c r="T277" s="1856"/>
      <c r="U277" s="1856"/>
      <c r="V277" s="1856" t="s">
        <v>1562</v>
      </c>
      <c r="W277" s="1856"/>
      <c r="X277" s="1856"/>
      <c r="Y277" s="1851"/>
      <c r="Z277" s="1851"/>
      <c r="AA277" s="1851"/>
      <c r="AB277" s="1851"/>
      <c r="AC277" s="1851"/>
      <c r="AD277" s="1851"/>
      <c r="AE277" s="1851"/>
      <c r="AF277" s="1851"/>
      <c r="AG277" s="1851"/>
      <c r="AH277" s="1851"/>
      <c r="AI277" s="1851"/>
      <c r="AJ277" s="1851"/>
      <c r="AK277" s="1851"/>
      <c r="AL277" s="1851"/>
      <c r="AM277" s="1851"/>
      <c r="AN277" s="1851"/>
      <c r="AO277" s="1851"/>
      <c r="AP277" s="1851"/>
      <c r="AQ277" s="1851"/>
      <c r="AR277" s="1851"/>
      <c r="AS277" s="1851"/>
      <c r="AT277" s="1851"/>
      <c r="AU277" s="1851"/>
      <c r="AV277" s="1851"/>
      <c r="AW277" s="1851"/>
      <c r="AX277" s="1851"/>
      <c r="AY277" s="1851"/>
      <c r="AZ277" s="1851"/>
      <c r="BA277" s="1851"/>
      <c r="BB277" s="1851"/>
    </row>
    <row r="278" spans="1:54" x14ac:dyDescent="0.25">
      <c r="A278" s="1880">
        <v>274</v>
      </c>
      <c r="B278" s="1881"/>
      <c r="C278" s="1862" t="s">
        <v>1563</v>
      </c>
      <c r="D278" s="1862"/>
      <c r="E278" s="1862"/>
      <c r="F278" s="1862"/>
      <c r="G278" s="1862"/>
      <c r="H278" s="1862"/>
      <c r="I278" s="1862"/>
      <c r="J278" s="1862"/>
      <c r="K278" s="1862"/>
      <c r="L278" s="1862"/>
      <c r="M278" s="1862"/>
      <c r="N278" s="1862"/>
      <c r="O278" s="1862"/>
      <c r="P278" s="1862"/>
      <c r="Q278" s="1862"/>
      <c r="R278" s="1862"/>
      <c r="S278" s="1862"/>
      <c r="T278" s="1862"/>
      <c r="U278" s="1862"/>
      <c r="V278" s="1856" t="s">
        <v>1564</v>
      </c>
      <c r="W278" s="1856"/>
      <c r="X278" s="1856"/>
      <c r="Y278" s="1851"/>
      <c r="Z278" s="1851"/>
      <c r="AA278" s="1851"/>
      <c r="AB278" s="1851"/>
      <c r="AC278" s="1851"/>
      <c r="AD278" s="1851"/>
      <c r="AE278" s="1851"/>
      <c r="AF278" s="1851"/>
      <c r="AG278" s="1851"/>
      <c r="AH278" s="1851"/>
      <c r="AI278" s="1851"/>
      <c r="AJ278" s="1851"/>
      <c r="AK278" s="1851"/>
      <c r="AL278" s="1851"/>
      <c r="AM278" s="1851"/>
      <c r="AN278" s="1851"/>
      <c r="AO278" s="1851"/>
      <c r="AP278" s="1851"/>
      <c r="AQ278" s="1851"/>
      <c r="AR278" s="1851"/>
      <c r="AS278" s="1851"/>
      <c r="AT278" s="1851"/>
      <c r="AU278" s="1851"/>
      <c r="AV278" s="1851"/>
      <c r="AW278" s="1851"/>
      <c r="AX278" s="1851"/>
      <c r="AY278" s="1851"/>
      <c r="AZ278" s="1851"/>
      <c r="BA278" s="1851"/>
      <c r="BB278" s="1851"/>
    </row>
    <row r="279" spans="1:54" x14ac:dyDescent="0.25">
      <c r="A279" s="1880">
        <v>275</v>
      </c>
      <c r="B279" s="1881"/>
      <c r="C279" s="1860" t="s">
        <v>1565</v>
      </c>
      <c r="D279" s="1860"/>
      <c r="E279" s="1860"/>
      <c r="F279" s="1860"/>
      <c r="G279" s="1860"/>
      <c r="H279" s="1860"/>
      <c r="I279" s="1860"/>
      <c r="J279" s="1860"/>
      <c r="K279" s="1860"/>
      <c r="L279" s="1860"/>
      <c r="M279" s="1860"/>
      <c r="N279" s="1860"/>
      <c r="O279" s="1860"/>
      <c r="P279" s="1860"/>
      <c r="Q279" s="1860"/>
      <c r="R279" s="1860"/>
      <c r="S279" s="1860"/>
      <c r="T279" s="1860"/>
      <c r="U279" s="1860"/>
      <c r="V279" s="1856" t="s">
        <v>1566</v>
      </c>
      <c r="W279" s="1856"/>
      <c r="X279" s="1856"/>
      <c r="Y279" s="1851"/>
      <c r="Z279" s="1851"/>
      <c r="AA279" s="1851"/>
      <c r="AB279" s="1851"/>
      <c r="AC279" s="1851"/>
      <c r="AD279" s="1851"/>
      <c r="AE279" s="1851"/>
      <c r="AF279" s="1851"/>
      <c r="AG279" s="1851"/>
      <c r="AH279" s="1851"/>
      <c r="AI279" s="1851"/>
      <c r="AJ279" s="1851"/>
      <c r="AK279" s="1851"/>
      <c r="AL279" s="1851"/>
      <c r="AM279" s="1851"/>
      <c r="AN279" s="1851"/>
      <c r="AO279" s="1851"/>
      <c r="AP279" s="1851"/>
      <c r="AQ279" s="1851"/>
      <c r="AR279" s="1851"/>
      <c r="AS279" s="1851"/>
      <c r="AT279" s="1851"/>
      <c r="AU279" s="1851"/>
      <c r="AV279" s="1851"/>
      <c r="AW279" s="1851"/>
      <c r="AX279" s="1851"/>
      <c r="AY279" s="1851"/>
      <c r="AZ279" s="1851"/>
      <c r="BA279" s="1851"/>
      <c r="BB279" s="1851"/>
    </row>
    <row r="280" spans="1:54" x14ac:dyDescent="0.25">
      <c r="A280" s="1880">
        <v>276</v>
      </c>
      <c r="B280" s="1881"/>
      <c r="C280" s="1856" t="s">
        <v>1065</v>
      </c>
      <c r="D280" s="1856"/>
      <c r="E280" s="1856"/>
      <c r="F280" s="1856"/>
      <c r="G280" s="1856"/>
      <c r="H280" s="1856"/>
      <c r="I280" s="1856"/>
      <c r="J280" s="1856"/>
      <c r="K280" s="1856"/>
      <c r="L280" s="1856"/>
      <c r="M280" s="1856"/>
      <c r="N280" s="1856"/>
      <c r="O280" s="1856"/>
      <c r="P280" s="1856"/>
      <c r="Q280" s="1856"/>
      <c r="R280" s="1856"/>
      <c r="S280" s="1856"/>
      <c r="T280" s="1856"/>
      <c r="U280" s="1856"/>
      <c r="V280" s="1856" t="s">
        <v>1566</v>
      </c>
      <c r="W280" s="1856"/>
      <c r="X280" s="1856"/>
      <c r="Y280" s="1851"/>
      <c r="Z280" s="1851"/>
      <c r="AA280" s="1851"/>
      <c r="AB280" s="1851"/>
      <c r="AC280" s="1851"/>
      <c r="AD280" s="1851"/>
      <c r="AE280" s="1851"/>
      <c r="AF280" s="1851"/>
      <c r="AG280" s="1851"/>
      <c r="AH280" s="1851"/>
      <c r="AI280" s="1851"/>
      <c r="AJ280" s="1851"/>
      <c r="AK280" s="1851"/>
      <c r="AL280" s="1851"/>
      <c r="AM280" s="1851"/>
      <c r="AN280" s="1851"/>
      <c r="AO280" s="1851"/>
      <c r="AP280" s="1851"/>
      <c r="AQ280" s="1851"/>
      <c r="AR280" s="1851"/>
      <c r="AS280" s="1851"/>
      <c r="AT280" s="1851"/>
      <c r="AU280" s="1851"/>
      <c r="AV280" s="1851"/>
      <c r="AW280" s="1851"/>
      <c r="AX280" s="1851"/>
      <c r="AY280" s="1851"/>
      <c r="AZ280" s="1851"/>
      <c r="BA280" s="1851"/>
      <c r="BB280" s="1851"/>
    </row>
    <row r="281" spans="1:54" x14ac:dyDescent="0.25">
      <c r="A281" s="1878">
        <v>277</v>
      </c>
      <c r="B281" s="1879"/>
      <c r="C281" s="1863" t="s">
        <v>1567</v>
      </c>
      <c r="D281" s="1863"/>
      <c r="E281" s="1863"/>
      <c r="F281" s="1863"/>
      <c r="G281" s="1863"/>
      <c r="H281" s="1863"/>
      <c r="I281" s="1863"/>
      <c r="J281" s="1863"/>
      <c r="K281" s="1863"/>
      <c r="L281" s="1863"/>
      <c r="M281" s="1863"/>
      <c r="N281" s="1863"/>
      <c r="O281" s="1863"/>
      <c r="P281" s="1863"/>
      <c r="Q281" s="1863"/>
      <c r="R281" s="1863"/>
      <c r="S281" s="1863"/>
      <c r="T281" s="1863"/>
      <c r="U281" s="1863"/>
      <c r="V281" s="1855" t="s">
        <v>1568</v>
      </c>
      <c r="W281" s="1855"/>
      <c r="X281" s="1855"/>
      <c r="Y281" s="1857"/>
      <c r="Z281" s="1877"/>
      <c r="AA281" s="1877"/>
      <c r="AB281" s="1877"/>
      <c r="AC281" s="1859"/>
      <c r="AD281" s="1859"/>
      <c r="AE281" s="1857"/>
      <c r="AF281" s="1877"/>
      <c r="AG281" s="1877"/>
      <c r="AH281" s="1877"/>
      <c r="AI281" s="1859"/>
      <c r="AJ281" s="1859"/>
      <c r="AK281" s="1857"/>
      <c r="AL281" s="1877"/>
      <c r="AM281" s="1877"/>
      <c r="AN281" s="1877"/>
      <c r="AO281" s="1859"/>
      <c r="AP281" s="1859"/>
      <c r="AQ281" s="1857"/>
      <c r="AR281" s="1877"/>
      <c r="AS281" s="1877"/>
      <c r="AT281" s="1877"/>
      <c r="AU281" s="1859"/>
      <c r="AV281" s="1859"/>
      <c r="AW281" s="1857"/>
      <c r="AX281" s="1877"/>
      <c r="AY281" s="1877"/>
      <c r="AZ281" s="1877"/>
      <c r="BA281" s="1859"/>
      <c r="BB281" s="1859"/>
    </row>
    <row r="282" spans="1:54" x14ac:dyDescent="0.25">
      <c r="A282" s="1880">
        <v>278</v>
      </c>
      <c r="B282" s="1881"/>
      <c r="C282" s="1862" t="s">
        <v>1569</v>
      </c>
      <c r="D282" s="1862"/>
      <c r="E282" s="1862"/>
      <c r="F282" s="1862"/>
      <c r="G282" s="1862"/>
      <c r="H282" s="1862"/>
      <c r="I282" s="1862"/>
      <c r="J282" s="1862"/>
      <c r="K282" s="1862"/>
      <c r="L282" s="1862"/>
      <c r="M282" s="1862"/>
      <c r="N282" s="1862"/>
      <c r="O282" s="1862"/>
      <c r="P282" s="1862"/>
      <c r="Q282" s="1862"/>
      <c r="R282" s="1862"/>
      <c r="S282" s="1862"/>
      <c r="T282" s="1862"/>
      <c r="U282" s="1862"/>
      <c r="V282" s="1856" t="s">
        <v>1570</v>
      </c>
      <c r="W282" s="1856"/>
      <c r="X282" s="1856"/>
      <c r="Y282" s="1851"/>
      <c r="Z282" s="1851"/>
      <c r="AA282" s="1851"/>
      <c r="AB282" s="1851"/>
      <c r="AC282" s="1851"/>
      <c r="AD282" s="1851"/>
      <c r="AE282" s="1851"/>
      <c r="AF282" s="1851"/>
      <c r="AG282" s="1851"/>
      <c r="AH282" s="1851"/>
      <c r="AI282" s="1851"/>
      <c r="AJ282" s="1851"/>
      <c r="AK282" s="1851"/>
      <c r="AL282" s="1851"/>
      <c r="AM282" s="1851"/>
      <c r="AN282" s="1851"/>
      <c r="AO282" s="1851"/>
      <c r="AP282" s="1851"/>
      <c r="AQ282" s="1851"/>
      <c r="AR282" s="1851"/>
      <c r="AS282" s="1851"/>
      <c r="AT282" s="1851"/>
      <c r="AU282" s="1851"/>
      <c r="AV282" s="1851"/>
      <c r="AW282" s="1851"/>
      <c r="AX282" s="1851"/>
      <c r="AY282" s="1851"/>
      <c r="AZ282" s="1851"/>
      <c r="BA282" s="1851"/>
      <c r="BB282" s="1851"/>
    </row>
    <row r="283" spans="1:54" x14ac:dyDescent="0.25">
      <c r="A283" s="1880">
        <v>279</v>
      </c>
      <c r="B283" s="1881"/>
      <c r="C283" s="1856" t="s">
        <v>1074</v>
      </c>
      <c r="D283" s="1856"/>
      <c r="E283" s="1856"/>
      <c r="F283" s="1856"/>
      <c r="G283" s="1856"/>
      <c r="H283" s="1856"/>
      <c r="I283" s="1856"/>
      <c r="J283" s="1856"/>
      <c r="K283" s="1856"/>
      <c r="L283" s="1856"/>
      <c r="M283" s="1856"/>
      <c r="N283" s="1856"/>
      <c r="O283" s="1856"/>
      <c r="P283" s="1856"/>
      <c r="Q283" s="1856"/>
      <c r="R283" s="1856"/>
      <c r="S283" s="1856"/>
      <c r="T283" s="1856"/>
      <c r="U283" s="1856"/>
      <c r="V283" s="1856" t="s">
        <v>1570</v>
      </c>
      <c r="W283" s="1856"/>
      <c r="X283" s="1856"/>
      <c r="Y283" s="1851"/>
      <c r="Z283" s="1851"/>
      <c r="AA283" s="1851"/>
      <c r="AB283" s="1851"/>
      <c r="AC283" s="1851"/>
      <c r="AD283" s="1851"/>
      <c r="AE283" s="1851"/>
      <c r="AF283" s="1851"/>
      <c r="AG283" s="1851"/>
      <c r="AH283" s="1851"/>
      <c r="AI283" s="1851"/>
      <c r="AJ283" s="1851"/>
      <c r="AK283" s="1851"/>
      <c r="AL283" s="1851"/>
      <c r="AM283" s="1851"/>
      <c r="AN283" s="1851"/>
      <c r="AO283" s="1851"/>
      <c r="AP283" s="1851"/>
      <c r="AQ283" s="1851"/>
      <c r="AR283" s="1851"/>
      <c r="AS283" s="1851"/>
      <c r="AT283" s="1851"/>
      <c r="AU283" s="1851"/>
      <c r="AV283" s="1851"/>
      <c r="AW283" s="1851"/>
      <c r="AX283" s="1851"/>
      <c r="AY283" s="1851"/>
      <c r="AZ283" s="1851"/>
      <c r="BA283" s="1851"/>
      <c r="BB283" s="1851"/>
    </row>
    <row r="284" spans="1:54" x14ac:dyDescent="0.25">
      <c r="A284" s="1880">
        <v>280</v>
      </c>
      <c r="B284" s="1881"/>
      <c r="C284" s="1856" t="s">
        <v>1075</v>
      </c>
      <c r="D284" s="1856"/>
      <c r="E284" s="1856"/>
      <c r="F284" s="1856"/>
      <c r="G284" s="1856"/>
      <c r="H284" s="1856"/>
      <c r="I284" s="1856"/>
      <c r="J284" s="1856"/>
      <c r="K284" s="1856"/>
      <c r="L284" s="1856"/>
      <c r="M284" s="1856"/>
      <c r="N284" s="1856"/>
      <c r="O284" s="1856"/>
      <c r="P284" s="1856"/>
      <c r="Q284" s="1856"/>
      <c r="R284" s="1856"/>
      <c r="S284" s="1856"/>
      <c r="T284" s="1856"/>
      <c r="U284" s="1856"/>
      <c r="V284" s="1856" t="s">
        <v>1570</v>
      </c>
      <c r="W284" s="1856"/>
      <c r="X284" s="1856"/>
      <c r="Y284" s="1851"/>
      <c r="Z284" s="1851"/>
      <c r="AA284" s="1851"/>
      <c r="AB284" s="1851"/>
      <c r="AC284" s="1851"/>
      <c r="AD284" s="1851"/>
      <c r="AE284" s="1851"/>
      <c r="AF284" s="1851"/>
      <c r="AG284" s="1851"/>
      <c r="AH284" s="1851"/>
      <c r="AI284" s="1851"/>
      <c r="AJ284" s="1851"/>
      <c r="AK284" s="1851"/>
      <c r="AL284" s="1851"/>
      <c r="AM284" s="1851"/>
      <c r="AN284" s="1851"/>
      <c r="AO284" s="1851"/>
      <c r="AP284" s="1851"/>
      <c r="AQ284" s="1851"/>
      <c r="AR284" s="1851"/>
      <c r="AS284" s="1851"/>
      <c r="AT284" s="1851"/>
      <c r="AU284" s="1851"/>
      <c r="AV284" s="1851"/>
      <c r="AW284" s="1851"/>
      <c r="AX284" s="1851"/>
      <c r="AY284" s="1851"/>
      <c r="AZ284" s="1851"/>
      <c r="BA284" s="1851"/>
      <c r="BB284" s="1851"/>
    </row>
    <row r="285" spans="1:54" x14ac:dyDescent="0.25">
      <c r="A285" s="1880">
        <v>281</v>
      </c>
      <c r="B285" s="1881"/>
      <c r="C285" s="1860" t="s">
        <v>176</v>
      </c>
      <c r="D285" s="1860"/>
      <c r="E285" s="1860"/>
      <c r="F285" s="1860"/>
      <c r="G285" s="1860"/>
      <c r="H285" s="1860"/>
      <c r="I285" s="1860"/>
      <c r="J285" s="1860"/>
      <c r="K285" s="1860"/>
      <c r="L285" s="1860"/>
      <c r="M285" s="1860"/>
      <c r="N285" s="1860"/>
      <c r="O285" s="1860"/>
      <c r="P285" s="1860"/>
      <c r="Q285" s="1860"/>
      <c r="R285" s="1860"/>
      <c r="S285" s="1860"/>
      <c r="T285" s="1860"/>
      <c r="U285" s="1860"/>
      <c r="V285" s="1856" t="s">
        <v>1571</v>
      </c>
      <c r="W285" s="1856"/>
      <c r="X285" s="1856"/>
      <c r="Y285" s="1851"/>
      <c r="Z285" s="1851"/>
      <c r="AA285" s="1851"/>
      <c r="AB285" s="1851"/>
      <c r="AC285" s="1851"/>
      <c r="AD285" s="1851"/>
      <c r="AE285" s="1851"/>
      <c r="AF285" s="1851"/>
      <c r="AG285" s="1851"/>
      <c r="AH285" s="1851"/>
      <c r="AI285" s="1851"/>
      <c r="AJ285" s="1851"/>
      <c r="AK285" s="1851"/>
      <c r="AL285" s="1851"/>
      <c r="AM285" s="1851"/>
      <c r="AN285" s="1851"/>
      <c r="AO285" s="1851"/>
      <c r="AP285" s="1851"/>
      <c r="AQ285" s="1851"/>
      <c r="AR285" s="1851"/>
      <c r="AS285" s="1851"/>
      <c r="AT285" s="1851"/>
      <c r="AU285" s="1851"/>
      <c r="AV285" s="1851"/>
      <c r="AW285" s="1851"/>
      <c r="AX285" s="1851"/>
      <c r="AY285" s="1851"/>
      <c r="AZ285" s="1851"/>
      <c r="BA285" s="1851"/>
      <c r="BB285" s="1851"/>
    </row>
    <row r="286" spans="1:54" x14ac:dyDescent="0.25">
      <c r="A286" s="1880">
        <v>282</v>
      </c>
      <c r="B286" s="1881"/>
      <c r="C286" s="1856" t="s">
        <v>1572</v>
      </c>
      <c r="D286" s="1856"/>
      <c r="E286" s="1856"/>
      <c r="F286" s="1856"/>
      <c r="G286" s="1856"/>
      <c r="H286" s="1856"/>
      <c r="I286" s="1856"/>
      <c r="J286" s="1856"/>
      <c r="K286" s="1856"/>
      <c r="L286" s="1856"/>
      <c r="M286" s="1856"/>
      <c r="N286" s="1856"/>
      <c r="O286" s="1856"/>
      <c r="P286" s="1856"/>
      <c r="Q286" s="1856"/>
      <c r="R286" s="1856"/>
      <c r="S286" s="1856"/>
      <c r="T286" s="1856"/>
      <c r="U286" s="1856"/>
      <c r="V286" s="1856" t="s">
        <v>1573</v>
      </c>
      <c r="W286" s="1856"/>
      <c r="X286" s="1856"/>
      <c r="Y286" s="1851"/>
      <c r="Z286" s="1851"/>
      <c r="AA286" s="1851"/>
      <c r="AB286" s="1851"/>
      <c r="AC286" s="1851"/>
      <c r="AD286" s="1851"/>
      <c r="AE286" s="1851"/>
      <c r="AF286" s="1851"/>
      <c r="AG286" s="1851"/>
      <c r="AH286" s="1851"/>
      <c r="AI286" s="1851"/>
      <c r="AJ286" s="1851"/>
      <c r="AK286" s="1851"/>
      <c r="AL286" s="1851"/>
      <c r="AM286" s="1851"/>
      <c r="AN286" s="1851"/>
      <c r="AO286" s="1851"/>
      <c r="AP286" s="1851"/>
      <c r="AQ286" s="1851"/>
      <c r="AR286" s="1851"/>
      <c r="AS286" s="1851"/>
      <c r="AT286" s="1851"/>
      <c r="AU286" s="1851"/>
      <c r="AV286" s="1851"/>
      <c r="AW286" s="1851"/>
      <c r="AX286" s="1851"/>
      <c r="AY286" s="1851"/>
      <c r="AZ286" s="1851"/>
      <c r="BA286" s="1851"/>
      <c r="BB286" s="1851"/>
    </row>
    <row r="287" spans="1:54" x14ac:dyDescent="0.25">
      <c r="A287" s="1880">
        <v>283</v>
      </c>
      <c r="B287" s="1881"/>
      <c r="C287" s="1860" t="s">
        <v>180</v>
      </c>
      <c r="D287" s="1860"/>
      <c r="E287" s="1860"/>
      <c r="F287" s="1860"/>
      <c r="G287" s="1860"/>
      <c r="H287" s="1860"/>
      <c r="I287" s="1860"/>
      <c r="J287" s="1860"/>
      <c r="K287" s="1860"/>
      <c r="L287" s="1860"/>
      <c r="M287" s="1860"/>
      <c r="N287" s="1860"/>
      <c r="O287" s="1860"/>
      <c r="P287" s="1860"/>
      <c r="Q287" s="1860"/>
      <c r="R287" s="1860"/>
      <c r="S287" s="1860"/>
      <c r="T287" s="1860"/>
      <c r="U287" s="1860"/>
      <c r="V287" s="1856" t="s">
        <v>1574</v>
      </c>
      <c r="W287" s="1856"/>
      <c r="X287" s="1856"/>
      <c r="Y287" s="1851"/>
      <c r="Z287" s="1851"/>
      <c r="AA287" s="1851"/>
      <c r="AB287" s="1851"/>
      <c r="AC287" s="1851"/>
      <c r="AD287" s="1851"/>
      <c r="AE287" s="1851"/>
      <c r="AF287" s="1851"/>
      <c r="AG287" s="1851"/>
      <c r="AH287" s="1851"/>
      <c r="AI287" s="1851"/>
      <c r="AJ287" s="1851"/>
      <c r="AK287" s="1851"/>
      <c r="AL287" s="1851"/>
      <c r="AM287" s="1851"/>
      <c r="AN287" s="1851"/>
      <c r="AO287" s="1851"/>
      <c r="AP287" s="1851"/>
      <c r="AQ287" s="1851"/>
      <c r="AR287" s="1851"/>
      <c r="AS287" s="1851"/>
      <c r="AT287" s="1851"/>
      <c r="AU287" s="1851"/>
      <c r="AV287" s="1851"/>
      <c r="AW287" s="1851"/>
      <c r="AX287" s="1851"/>
      <c r="AY287" s="1851"/>
      <c r="AZ287" s="1851"/>
      <c r="BA287" s="1851"/>
      <c r="BB287" s="1851"/>
    </row>
    <row r="288" spans="1:54" x14ac:dyDescent="0.25">
      <c r="A288" s="1878">
        <v>284</v>
      </c>
      <c r="B288" s="1879"/>
      <c r="C288" s="1861" t="s">
        <v>1575</v>
      </c>
      <c r="D288" s="1861"/>
      <c r="E288" s="1861"/>
      <c r="F288" s="1861"/>
      <c r="G288" s="1861"/>
      <c r="H288" s="1861"/>
      <c r="I288" s="1861"/>
      <c r="J288" s="1861"/>
      <c r="K288" s="1861"/>
      <c r="L288" s="1861"/>
      <c r="M288" s="1861"/>
      <c r="N288" s="1861"/>
      <c r="O288" s="1861"/>
      <c r="P288" s="1861"/>
      <c r="Q288" s="1861"/>
      <c r="R288" s="1861"/>
      <c r="S288" s="1861"/>
      <c r="T288" s="1861"/>
      <c r="U288" s="1861"/>
      <c r="V288" s="1855" t="s">
        <v>1576</v>
      </c>
      <c r="W288" s="1855"/>
      <c r="X288" s="1855"/>
      <c r="Y288" s="1857"/>
      <c r="Z288" s="1877"/>
      <c r="AA288" s="1877"/>
      <c r="AB288" s="1877"/>
      <c r="AC288" s="1859"/>
      <c r="AD288" s="1859"/>
      <c r="AE288" s="1857"/>
      <c r="AF288" s="1877"/>
      <c r="AG288" s="1877"/>
      <c r="AH288" s="1877"/>
      <c r="AI288" s="1859"/>
      <c r="AJ288" s="1859"/>
      <c r="AK288" s="1857"/>
      <c r="AL288" s="1877"/>
      <c r="AM288" s="1877"/>
      <c r="AN288" s="1877"/>
      <c r="AO288" s="1859"/>
      <c r="AP288" s="1859"/>
      <c r="AQ288" s="1857"/>
      <c r="AR288" s="1877"/>
      <c r="AS288" s="1877"/>
      <c r="AT288" s="1877"/>
      <c r="AU288" s="1859"/>
      <c r="AV288" s="1859"/>
      <c r="AW288" s="1857"/>
      <c r="AX288" s="1877"/>
      <c r="AY288" s="1877"/>
      <c r="AZ288" s="1877"/>
      <c r="BA288" s="1859"/>
      <c r="BB288" s="1859"/>
    </row>
    <row r="289" spans="1:54" x14ac:dyDescent="0.25">
      <c r="A289" s="1880">
        <v>285</v>
      </c>
      <c r="B289" s="1881"/>
      <c r="C289" s="1856" t="s">
        <v>184</v>
      </c>
      <c r="D289" s="1856"/>
      <c r="E289" s="1856"/>
      <c r="F289" s="1856"/>
      <c r="G289" s="1856"/>
      <c r="H289" s="1856"/>
      <c r="I289" s="1856"/>
      <c r="J289" s="1856"/>
      <c r="K289" s="1856"/>
      <c r="L289" s="1856"/>
      <c r="M289" s="1856"/>
      <c r="N289" s="1856"/>
      <c r="O289" s="1856"/>
      <c r="P289" s="1856"/>
      <c r="Q289" s="1856"/>
      <c r="R289" s="1856"/>
      <c r="S289" s="1856"/>
      <c r="T289" s="1856"/>
      <c r="U289" s="1856"/>
      <c r="V289" s="1856" t="s">
        <v>1577</v>
      </c>
      <c r="W289" s="1856"/>
      <c r="X289" s="1856"/>
      <c r="Y289" s="1851"/>
      <c r="Z289" s="1851"/>
      <c r="AA289" s="1851"/>
      <c r="AB289" s="1851"/>
      <c r="AC289" s="1851"/>
      <c r="AD289" s="1851"/>
      <c r="AE289" s="1851"/>
      <c r="AF289" s="1851"/>
      <c r="AG289" s="1851"/>
      <c r="AH289" s="1851"/>
      <c r="AI289" s="1851"/>
      <c r="AJ289" s="1851"/>
      <c r="AK289" s="1851"/>
      <c r="AL289" s="1851"/>
      <c r="AM289" s="1851"/>
      <c r="AN289" s="1851"/>
      <c r="AO289" s="1851"/>
      <c r="AP289" s="1851"/>
      <c r="AQ289" s="1851"/>
      <c r="AR289" s="1851"/>
      <c r="AS289" s="1851"/>
      <c r="AT289" s="1851"/>
      <c r="AU289" s="1851"/>
      <c r="AV289" s="1851"/>
      <c r="AW289" s="1851"/>
      <c r="AX289" s="1851"/>
      <c r="AY289" s="1851"/>
      <c r="AZ289" s="1851"/>
      <c r="BA289" s="1851"/>
      <c r="BB289" s="1851"/>
    </row>
    <row r="290" spans="1:54" x14ac:dyDescent="0.25">
      <c r="A290" s="1880">
        <v>286</v>
      </c>
      <c r="B290" s="1881"/>
      <c r="C290" s="1856" t="s">
        <v>186</v>
      </c>
      <c r="D290" s="1856"/>
      <c r="E290" s="1856"/>
      <c r="F290" s="1856"/>
      <c r="G290" s="1856"/>
      <c r="H290" s="1856"/>
      <c r="I290" s="1856"/>
      <c r="J290" s="1856"/>
      <c r="K290" s="1856"/>
      <c r="L290" s="1856"/>
      <c r="M290" s="1856"/>
      <c r="N290" s="1856"/>
      <c r="O290" s="1856"/>
      <c r="P290" s="1856"/>
      <c r="Q290" s="1856"/>
      <c r="R290" s="1856"/>
      <c r="S290" s="1856"/>
      <c r="T290" s="1856"/>
      <c r="U290" s="1856"/>
      <c r="V290" s="1856" t="s">
        <v>1578</v>
      </c>
      <c r="W290" s="1856"/>
      <c r="X290" s="1856"/>
      <c r="Y290" s="1851"/>
      <c r="Z290" s="1851"/>
      <c r="AA290" s="1851"/>
      <c r="AB290" s="1851"/>
      <c r="AC290" s="1851"/>
      <c r="AD290" s="1851"/>
      <c r="AE290" s="1851"/>
      <c r="AF290" s="1851"/>
      <c r="AG290" s="1851"/>
      <c r="AH290" s="1851"/>
      <c r="AI290" s="1851"/>
      <c r="AJ290" s="1851"/>
      <c r="AK290" s="1851"/>
      <c r="AL290" s="1851"/>
      <c r="AM290" s="1851"/>
      <c r="AN290" s="1851"/>
      <c r="AO290" s="1851"/>
      <c r="AP290" s="1851"/>
      <c r="AQ290" s="1851"/>
      <c r="AR290" s="1851"/>
      <c r="AS290" s="1851"/>
      <c r="AT290" s="1851"/>
      <c r="AU290" s="1851"/>
      <c r="AV290" s="1851"/>
      <c r="AW290" s="1851"/>
      <c r="AX290" s="1851"/>
      <c r="AY290" s="1851"/>
      <c r="AZ290" s="1851"/>
      <c r="BA290" s="1851"/>
      <c r="BB290" s="1851"/>
    </row>
    <row r="291" spans="1:54" x14ac:dyDescent="0.25">
      <c r="A291" s="1878">
        <v>287</v>
      </c>
      <c r="B291" s="1879"/>
      <c r="C291" s="1855" t="s">
        <v>1579</v>
      </c>
      <c r="D291" s="1856"/>
      <c r="E291" s="1856"/>
      <c r="F291" s="1856"/>
      <c r="G291" s="1856"/>
      <c r="H291" s="1856"/>
      <c r="I291" s="1856"/>
      <c r="J291" s="1856"/>
      <c r="K291" s="1856"/>
      <c r="L291" s="1856"/>
      <c r="M291" s="1856"/>
      <c r="N291" s="1856"/>
      <c r="O291" s="1856"/>
      <c r="P291" s="1856"/>
      <c r="Q291" s="1856"/>
      <c r="R291" s="1856"/>
      <c r="S291" s="1856"/>
      <c r="T291" s="1856"/>
      <c r="U291" s="1856"/>
      <c r="V291" s="1855" t="s">
        <v>1580</v>
      </c>
      <c r="W291" s="1855"/>
      <c r="X291" s="1855"/>
      <c r="Y291" s="1857"/>
      <c r="Z291" s="1877"/>
      <c r="AA291" s="1877"/>
      <c r="AB291" s="1877"/>
      <c r="AC291" s="1859"/>
      <c r="AD291" s="1859"/>
      <c r="AE291" s="1857"/>
      <c r="AF291" s="1877"/>
      <c r="AG291" s="1877"/>
      <c r="AH291" s="1877"/>
      <c r="AI291" s="1859"/>
      <c r="AJ291" s="1859"/>
      <c r="AK291" s="1857"/>
      <c r="AL291" s="1877"/>
      <c r="AM291" s="1877"/>
      <c r="AN291" s="1877"/>
      <c r="AO291" s="1859"/>
      <c r="AP291" s="1859"/>
      <c r="AQ291" s="1857"/>
      <c r="AR291" s="1877"/>
      <c r="AS291" s="1877"/>
      <c r="AT291" s="1877"/>
      <c r="AU291" s="1859"/>
      <c r="AV291" s="1859"/>
      <c r="AW291" s="1857"/>
      <c r="AX291" s="1877"/>
      <c r="AY291" s="1877"/>
      <c r="AZ291" s="1877"/>
      <c r="BA291" s="1859"/>
      <c r="BB291" s="1859"/>
    </row>
    <row r="292" spans="1:54" x14ac:dyDescent="0.25">
      <c r="A292" s="1880">
        <v>288</v>
      </c>
      <c r="B292" s="1881"/>
      <c r="C292" s="1860" t="s">
        <v>190</v>
      </c>
      <c r="D292" s="1860"/>
      <c r="E292" s="1860"/>
      <c r="F292" s="1860"/>
      <c r="G292" s="1860"/>
      <c r="H292" s="1860"/>
      <c r="I292" s="1860"/>
      <c r="J292" s="1860"/>
      <c r="K292" s="1860"/>
      <c r="L292" s="1860"/>
      <c r="M292" s="1860"/>
      <c r="N292" s="1860"/>
      <c r="O292" s="1860"/>
      <c r="P292" s="1860"/>
      <c r="Q292" s="1860"/>
      <c r="R292" s="1860"/>
      <c r="S292" s="1860"/>
      <c r="T292" s="1860"/>
      <c r="U292" s="1860"/>
      <c r="V292" s="1856" t="s">
        <v>1581</v>
      </c>
      <c r="W292" s="1856"/>
      <c r="X292" s="1856"/>
      <c r="Y292" s="1851"/>
      <c r="Z292" s="1851"/>
      <c r="AA292" s="1851"/>
      <c r="AB292" s="1851"/>
      <c r="AC292" s="1851"/>
      <c r="AD292" s="1851"/>
      <c r="AE292" s="1851"/>
      <c r="AF292" s="1851"/>
      <c r="AG292" s="1851"/>
      <c r="AH292" s="1851"/>
      <c r="AI292" s="1851"/>
      <c r="AJ292" s="1851"/>
      <c r="AK292" s="1851"/>
      <c r="AL292" s="1851"/>
      <c r="AM292" s="1851"/>
      <c r="AN292" s="1851"/>
      <c r="AO292" s="1851"/>
      <c r="AP292" s="1851"/>
      <c r="AQ292" s="1851"/>
      <c r="AR292" s="1851"/>
      <c r="AS292" s="1851"/>
      <c r="AT292" s="1851"/>
      <c r="AU292" s="1851"/>
      <c r="AV292" s="1851"/>
      <c r="AW292" s="1851"/>
      <c r="AX292" s="1851"/>
      <c r="AY292" s="1851"/>
      <c r="AZ292" s="1851"/>
      <c r="BA292" s="1851"/>
      <c r="BB292" s="1851"/>
    </row>
    <row r="293" spans="1:54" x14ac:dyDescent="0.25">
      <c r="A293" s="1880">
        <v>289</v>
      </c>
      <c r="B293" s="1881"/>
      <c r="C293" s="1860" t="s">
        <v>192</v>
      </c>
      <c r="D293" s="1860"/>
      <c r="E293" s="1860"/>
      <c r="F293" s="1860"/>
      <c r="G293" s="1860"/>
      <c r="H293" s="1860"/>
      <c r="I293" s="1860"/>
      <c r="J293" s="1860"/>
      <c r="K293" s="1860"/>
      <c r="L293" s="1860"/>
      <c r="M293" s="1860"/>
      <c r="N293" s="1860"/>
      <c r="O293" s="1860"/>
      <c r="P293" s="1860"/>
      <c r="Q293" s="1860"/>
      <c r="R293" s="1860"/>
      <c r="S293" s="1860"/>
      <c r="T293" s="1860"/>
      <c r="U293" s="1860"/>
      <c r="V293" s="1856" t="s">
        <v>1582</v>
      </c>
      <c r="W293" s="1856"/>
      <c r="X293" s="1856"/>
      <c r="Y293" s="1851"/>
      <c r="Z293" s="1851"/>
      <c r="AA293" s="1851"/>
      <c r="AB293" s="1851"/>
      <c r="AC293" s="1851"/>
      <c r="AD293" s="1851"/>
      <c r="AE293" s="1851"/>
      <c r="AF293" s="1851"/>
      <c r="AG293" s="1851"/>
      <c r="AH293" s="1851"/>
      <c r="AI293" s="1851"/>
      <c r="AJ293" s="1851"/>
      <c r="AK293" s="1851"/>
      <c r="AL293" s="1851"/>
      <c r="AM293" s="1851"/>
      <c r="AN293" s="1851"/>
      <c r="AO293" s="1851"/>
      <c r="AP293" s="1851"/>
      <c r="AQ293" s="1851"/>
      <c r="AR293" s="1851"/>
      <c r="AS293" s="1851"/>
      <c r="AT293" s="1851"/>
      <c r="AU293" s="1851"/>
      <c r="AV293" s="1851"/>
      <c r="AW293" s="1851"/>
      <c r="AX293" s="1851"/>
      <c r="AY293" s="1851"/>
      <c r="AZ293" s="1851"/>
      <c r="BA293" s="1851"/>
      <c r="BB293" s="1851"/>
    </row>
    <row r="294" spans="1:54" x14ac:dyDescent="0.25">
      <c r="A294" s="1880">
        <v>290</v>
      </c>
      <c r="B294" s="1881"/>
      <c r="C294" s="1860" t="s">
        <v>1583</v>
      </c>
      <c r="D294" s="1860"/>
      <c r="E294" s="1860"/>
      <c r="F294" s="1860"/>
      <c r="G294" s="1860"/>
      <c r="H294" s="1860"/>
      <c r="I294" s="1860"/>
      <c r="J294" s="1860"/>
      <c r="K294" s="1860"/>
      <c r="L294" s="1860"/>
      <c r="M294" s="1860"/>
      <c r="N294" s="1860"/>
      <c r="O294" s="1860"/>
      <c r="P294" s="1860"/>
      <c r="Q294" s="1860"/>
      <c r="R294" s="1860"/>
      <c r="S294" s="1860"/>
      <c r="T294" s="1860"/>
      <c r="U294" s="1860"/>
      <c r="V294" s="1856" t="s">
        <v>1584</v>
      </c>
      <c r="W294" s="1856"/>
      <c r="X294" s="1856"/>
      <c r="Y294" s="1851"/>
      <c r="Z294" s="1851"/>
      <c r="AA294" s="1851"/>
      <c r="AB294" s="1851"/>
      <c r="AC294" s="1851"/>
      <c r="AD294" s="1851"/>
      <c r="AE294" s="1851"/>
      <c r="AF294" s="1851"/>
      <c r="AG294" s="1851"/>
      <c r="AH294" s="1851"/>
      <c r="AI294" s="1851"/>
      <c r="AJ294" s="1851"/>
      <c r="AK294" s="1851"/>
      <c r="AL294" s="1851"/>
      <c r="AM294" s="1851"/>
      <c r="AN294" s="1851"/>
      <c r="AO294" s="1851"/>
      <c r="AP294" s="1851"/>
      <c r="AQ294" s="1851"/>
      <c r="AR294" s="1851"/>
      <c r="AS294" s="1851"/>
      <c r="AT294" s="1851"/>
      <c r="AU294" s="1851"/>
      <c r="AV294" s="1851"/>
      <c r="AW294" s="1851"/>
      <c r="AX294" s="1851"/>
      <c r="AY294" s="1851"/>
      <c r="AZ294" s="1851"/>
      <c r="BA294" s="1851"/>
      <c r="BB294" s="1851"/>
    </row>
    <row r="295" spans="1:54" x14ac:dyDescent="0.25">
      <c r="A295" s="1880">
        <v>291</v>
      </c>
      <c r="B295" s="1881"/>
      <c r="C295" s="1860" t="s">
        <v>194</v>
      </c>
      <c r="D295" s="1860"/>
      <c r="E295" s="1860"/>
      <c r="F295" s="1860"/>
      <c r="G295" s="1860"/>
      <c r="H295" s="1860"/>
      <c r="I295" s="1860"/>
      <c r="J295" s="1860"/>
      <c r="K295" s="1860"/>
      <c r="L295" s="1860"/>
      <c r="M295" s="1860"/>
      <c r="N295" s="1860"/>
      <c r="O295" s="1860"/>
      <c r="P295" s="1860"/>
      <c r="Q295" s="1860"/>
      <c r="R295" s="1860"/>
      <c r="S295" s="1860"/>
      <c r="T295" s="1860"/>
      <c r="U295" s="1860"/>
      <c r="V295" s="1856" t="s">
        <v>1585</v>
      </c>
      <c r="W295" s="1856"/>
      <c r="X295" s="1856"/>
      <c r="Y295" s="1851"/>
      <c r="Z295" s="1851"/>
      <c r="AA295" s="1851"/>
      <c r="AB295" s="1851"/>
      <c r="AC295" s="1851"/>
      <c r="AD295" s="1851"/>
      <c r="AE295" s="1851"/>
      <c r="AF295" s="1851"/>
      <c r="AG295" s="1851"/>
      <c r="AH295" s="1851"/>
      <c r="AI295" s="1851"/>
      <c r="AJ295" s="1851"/>
      <c r="AK295" s="1851"/>
      <c r="AL295" s="1851"/>
      <c r="AM295" s="1851"/>
      <c r="AN295" s="1851"/>
      <c r="AO295" s="1851"/>
      <c r="AP295" s="1851"/>
      <c r="AQ295" s="1851"/>
      <c r="AR295" s="1851"/>
      <c r="AS295" s="1851"/>
      <c r="AT295" s="1851"/>
      <c r="AU295" s="1851"/>
      <c r="AV295" s="1851"/>
      <c r="AW295" s="1851"/>
      <c r="AX295" s="1851"/>
      <c r="AY295" s="1851"/>
      <c r="AZ295" s="1851"/>
      <c r="BA295" s="1851"/>
      <c r="BB295" s="1851"/>
    </row>
    <row r="296" spans="1:54" x14ac:dyDescent="0.25">
      <c r="A296" s="1880">
        <v>292</v>
      </c>
      <c r="B296" s="1881"/>
      <c r="C296" s="1862" t="s">
        <v>1586</v>
      </c>
      <c r="D296" s="1862"/>
      <c r="E296" s="1862"/>
      <c r="F296" s="1862"/>
      <c r="G296" s="1862"/>
      <c r="H296" s="1862"/>
      <c r="I296" s="1862"/>
      <c r="J296" s="1862"/>
      <c r="K296" s="1862"/>
      <c r="L296" s="1862"/>
      <c r="M296" s="1862"/>
      <c r="N296" s="1862"/>
      <c r="O296" s="1862"/>
      <c r="P296" s="1862"/>
      <c r="Q296" s="1862"/>
      <c r="R296" s="1862"/>
      <c r="S296" s="1862"/>
      <c r="T296" s="1862"/>
      <c r="U296" s="1862"/>
      <c r="V296" s="1856" t="s">
        <v>1587</v>
      </c>
      <c r="W296" s="1856"/>
      <c r="X296" s="1856"/>
      <c r="Y296" s="1851"/>
      <c r="Z296" s="1851"/>
      <c r="AA296" s="1851"/>
      <c r="AB296" s="1851"/>
      <c r="AC296" s="1851"/>
      <c r="AD296" s="1851"/>
      <c r="AE296" s="1851"/>
      <c r="AF296" s="1851"/>
      <c r="AG296" s="1851"/>
      <c r="AH296" s="1851"/>
      <c r="AI296" s="1851"/>
      <c r="AJ296" s="1851"/>
      <c r="AK296" s="1851"/>
      <c r="AL296" s="1851"/>
      <c r="AM296" s="1851"/>
      <c r="AN296" s="1851"/>
      <c r="AO296" s="1851"/>
      <c r="AP296" s="1851"/>
      <c r="AQ296" s="1851"/>
      <c r="AR296" s="1851"/>
      <c r="AS296" s="1851"/>
      <c r="AT296" s="1851"/>
      <c r="AU296" s="1851"/>
      <c r="AV296" s="1851"/>
      <c r="AW296" s="1851"/>
      <c r="AX296" s="1851"/>
      <c r="AY296" s="1851"/>
      <c r="AZ296" s="1851"/>
      <c r="BA296" s="1851"/>
      <c r="BB296" s="1851"/>
    </row>
    <row r="297" spans="1:54" x14ac:dyDescent="0.25">
      <c r="A297" s="1880">
        <v>293</v>
      </c>
      <c r="B297" s="1881"/>
      <c r="C297" s="1856" t="s">
        <v>1588</v>
      </c>
      <c r="D297" s="1856"/>
      <c r="E297" s="1856"/>
      <c r="F297" s="1856"/>
      <c r="G297" s="1856"/>
      <c r="H297" s="1856"/>
      <c r="I297" s="1856"/>
      <c r="J297" s="1856"/>
      <c r="K297" s="1856"/>
      <c r="L297" s="1856"/>
      <c r="M297" s="1856"/>
      <c r="N297" s="1856"/>
      <c r="O297" s="1856"/>
      <c r="P297" s="1856"/>
      <c r="Q297" s="1856"/>
      <c r="R297" s="1856"/>
      <c r="S297" s="1856"/>
      <c r="T297" s="1856"/>
      <c r="U297" s="1856"/>
      <c r="V297" s="1856" t="s">
        <v>1587</v>
      </c>
      <c r="W297" s="1856"/>
      <c r="X297" s="1856"/>
      <c r="Y297" s="1851"/>
      <c r="Z297" s="1851"/>
      <c r="AA297" s="1851"/>
      <c r="AB297" s="1851"/>
      <c r="AC297" s="1851"/>
      <c r="AD297" s="1851"/>
      <c r="AE297" s="1851"/>
      <c r="AF297" s="1851"/>
      <c r="AG297" s="1851"/>
      <c r="AH297" s="1851"/>
      <c r="AI297" s="1851"/>
      <c r="AJ297" s="1851"/>
      <c r="AK297" s="1851"/>
      <c r="AL297" s="1851"/>
      <c r="AM297" s="1851"/>
      <c r="AN297" s="1851"/>
      <c r="AO297" s="1851"/>
      <c r="AP297" s="1851"/>
      <c r="AQ297" s="1851"/>
      <c r="AR297" s="1851"/>
      <c r="AS297" s="1851"/>
      <c r="AT297" s="1851"/>
      <c r="AU297" s="1851"/>
      <c r="AV297" s="1851"/>
      <c r="AW297" s="1851"/>
      <c r="AX297" s="1851"/>
      <c r="AY297" s="1851"/>
      <c r="AZ297" s="1851"/>
      <c r="BA297" s="1851"/>
      <c r="BB297" s="1851"/>
    </row>
    <row r="298" spans="1:54" x14ac:dyDescent="0.25">
      <c r="A298" s="1878">
        <v>294</v>
      </c>
      <c r="B298" s="1879"/>
      <c r="C298" s="1863" t="s">
        <v>1589</v>
      </c>
      <c r="D298" s="1863"/>
      <c r="E298" s="1863"/>
      <c r="F298" s="1863"/>
      <c r="G298" s="1863"/>
      <c r="H298" s="1863"/>
      <c r="I298" s="1863"/>
      <c r="J298" s="1863"/>
      <c r="K298" s="1863"/>
      <c r="L298" s="1863"/>
      <c r="M298" s="1863"/>
      <c r="N298" s="1863"/>
      <c r="O298" s="1863"/>
      <c r="P298" s="1863"/>
      <c r="Q298" s="1863"/>
      <c r="R298" s="1863"/>
      <c r="S298" s="1863"/>
      <c r="T298" s="1863"/>
      <c r="U298" s="1863"/>
      <c r="V298" s="1855" t="s">
        <v>1590</v>
      </c>
      <c r="W298" s="1855"/>
      <c r="X298" s="1855"/>
      <c r="Y298" s="1857"/>
      <c r="Z298" s="1877"/>
      <c r="AA298" s="1877"/>
      <c r="AB298" s="1877"/>
      <c r="AC298" s="1859"/>
      <c r="AD298" s="1859"/>
      <c r="AE298" s="1857"/>
      <c r="AF298" s="1877"/>
      <c r="AG298" s="1877"/>
      <c r="AH298" s="1877"/>
      <c r="AI298" s="1859"/>
      <c r="AJ298" s="1859"/>
      <c r="AK298" s="1857"/>
      <c r="AL298" s="1877"/>
      <c r="AM298" s="1877"/>
      <c r="AN298" s="1877"/>
      <c r="AO298" s="1859"/>
      <c r="AP298" s="1859"/>
      <c r="AQ298" s="1857"/>
      <c r="AR298" s="1877"/>
      <c r="AS298" s="1877"/>
      <c r="AT298" s="1877"/>
      <c r="AU298" s="1859"/>
      <c r="AV298" s="1859"/>
      <c r="AW298" s="1857"/>
      <c r="AX298" s="1877"/>
      <c r="AY298" s="1877"/>
      <c r="AZ298" s="1877"/>
      <c r="BA298" s="1859"/>
      <c r="BB298" s="1859"/>
    </row>
    <row r="299" spans="1:54" x14ac:dyDescent="0.25">
      <c r="A299" s="1880">
        <v>295</v>
      </c>
      <c r="B299" s="1881"/>
      <c r="C299" s="1862" t="s">
        <v>198</v>
      </c>
      <c r="D299" s="1862"/>
      <c r="E299" s="1862"/>
      <c r="F299" s="1862"/>
      <c r="G299" s="1862"/>
      <c r="H299" s="1862"/>
      <c r="I299" s="1862"/>
      <c r="J299" s="1862"/>
      <c r="K299" s="1862"/>
      <c r="L299" s="1862"/>
      <c r="M299" s="1862"/>
      <c r="N299" s="1862"/>
      <c r="O299" s="1862"/>
      <c r="P299" s="1862"/>
      <c r="Q299" s="1862"/>
      <c r="R299" s="1862"/>
      <c r="S299" s="1862"/>
      <c r="T299" s="1862"/>
      <c r="U299" s="1862"/>
      <c r="V299" s="1856" t="s">
        <v>1591</v>
      </c>
      <c r="W299" s="1856"/>
      <c r="X299" s="1856"/>
      <c r="Y299" s="1851"/>
      <c r="Z299" s="1851"/>
      <c r="AA299" s="1851"/>
      <c r="AB299" s="1851"/>
      <c r="AC299" s="1851"/>
      <c r="AD299" s="1851"/>
      <c r="AE299" s="1851"/>
      <c r="AF299" s="1851"/>
      <c r="AG299" s="1851"/>
      <c r="AH299" s="1851"/>
      <c r="AI299" s="1851"/>
      <c r="AJ299" s="1851"/>
      <c r="AK299" s="1851"/>
      <c r="AL299" s="1851"/>
      <c r="AM299" s="1851"/>
      <c r="AN299" s="1851"/>
      <c r="AO299" s="1851"/>
      <c r="AP299" s="1851"/>
      <c r="AQ299" s="1851"/>
      <c r="AR299" s="1851"/>
      <c r="AS299" s="1851"/>
      <c r="AT299" s="1851"/>
      <c r="AU299" s="1851"/>
      <c r="AV299" s="1851"/>
      <c r="AW299" s="1851"/>
      <c r="AX299" s="1851"/>
      <c r="AY299" s="1851"/>
      <c r="AZ299" s="1851"/>
      <c r="BA299" s="1851"/>
      <c r="BB299" s="1851"/>
    </row>
    <row r="300" spans="1:54" x14ac:dyDescent="0.25">
      <c r="A300" s="1880">
        <v>296</v>
      </c>
      <c r="B300" s="1881"/>
      <c r="C300" s="1856" t="s">
        <v>1592</v>
      </c>
      <c r="D300" s="1856"/>
      <c r="E300" s="1856"/>
      <c r="F300" s="1856"/>
      <c r="G300" s="1856"/>
      <c r="H300" s="1856"/>
      <c r="I300" s="1856"/>
      <c r="J300" s="1856"/>
      <c r="K300" s="1856"/>
      <c r="L300" s="1856"/>
      <c r="M300" s="1856"/>
      <c r="N300" s="1856"/>
      <c r="O300" s="1856"/>
      <c r="P300" s="1856"/>
      <c r="Q300" s="1856"/>
      <c r="R300" s="1856"/>
      <c r="S300" s="1856"/>
      <c r="T300" s="1856"/>
      <c r="U300" s="1856"/>
      <c r="V300" s="1856" t="s">
        <v>1593</v>
      </c>
      <c r="W300" s="1856"/>
      <c r="X300" s="1856"/>
      <c r="Y300" s="1851"/>
      <c r="Z300" s="1851"/>
      <c r="AA300" s="1851"/>
      <c r="AB300" s="1851"/>
      <c r="AC300" s="1851"/>
      <c r="AD300" s="1851"/>
      <c r="AE300" s="1851"/>
      <c r="AF300" s="1851"/>
      <c r="AG300" s="1851"/>
      <c r="AH300" s="1851"/>
      <c r="AI300" s="1851"/>
      <c r="AJ300" s="1851"/>
      <c r="AK300" s="1851"/>
      <c r="AL300" s="1851"/>
      <c r="AM300" s="1851"/>
      <c r="AN300" s="1851"/>
      <c r="AO300" s="1851"/>
      <c r="AP300" s="1851"/>
      <c r="AQ300" s="1851"/>
      <c r="AR300" s="1851"/>
      <c r="AS300" s="1851"/>
      <c r="AT300" s="1851"/>
      <c r="AU300" s="1851"/>
      <c r="AV300" s="1851"/>
      <c r="AW300" s="1851"/>
      <c r="AX300" s="1851"/>
      <c r="AY300" s="1851"/>
      <c r="AZ300" s="1851"/>
      <c r="BA300" s="1851"/>
      <c r="BB300" s="1851"/>
    </row>
    <row r="301" spans="1:54" x14ac:dyDescent="0.25">
      <c r="A301" s="1880">
        <v>297</v>
      </c>
      <c r="B301" s="1881"/>
      <c r="C301" s="1860" t="s">
        <v>202</v>
      </c>
      <c r="D301" s="1860"/>
      <c r="E301" s="1860"/>
      <c r="F301" s="1860"/>
      <c r="G301" s="1860"/>
      <c r="H301" s="1860"/>
      <c r="I301" s="1860"/>
      <c r="J301" s="1860"/>
      <c r="K301" s="1860"/>
      <c r="L301" s="1860"/>
      <c r="M301" s="1860"/>
      <c r="N301" s="1860"/>
      <c r="O301" s="1860"/>
      <c r="P301" s="1860"/>
      <c r="Q301" s="1860"/>
      <c r="R301" s="1860"/>
      <c r="S301" s="1860"/>
      <c r="T301" s="1860"/>
      <c r="U301" s="1860"/>
      <c r="V301" s="1856" t="s">
        <v>1594</v>
      </c>
      <c r="W301" s="1856"/>
      <c r="X301" s="1856"/>
      <c r="Y301" s="1851"/>
      <c r="Z301" s="1851"/>
      <c r="AA301" s="1851"/>
      <c r="AB301" s="1851"/>
      <c r="AC301" s="1851"/>
      <c r="AD301" s="1851"/>
      <c r="AE301" s="1851"/>
      <c r="AF301" s="1851"/>
      <c r="AG301" s="1851"/>
      <c r="AH301" s="1851"/>
      <c r="AI301" s="1851"/>
      <c r="AJ301" s="1851"/>
      <c r="AK301" s="1851"/>
      <c r="AL301" s="1851"/>
      <c r="AM301" s="1851"/>
      <c r="AN301" s="1851"/>
      <c r="AO301" s="1851"/>
      <c r="AP301" s="1851"/>
      <c r="AQ301" s="1851"/>
      <c r="AR301" s="1851"/>
      <c r="AS301" s="1851"/>
      <c r="AT301" s="1851"/>
      <c r="AU301" s="1851"/>
      <c r="AV301" s="1851"/>
      <c r="AW301" s="1851"/>
      <c r="AX301" s="1851"/>
      <c r="AY301" s="1851"/>
      <c r="AZ301" s="1851"/>
      <c r="BA301" s="1851"/>
      <c r="BB301" s="1851"/>
    </row>
    <row r="302" spans="1:54" x14ac:dyDescent="0.25">
      <c r="A302" s="1880">
        <v>298</v>
      </c>
      <c r="B302" s="1881"/>
      <c r="C302" s="1860" t="s">
        <v>1595</v>
      </c>
      <c r="D302" s="1860"/>
      <c r="E302" s="1860"/>
      <c r="F302" s="1860"/>
      <c r="G302" s="1860"/>
      <c r="H302" s="1860"/>
      <c r="I302" s="1860"/>
      <c r="J302" s="1860"/>
      <c r="K302" s="1860"/>
      <c r="L302" s="1860"/>
      <c r="M302" s="1860"/>
      <c r="N302" s="1860"/>
      <c r="O302" s="1860"/>
      <c r="P302" s="1860"/>
      <c r="Q302" s="1860"/>
      <c r="R302" s="1860"/>
      <c r="S302" s="1860"/>
      <c r="T302" s="1860"/>
      <c r="U302" s="1860"/>
      <c r="V302" s="1856" t="s">
        <v>1596</v>
      </c>
      <c r="W302" s="1856"/>
      <c r="X302" s="1856"/>
      <c r="Y302" s="1851"/>
      <c r="Z302" s="1851"/>
      <c r="AA302" s="1851"/>
      <c r="AB302" s="1851"/>
      <c r="AC302" s="1851"/>
      <c r="AD302" s="1851"/>
      <c r="AE302" s="1851"/>
      <c r="AF302" s="1851"/>
      <c r="AG302" s="1851"/>
      <c r="AH302" s="1851"/>
      <c r="AI302" s="1851"/>
      <c r="AJ302" s="1851"/>
      <c r="AK302" s="1851"/>
      <c r="AL302" s="1851"/>
      <c r="AM302" s="1851"/>
      <c r="AN302" s="1851"/>
      <c r="AO302" s="1851"/>
      <c r="AP302" s="1851"/>
      <c r="AQ302" s="1851"/>
      <c r="AR302" s="1851"/>
      <c r="AS302" s="1851"/>
      <c r="AT302" s="1851"/>
      <c r="AU302" s="1851"/>
      <c r="AV302" s="1851"/>
      <c r="AW302" s="1851"/>
      <c r="AX302" s="1851"/>
      <c r="AY302" s="1851"/>
      <c r="AZ302" s="1851"/>
      <c r="BA302" s="1851"/>
      <c r="BB302" s="1851"/>
    </row>
    <row r="303" spans="1:54" x14ac:dyDescent="0.25">
      <c r="A303" s="1880">
        <v>299</v>
      </c>
      <c r="B303" s="1881"/>
      <c r="C303" s="1856" t="s">
        <v>1102</v>
      </c>
      <c r="D303" s="1856"/>
      <c r="E303" s="1856"/>
      <c r="F303" s="1856"/>
      <c r="G303" s="1856"/>
      <c r="H303" s="1856"/>
      <c r="I303" s="1856"/>
      <c r="J303" s="1856"/>
      <c r="K303" s="1856"/>
      <c r="L303" s="1856"/>
      <c r="M303" s="1856"/>
      <c r="N303" s="1856"/>
      <c r="O303" s="1856"/>
      <c r="P303" s="1856"/>
      <c r="Q303" s="1856"/>
      <c r="R303" s="1856"/>
      <c r="S303" s="1856"/>
      <c r="T303" s="1856"/>
      <c r="U303" s="1856"/>
      <c r="V303" s="1856" t="s">
        <v>1596</v>
      </c>
      <c r="W303" s="1856"/>
      <c r="X303" s="1856"/>
      <c r="Y303" s="1851"/>
      <c r="Z303" s="1851"/>
      <c r="AA303" s="1851"/>
      <c r="AB303" s="1851"/>
      <c r="AC303" s="1851"/>
      <c r="AD303" s="1851"/>
      <c r="AE303" s="1851"/>
      <c r="AF303" s="1851"/>
      <c r="AG303" s="1851"/>
      <c r="AH303" s="1851"/>
      <c r="AI303" s="1851"/>
      <c r="AJ303" s="1851"/>
      <c r="AK303" s="1851"/>
      <c r="AL303" s="1851"/>
      <c r="AM303" s="1851"/>
      <c r="AN303" s="1851"/>
      <c r="AO303" s="1851"/>
      <c r="AP303" s="1851"/>
      <c r="AQ303" s="1851"/>
      <c r="AR303" s="1851"/>
      <c r="AS303" s="1851"/>
      <c r="AT303" s="1851"/>
      <c r="AU303" s="1851"/>
      <c r="AV303" s="1851"/>
      <c r="AW303" s="1851"/>
      <c r="AX303" s="1851"/>
      <c r="AY303" s="1851"/>
      <c r="AZ303" s="1851"/>
      <c r="BA303" s="1851"/>
      <c r="BB303" s="1851"/>
    </row>
    <row r="304" spans="1:54" x14ac:dyDescent="0.25">
      <c r="A304" s="1880">
        <v>300</v>
      </c>
      <c r="B304" s="1881"/>
      <c r="C304" s="1856" t="s">
        <v>1103</v>
      </c>
      <c r="D304" s="1856"/>
      <c r="E304" s="1856"/>
      <c r="F304" s="1856"/>
      <c r="G304" s="1856"/>
      <c r="H304" s="1856"/>
      <c r="I304" s="1856"/>
      <c r="J304" s="1856"/>
      <c r="K304" s="1856"/>
      <c r="L304" s="1856"/>
      <c r="M304" s="1856"/>
      <c r="N304" s="1856"/>
      <c r="O304" s="1856"/>
      <c r="P304" s="1856"/>
      <c r="Q304" s="1856"/>
      <c r="R304" s="1856"/>
      <c r="S304" s="1856"/>
      <c r="T304" s="1856"/>
      <c r="U304" s="1856"/>
      <c r="V304" s="1856" t="s">
        <v>1596</v>
      </c>
      <c r="W304" s="1856"/>
      <c r="X304" s="1856"/>
      <c r="Y304" s="1851"/>
      <c r="Z304" s="1851"/>
      <c r="AA304" s="1851"/>
      <c r="AB304" s="1851"/>
      <c r="AC304" s="1851"/>
      <c r="AD304" s="1851"/>
      <c r="AE304" s="1851"/>
      <c r="AF304" s="1851"/>
      <c r="AG304" s="1851"/>
      <c r="AH304" s="1851"/>
      <c r="AI304" s="1851"/>
      <c r="AJ304" s="1851"/>
      <c r="AK304" s="1851"/>
      <c r="AL304" s="1851"/>
      <c r="AM304" s="1851"/>
      <c r="AN304" s="1851"/>
      <c r="AO304" s="1851"/>
      <c r="AP304" s="1851"/>
      <c r="AQ304" s="1851"/>
      <c r="AR304" s="1851"/>
      <c r="AS304" s="1851"/>
      <c r="AT304" s="1851"/>
      <c r="AU304" s="1851"/>
      <c r="AV304" s="1851"/>
      <c r="AW304" s="1851"/>
      <c r="AX304" s="1851"/>
      <c r="AY304" s="1851"/>
      <c r="AZ304" s="1851"/>
      <c r="BA304" s="1851"/>
      <c r="BB304" s="1851"/>
    </row>
    <row r="305" spans="1:54" x14ac:dyDescent="0.25">
      <c r="A305" s="1880">
        <v>301</v>
      </c>
      <c r="B305" s="1881"/>
      <c r="C305" s="1856" t="s">
        <v>1104</v>
      </c>
      <c r="D305" s="1856"/>
      <c r="E305" s="1856"/>
      <c r="F305" s="1856"/>
      <c r="G305" s="1856"/>
      <c r="H305" s="1856"/>
      <c r="I305" s="1856"/>
      <c r="J305" s="1856"/>
      <c r="K305" s="1856"/>
      <c r="L305" s="1856"/>
      <c r="M305" s="1856"/>
      <c r="N305" s="1856"/>
      <c r="O305" s="1856"/>
      <c r="P305" s="1856"/>
      <c r="Q305" s="1856"/>
      <c r="R305" s="1856"/>
      <c r="S305" s="1856"/>
      <c r="T305" s="1856"/>
      <c r="U305" s="1856"/>
      <c r="V305" s="1856" t="s">
        <v>1596</v>
      </c>
      <c r="W305" s="1856"/>
      <c r="X305" s="1856"/>
      <c r="Y305" s="1851"/>
      <c r="Z305" s="1851"/>
      <c r="AA305" s="1851"/>
      <c r="AB305" s="1851"/>
      <c r="AC305" s="1851"/>
      <c r="AD305" s="1851"/>
      <c r="AE305" s="1851"/>
      <c r="AF305" s="1851"/>
      <c r="AG305" s="1851"/>
      <c r="AH305" s="1851"/>
      <c r="AI305" s="1851"/>
      <c r="AJ305" s="1851"/>
      <c r="AK305" s="1851"/>
      <c r="AL305" s="1851"/>
      <c r="AM305" s="1851"/>
      <c r="AN305" s="1851"/>
      <c r="AO305" s="1851"/>
      <c r="AP305" s="1851"/>
      <c r="AQ305" s="1851"/>
      <c r="AR305" s="1851"/>
      <c r="AS305" s="1851"/>
      <c r="AT305" s="1851"/>
      <c r="AU305" s="1851"/>
      <c r="AV305" s="1851"/>
      <c r="AW305" s="1851"/>
      <c r="AX305" s="1851"/>
      <c r="AY305" s="1851"/>
      <c r="AZ305" s="1851"/>
      <c r="BA305" s="1851"/>
      <c r="BB305" s="1851"/>
    </row>
    <row r="306" spans="1:54" x14ac:dyDescent="0.25">
      <c r="A306" s="1878">
        <v>302</v>
      </c>
      <c r="B306" s="1879"/>
      <c r="C306" s="1861" t="s">
        <v>1597</v>
      </c>
      <c r="D306" s="1861"/>
      <c r="E306" s="1861"/>
      <c r="F306" s="1861"/>
      <c r="G306" s="1861"/>
      <c r="H306" s="1861"/>
      <c r="I306" s="1861"/>
      <c r="J306" s="1861"/>
      <c r="K306" s="1861"/>
      <c r="L306" s="1861"/>
      <c r="M306" s="1861"/>
      <c r="N306" s="1861"/>
      <c r="O306" s="1861"/>
      <c r="P306" s="1861"/>
      <c r="Q306" s="1861"/>
      <c r="R306" s="1861"/>
      <c r="S306" s="1861"/>
      <c r="T306" s="1861"/>
      <c r="U306" s="1861"/>
      <c r="V306" s="1855" t="s">
        <v>1598</v>
      </c>
      <c r="W306" s="1855"/>
      <c r="X306" s="1855"/>
      <c r="Y306" s="1857"/>
      <c r="Z306" s="1877"/>
      <c r="AA306" s="1877"/>
      <c r="AB306" s="1877"/>
      <c r="AC306" s="1859"/>
      <c r="AD306" s="1859"/>
      <c r="AE306" s="1857"/>
      <c r="AF306" s="1877"/>
      <c r="AG306" s="1877"/>
      <c r="AH306" s="1877"/>
      <c r="AI306" s="1859"/>
      <c r="AJ306" s="1859"/>
      <c r="AK306" s="1857"/>
      <c r="AL306" s="1877"/>
      <c r="AM306" s="1877"/>
      <c r="AN306" s="1877"/>
      <c r="AO306" s="1859"/>
      <c r="AP306" s="1859"/>
      <c r="AQ306" s="1857"/>
      <c r="AR306" s="1877"/>
      <c r="AS306" s="1877"/>
      <c r="AT306" s="1877"/>
      <c r="AU306" s="1859"/>
      <c r="AV306" s="1859"/>
      <c r="AW306" s="1857"/>
      <c r="AX306" s="1877"/>
      <c r="AY306" s="1877"/>
      <c r="AZ306" s="1877"/>
      <c r="BA306" s="1859"/>
      <c r="BB306" s="1859"/>
    </row>
    <row r="307" spans="1:54" x14ac:dyDescent="0.25">
      <c r="A307" s="1880">
        <v>303</v>
      </c>
      <c r="B307" s="1881"/>
      <c r="C307" s="1856" t="s">
        <v>206</v>
      </c>
      <c r="D307" s="1856"/>
      <c r="E307" s="1856"/>
      <c r="F307" s="1856"/>
      <c r="G307" s="1856"/>
      <c r="H307" s="1856"/>
      <c r="I307" s="1856"/>
      <c r="J307" s="1856"/>
      <c r="K307" s="1856"/>
      <c r="L307" s="1856"/>
      <c r="M307" s="1856"/>
      <c r="N307" s="1856"/>
      <c r="O307" s="1856"/>
      <c r="P307" s="1856"/>
      <c r="Q307" s="1856"/>
      <c r="R307" s="1856"/>
      <c r="S307" s="1856"/>
      <c r="T307" s="1856"/>
      <c r="U307" s="1856"/>
      <c r="V307" s="1856" t="s">
        <v>1599</v>
      </c>
      <c r="W307" s="1856"/>
      <c r="X307" s="1856"/>
      <c r="Y307" s="1851"/>
      <c r="Z307" s="1851"/>
      <c r="AA307" s="1851"/>
      <c r="AB307" s="1851"/>
      <c r="AC307" s="1851"/>
      <c r="AD307" s="1851"/>
      <c r="AE307" s="1851"/>
      <c r="AF307" s="1851"/>
      <c r="AG307" s="1851"/>
      <c r="AH307" s="1851"/>
      <c r="AI307" s="1851"/>
      <c r="AJ307" s="1851"/>
      <c r="AK307" s="1851"/>
      <c r="AL307" s="1851"/>
      <c r="AM307" s="1851"/>
      <c r="AN307" s="1851"/>
      <c r="AO307" s="1851"/>
      <c r="AP307" s="1851"/>
      <c r="AQ307" s="1851"/>
      <c r="AR307" s="1851"/>
      <c r="AS307" s="1851"/>
      <c r="AT307" s="1851"/>
      <c r="AU307" s="1851"/>
      <c r="AV307" s="1851"/>
      <c r="AW307" s="1851"/>
      <c r="AX307" s="1851"/>
      <c r="AY307" s="1851"/>
      <c r="AZ307" s="1851"/>
      <c r="BA307" s="1851"/>
      <c r="BB307" s="1851"/>
    </row>
    <row r="308" spans="1:54" x14ac:dyDescent="0.25">
      <c r="A308" s="1878">
        <v>304</v>
      </c>
      <c r="B308" s="1879"/>
      <c r="C308" s="1861" t="s">
        <v>1600</v>
      </c>
      <c r="D308" s="1861"/>
      <c r="E308" s="1861"/>
      <c r="F308" s="1861"/>
      <c r="G308" s="1861"/>
      <c r="H308" s="1861"/>
      <c r="I308" s="1861"/>
      <c r="J308" s="1861"/>
      <c r="K308" s="1861"/>
      <c r="L308" s="1861"/>
      <c r="M308" s="1861"/>
      <c r="N308" s="1861"/>
      <c r="O308" s="1861"/>
      <c r="P308" s="1861"/>
      <c r="Q308" s="1861"/>
      <c r="R308" s="1861"/>
      <c r="S308" s="1861"/>
      <c r="T308" s="1861"/>
      <c r="U308" s="1861"/>
      <c r="V308" s="1855" t="s">
        <v>1601</v>
      </c>
      <c r="W308" s="1855"/>
      <c r="X308" s="1855"/>
      <c r="Y308" s="1857"/>
      <c r="Z308" s="1877"/>
      <c r="AA308" s="1877"/>
      <c r="AB308" s="1877"/>
      <c r="AC308" s="1859"/>
      <c r="AD308" s="1859"/>
      <c r="AE308" s="1857"/>
      <c r="AF308" s="1877"/>
      <c r="AG308" s="1877"/>
      <c r="AH308" s="1877"/>
      <c r="AI308" s="1859"/>
      <c r="AJ308" s="1859"/>
      <c r="AK308" s="1857"/>
      <c r="AL308" s="1877"/>
      <c r="AM308" s="1877"/>
      <c r="AN308" s="1877"/>
      <c r="AO308" s="1859"/>
      <c r="AP308" s="1859"/>
      <c r="AQ308" s="1857"/>
      <c r="AR308" s="1877"/>
      <c r="AS308" s="1877"/>
      <c r="AT308" s="1877"/>
      <c r="AU308" s="1859"/>
      <c r="AV308" s="1859"/>
      <c r="AW308" s="1857"/>
      <c r="AX308" s="1877"/>
      <c r="AY308" s="1877"/>
      <c r="AZ308" s="1877"/>
      <c r="BA308" s="1859"/>
      <c r="BB308" s="1859"/>
    </row>
    <row r="309" spans="1:54" x14ac:dyDescent="0.25">
      <c r="A309" s="1878">
        <v>305</v>
      </c>
      <c r="B309" s="1879"/>
      <c r="C309" s="1855" t="s">
        <v>1602</v>
      </c>
      <c r="D309" s="1855"/>
      <c r="E309" s="1855"/>
      <c r="F309" s="1855"/>
      <c r="G309" s="1855"/>
      <c r="H309" s="1855"/>
      <c r="I309" s="1855"/>
      <c r="J309" s="1855"/>
      <c r="K309" s="1855"/>
      <c r="L309" s="1855"/>
      <c r="M309" s="1855"/>
      <c r="N309" s="1855"/>
      <c r="O309" s="1855"/>
      <c r="P309" s="1855"/>
      <c r="Q309" s="1855"/>
      <c r="R309" s="1855"/>
      <c r="S309" s="1855"/>
      <c r="T309" s="1855"/>
      <c r="U309" s="1855"/>
      <c r="V309" s="1855" t="s">
        <v>1603</v>
      </c>
      <c r="W309" s="1855"/>
      <c r="X309" s="1855"/>
      <c r="Y309" s="1857"/>
      <c r="Z309" s="1877"/>
      <c r="AA309" s="1877"/>
      <c r="AB309" s="1877"/>
      <c r="AC309" s="1859"/>
      <c r="AD309" s="1859"/>
      <c r="AE309" s="1857"/>
      <c r="AF309" s="1877"/>
      <c r="AG309" s="1877"/>
      <c r="AH309" s="1877"/>
      <c r="AI309" s="1859"/>
      <c r="AJ309" s="1859"/>
      <c r="AK309" s="1857"/>
      <c r="AL309" s="1877"/>
      <c r="AM309" s="1877"/>
      <c r="AN309" s="1877"/>
      <c r="AO309" s="1859"/>
      <c r="AP309" s="1859"/>
      <c r="AQ309" s="1857"/>
      <c r="AR309" s="1877"/>
      <c r="AS309" s="1877"/>
      <c r="AT309" s="1877"/>
      <c r="AU309" s="1859"/>
      <c r="AV309" s="1859"/>
      <c r="AW309" s="1857"/>
      <c r="AX309" s="1877"/>
      <c r="AY309" s="1877"/>
      <c r="AZ309" s="1877"/>
      <c r="BA309" s="1859"/>
      <c r="BB309" s="1859"/>
    </row>
  </sheetData>
  <mergeCells count="2457">
    <mergeCell ref="AQ4:AV4"/>
    <mergeCell ref="AW4:BB4"/>
    <mergeCell ref="A5:B5"/>
    <mergeCell ref="C5:U5"/>
    <mergeCell ref="V5:X5"/>
    <mergeCell ref="Y5:AD5"/>
    <mergeCell ref="AE5:AJ5"/>
    <mergeCell ref="AK5:AP5"/>
    <mergeCell ref="AQ5:AV5"/>
    <mergeCell ref="AW5:BB5"/>
    <mergeCell ref="A4:B4"/>
    <mergeCell ref="C4:U4"/>
    <mergeCell ref="V4:X4"/>
    <mergeCell ref="Y4:AD4"/>
    <mergeCell ref="AE4:AJ4"/>
    <mergeCell ref="AK4:AP4"/>
    <mergeCell ref="A1:B3"/>
    <mergeCell ref="C1:U3"/>
    <mergeCell ref="V1:X3"/>
    <mergeCell ref="Y1:BB1"/>
    <mergeCell ref="Y3:AD3"/>
    <mergeCell ref="AE3:AJ3"/>
    <mergeCell ref="AK3:AP3"/>
    <mergeCell ref="AQ3:AV3"/>
    <mergeCell ref="AW3:BB3"/>
    <mergeCell ref="AQ8:AV8"/>
    <mergeCell ref="AW8:BB8"/>
    <mergeCell ref="A9:B9"/>
    <mergeCell ref="C9:U9"/>
    <mergeCell ref="V9:X9"/>
    <mergeCell ref="Y9:AD9"/>
    <mergeCell ref="AE9:AJ9"/>
    <mergeCell ref="AK9:AP9"/>
    <mergeCell ref="AQ9:AV9"/>
    <mergeCell ref="AW9:BB9"/>
    <mergeCell ref="A8:B8"/>
    <mergeCell ref="C8:U8"/>
    <mergeCell ref="V8:X8"/>
    <mergeCell ref="Y8:AD8"/>
    <mergeCell ref="AE8:AJ8"/>
    <mergeCell ref="AK8:AP8"/>
    <mergeCell ref="AQ6:AV6"/>
    <mergeCell ref="AW6:BB6"/>
    <mergeCell ref="A7:B7"/>
    <mergeCell ref="C7:U7"/>
    <mergeCell ref="V7:X7"/>
    <mergeCell ref="Y7:AD7"/>
    <mergeCell ref="AE7:AJ7"/>
    <mergeCell ref="AK7:AP7"/>
    <mergeCell ref="AQ7:AV7"/>
    <mergeCell ref="AW7:BB7"/>
    <mergeCell ref="A6:B6"/>
    <mergeCell ref="C6:U6"/>
    <mergeCell ref="V6:X6"/>
    <mergeCell ref="Y6:AD6"/>
    <mergeCell ref="AE6:AJ6"/>
    <mergeCell ref="AK6:AP6"/>
    <mergeCell ref="AQ12:AV12"/>
    <mergeCell ref="AW12:BB12"/>
    <mergeCell ref="A13:B13"/>
    <mergeCell ref="C13:U13"/>
    <mergeCell ref="V13:X13"/>
    <mergeCell ref="Y13:AD13"/>
    <mergeCell ref="AE13:AJ13"/>
    <mergeCell ref="AK13:AP13"/>
    <mergeCell ref="AQ13:AV13"/>
    <mergeCell ref="AW13:BB13"/>
    <mergeCell ref="A12:B12"/>
    <mergeCell ref="C12:U12"/>
    <mergeCell ref="V12:X12"/>
    <mergeCell ref="Y12:AD12"/>
    <mergeCell ref="AE12:AJ12"/>
    <mergeCell ref="AK12:AP12"/>
    <mergeCell ref="AQ10:AV10"/>
    <mergeCell ref="AW10:BB10"/>
    <mergeCell ref="A11:B11"/>
    <mergeCell ref="C11:U11"/>
    <mergeCell ref="V11:X11"/>
    <mergeCell ref="Y11:AD11"/>
    <mergeCell ref="AE11:AJ11"/>
    <mergeCell ref="AK11:AP11"/>
    <mergeCell ref="AQ11:AV11"/>
    <mergeCell ref="AW11:BB11"/>
    <mergeCell ref="A10:B10"/>
    <mergeCell ref="C10:U10"/>
    <mergeCell ref="V10:X10"/>
    <mergeCell ref="Y10:AD10"/>
    <mergeCell ref="AE10:AJ10"/>
    <mergeCell ref="AK10:AP10"/>
    <mergeCell ref="AQ16:AV16"/>
    <mergeCell ref="AW16:BB16"/>
    <mergeCell ref="A17:B17"/>
    <mergeCell ref="C17:U17"/>
    <mergeCell ref="V17:X17"/>
    <mergeCell ref="Y17:AD17"/>
    <mergeCell ref="AE17:AJ17"/>
    <mergeCell ref="AK17:AP17"/>
    <mergeCell ref="AQ17:AV17"/>
    <mergeCell ref="AW17:BB17"/>
    <mergeCell ref="A16:B16"/>
    <mergeCell ref="C16:U16"/>
    <mergeCell ref="V16:X16"/>
    <mergeCell ref="Y16:AD16"/>
    <mergeCell ref="AE16:AJ16"/>
    <mergeCell ref="AK16:AP16"/>
    <mergeCell ref="AQ14:AV14"/>
    <mergeCell ref="AW14:BB14"/>
    <mergeCell ref="A15:B15"/>
    <mergeCell ref="C15:U15"/>
    <mergeCell ref="V15:X15"/>
    <mergeCell ref="Y15:AD15"/>
    <mergeCell ref="AE15:AJ15"/>
    <mergeCell ref="AK15:AP15"/>
    <mergeCell ref="AQ15:AV15"/>
    <mergeCell ref="AW15:BB15"/>
    <mergeCell ref="A14:B14"/>
    <mergeCell ref="C14:U14"/>
    <mergeCell ref="V14:X14"/>
    <mergeCell ref="Y14:AD14"/>
    <mergeCell ref="AE14:AJ14"/>
    <mergeCell ref="AK14:AP14"/>
    <mergeCell ref="AQ20:AV20"/>
    <mergeCell ref="AW20:BB20"/>
    <mergeCell ref="A21:B21"/>
    <mergeCell ref="C21:U21"/>
    <mergeCell ref="V21:X21"/>
    <mergeCell ref="Y21:AD21"/>
    <mergeCell ref="AE21:AJ21"/>
    <mergeCell ref="AK21:AP21"/>
    <mergeCell ref="AQ21:AV21"/>
    <mergeCell ref="AW21:BB21"/>
    <mergeCell ref="A20:B20"/>
    <mergeCell ref="C20:U20"/>
    <mergeCell ref="V20:X20"/>
    <mergeCell ref="Y20:AD20"/>
    <mergeCell ref="AE20:AJ20"/>
    <mergeCell ref="AK20:AP20"/>
    <mergeCell ref="AQ18:AV18"/>
    <mergeCell ref="AW18:BB18"/>
    <mergeCell ref="A19:B19"/>
    <mergeCell ref="C19:U19"/>
    <mergeCell ref="V19:X19"/>
    <mergeCell ref="Y19:AD19"/>
    <mergeCell ref="AE19:AJ19"/>
    <mergeCell ref="AK19:AP19"/>
    <mergeCell ref="AQ19:AV19"/>
    <mergeCell ref="AW19:BB19"/>
    <mergeCell ref="A18:B18"/>
    <mergeCell ref="C18:U18"/>
    <mergeCell ref="V18:X18"/>
    <mergeCell ref="Y18:AD18"/>
    <mergeCell ref="AE18:AJ18"/>
    <mergeCell ref="AK18:AP18"/>
    <mergeCell ref="AQ24:AV24"/>
    <mergeCell ref="AW24:BB24"/>
    <mergeCell ref="A25:B25"/>
    <mergeCell ref="C25:U25"/>
    <mergeCell ref="V25:X25"/>
    <mergeCell ref="Y25:AD25"/>
    <mergeCell ref="AE25:AJ25"/>
    <mergeCell ref="AK25:AP25"/>
    <mergeCell ref="AQ25:AV25"/>
    <mergeCell ref="AW25:BB25"/>
    <mergeCell ref="A24:B24"/>
    <mergeCell ref="C24:U24"/>
    <mergeCell ref="V24:X24"/>
    <mergeCell ref="Y24:AD24"/>
    <mergeCell ref="AE24:AJ24"/>
    <mergeCell ref="AK24:AP24"/>
    <mergeCell ref="AQ22:AV22"/>
    <mergeCell ref="AW22:BB22"/>
    <mergeCell ref="A23:B23"/>
    <mergeCell ref="C23:U23"/>
    <mergeCell ref="V23:X23"/>
    <mergeCell ref="Y23:AD23"/>
    <mergeCell ref="AE23:AJ23"/>
    <mergeCell ref="AK23:AP23"/>
    <mergeCell ref="AQ23:AV23"/>
    <mergeCell ref="AW23:BB23"/>
    <mergeCell ref="A22:B22"/>
    <mergeCell ref="C22:U22"/>
    <mergeCell ref="V22:X22"/>
    <mergeCell ref="Y22:AD22"/>
    <mergeCell ref="AE22:AJ22"/>
    <mergeCell ref="AK22:AP22"/>
    <mergeCell ref="AQ28:AV28"/>
    <mergeCell ref="AW28:BB28"/>
    <mergeCell ref="A29:B29"/>
    <mergeCell ref="C29:U29"/>
    <mergeCell ref="V29:X29"/>
    <mergeCell ref="Y29:AD29"/>
    <mergeCell ref="AE29:AJ29"/>
    <mergeCell ref="AK29:AP29"/>
    <mergeCell ref="AQ29:AV29"/>
    <mergeCell ref="AW29:BB29"/>
    <mergeCell ref="A28:B28"/>
    <mergeCell ref="C28:U28"/>
    <mergeCell ref="V28:X28"/>
    <mergeCell ref="Y28:AD28"/>
    <mergeCell ref="AE28:AJ28"/>
    <mergeCell ref="AK28:AP28"/>
    <mergeCell ref="AQ26:AV26"/>
    <mergeCell ref="AW26:BB26"/>
    <mergeCell ref="A27:B27"/>
    <mergeCell ref="C27:U27"/>
    <mergeCell ref="V27:X27"/>
    <mergeCell ref="Y27:AD27"/>
    <mergeCell ref="AE27:AJ27"/>
    <mergeCell ref="AK27:AP27"/>
    <mergeCell ref="AQ27:AV27"/>
    <mergeCell ref="AW27:BB27"/>
    <mergeCell ref="A26:B26"/>
    <mergeCell ref="C26:U26"/>
    <mergeCell ref="V26:X26"/>
    <mergeCell ref="Y26:AD26"/>
    <mergeCell ref="AE26:AJ26"/>
    <mergeCell ref="AK26:AP26"/>
    <mergeCell ref="AQ32:AV32"/>
    <mergeCell ref="AW32:BB32"/>
    <mergeCell ref="A33:B33"/>
    <mergeCell ref="C33:U33"/>
    <mergeCell ref="V33:X33"/>
    <mergeCell ref="Y33:AD33"/>
    <mergeCell ref="AE33:AJ33"/>
    <mergeCell ref="AK33:AP33"/>
    <mergeCell ref="AQ33:AV33"/>
    <mergeCell ref="AW33:BB33"/>
    <mergeCell ref="A32:B32"/>
    <mergeCell ref="C32:U32"/>
    <mergeCell ref="V32:X32"/>
    <mergeCell ref="Y32:AD32"/>
    <mergeCell ref="AE32:AJ32"/>
    <mergeCell ref="AK32:AP32"/>
    <mergeCell ref="AQ30:AV30"/>
    <mergeCell ref="AW30:BB30"/>
    <mergeCell ref="A31:B31"/>
    <mergeCell ref="C31:U31"/>
    <mergeCell ref="V31:X31"/>
    <mergeCell ref="Y31:AD31"/>
    <mergeCell ref="AE31:AJ31"/>
    <mergeCell ref="AK31:AP31"/>
    <mergeCell ref="AQ31:AV31"/>
    <mergeCell ref="AW31:BB31"/>
    <mergeCell ref="A30:B30"/>
    <mergeCell ref="C30:U30"/>
    <mergeCell ref="V30:X30"/>
    <mergeCell ref="Y30:AD30"/>
    <mergeCell ref="AE30:AJ30"/>
    <mergeCell ref="AK30:AP30"/>
    <mergeCell ref="AQ36:AV36"/>
    <mergeCell ref="AW36:BB36"/>
    <mergeCell ref="A37:B37"/>
    <mergeCell ref="C37:U37"/>
    <mergeCell ref="V37:X37"/>
    <mergeCell ref="Y37:AD37"/>
    <mergeCell ref="AE37:AJ37"/>
    <mergeCell ref="AK37:AP37"/>
    <mergeCell ref="AQ37:AV37"/>
    <mergeCell ref="AW37:BB37"/>
    <mergeCell ref="A36:B36"/>
    <mergeCell ref="C36:U36"/>
    <mergeCell ref="V36:X36"/>
    <mergeCell ref="Y36:AD36"/>
    <mergeCell ref="AE36:AJ36"/>
    <mergeCell ref="AK36:AP36"/>
    <mergeCell ref="AQ34:AV34"/>
    <mergeCell ref="AW34:BB34"/>
    <mergeCell ref="A35:B35"/>
    <mergeCell ref="C35:U35"/>
    <mergeCell ref="V35:X35"/>
    <mergeCell ref="Y35:AD35"/>
    <mergeCell ref="AE35:AJ35"/>
    <mergeCell ref="AK35:AP35"/>
    <mergeCell ref="AQ35:AV35"/>
    <mergeCell ref="AW35:BB35"/>
    <mergeCell ref="A34:B34"/>
    <mergeCell ref="C34:U34"/>
    <mergeCell ref="V34:X34"/>
    <mergeCell ref="Y34:AD34"/>
    <mergeCell ref="AE34:AJ34"/>
    <mergeCell ref="AK34:AP34"/>
    <mergeCell ref="AQ40:AV40"/>
    <mergeCell ref="AW40:BB40"/>
    <mergeCell ref="A41:B41"/>
    <mergeCell ref="C41:U41"/>
    <mergeCell ref="V41:X41"/>
    <mergeCell ref="Y41:AD41"/>
    <mergeCell ref="AE41:AJ41"/>
    <mergeCell ref="AK41:AP41"/>
    <mergeCell ref="AQ41:AV41"/>
    <mergeCell ref="AW41:BB41"/>
    <mergeCell ref="A40:B40"/>
    <mergeCell ref="C40:U40"/>
    <mergeCell ref="V40:X40"/>
    <mergeCell ref="Y40:AD40"/>
    <mergeCell ref="AE40:AJ40"/>
    <mergeCell ref="AK40:AP40"/>
    <mergeCell ref="AQ38:AV38"/>
    <mergeCell ref="AW38:BB38"/>
    <mergeCell ref="A39:B39"/>
    <mergeCell ref="C39:U39"/>
    <mergeCell ref="V39:X39"/>
    <mergeCell ref="Y39:AD39"/>
    <mergeCell ref="AE39:AJ39"/>
    <mergeCell ref="AK39:AP39"/>
    <mergeCell ref="AQ39:AV39"/>
    <mergeCell ref="AW39:BB39"/>
    <mergeCell ref="A38:B38"/>
    <mergeCell ref="C38:U38"/>
    <mergeCell ref="V38:X38"/>
    <mergeCell ref="Y38:AD38"/>
    <mergeCell ref="AE38:AJ38"/>
    <mergeCell ref="AK38:AP38"/>
    <mergeCell ref="AQ44:AV44"/>
    <mergeCell ref="AW44:BB44"/>
    <mergeCell ref="A45:B45"/>
    <mergeCell ref="C45:U45"/>
    <mergeCell ref="V45:X45"/>
    <mergeCell ref="Y45:AD45"/>
    <mergeCell ref="AE45:AJ45"/>
    <mergeCell ref="AK45:AP45"/>
    <mergeCell ref="AQ45:AV45"/>
    <mergeCell ref="AW45:BB45"/>
    <mergeCell ref="A44:B44"/>
    <mergeCell ref="C44:U44"/>
    <mergeCell ref="V44:X44"/>
    <mergeCell ref="Y44:AD44"/>
    <mergeCell ref="AE44:AJ44"/>
    <mergeCell ref="AK44:AP44"/>
    <mergeCell ref="AQ42:AV42"/>
    <mergeCell ref="AW42:BB42"/>
    <mergeCell ref="A43:B43"/>
    <mergeCell ref="C43:U43"/>
    <mergeCell ref="V43:X43"/>
    <mergeCell ref="Y43:AD43"/>
    <mergeCell ref="AE43:AJ43"/>
    <mergeCell ref="AK43:AP43"/>
    <mergeCell ref="AQ43:AV43"/>
    <mergeCell ref="AW43:BB43"/>
    <mergeCell ref="A42:B42"/>
    <mergeCell ref="C42:U42"/>
    <mergeCell ref="V42:X42"/>
    <mergeCell ref="Y42:AD42"/>
    <mergeCell ref="AE42:AJ42"/>
    <mergeCell ref="AK42:AP42"/>
    <mergeCell ref="AQ48:AV48"/>
    <mergeCell ref="AW48:BB48"/>
    <mergeCell ref="A49:B49"/>
    <mergeCell ref="C49:U49"/>
    <mergeCell ref="V49:X49"/>
    <mergeCell ref="Y49:AD49"/>
    <mergeCell ref="AE49:AJ49"/>
    <mergeCell ref="AK49:AP49"/>
    <mergeCell ref="AQ49:AV49"/>
    <mergeCell ref="AW49:BB49"/>
    <mergeCell ref="A48:B48"/>
    <mergeCell ref="C48:U48"/>
    <mergeCell ref="V48:X48"/>
    <mergeCell ref="Y48:AD48"/>
    <mergeCell ref="AE48:AJ48"/>
    <mergeCell ref="AK48:AP48"/>
    <mergeCell ref="AQ46:AV46"/>
    <mergeCell ref="AW46:BB46"/>
    <mergeCell ref="A47:B47"/>
    <mergeCell ref="C47:U47"/>
    <mergeCell ref="V47:X47"/>
    <mergeCell ref="Y47:AD47"/>
    <mergeCell ref="AE47:AJ47"/>
    <mergeCell ref="AK47:AP47"/>
    <mergeCell ref="AQ47:AV47"/>
    <mergeCell ref="AW47:BB47"/>
    <mergeCell ref="A46:B46"/>
    <mergeCell ref="C46:U46"/>
    <mergeCell ref="V46:X46"/>
    <mergeCell ref="Y46:AD46"/>
    <mergeCell ref="AE46:AJ46"/>
    <mergeCell ref="AK46:AP46"/>
    <mergeCell ref="AQ52:AV52"/>
    <mergeCell ref="AW52:BB52"/>
    <mergeCell ref="A53:B53"/>
    <mergeCell ref="C53:U53"/>
    <mergeCell ref="V53:X53"/>
    <mergeCell ref="Y53:AD53"/>
    <mergeCell ref="AE53:AJ53"/>
    <mergeCell ref="AK53:AP53"/>
    <mergeCell ref="AQ53:AV53"/>
    <mergeCell ref="AW53:BB53"/>
    <mergeCell ref="A52:B52"/>
    <mergeCell ref="C52:U52"/>
    <mergeCell ref="V52:X52"/>
    <mergeCell ref="Y52:AD52"/>
    <mergeCell ref="AE52:AJ52"/>
    <mergeCell ref="AK52:AP52"/>
    <mergeCell ref="AQ50:AV50"/>
    <mergeCell ref="AW50:BB50"/>
    <mergeCell ref="A51:B51"/>
    <mergeCell ref="C51:U51"/>
    <mergeCell ref="V51:X51"/>
    <mergeCell ref="Y51:AD51"/>
    <mergeCell ref="AE51:AJ51"/>
    <mergeCell ref="AK51:AP51"/>
    <mergeCell ref="AQ51:AV51"/>
    <mergeCell ref="AW51:BB51"/>
    <mergeCell ref="A50:B50"/>
    <mergeCell ref="C50:U50"/>
    <mergeCell ref="V50:X50"/>
    <mergeCell ref="Y50:AD50"/>
    <mergeCell ref="AE50:AJ50"/>
    <mergeCell ref="AK50:AP50"/>
    <mergeCell ref="AQ56:AV56"/>
    <mergeCell ref="AW56:BB56"/>
    <mergeCell ref="A57:B57"/>
    <mergeCell ref="C57:U57"/>
    <mergeCell ref="V57:X57"/>
    <mergeCell ref="Y57:AD57"/>
    <mergeCell ref="AE57:AJ57"/>
    <mergeCell ref="AK57:AP57"/>
    <mergeCell ref="AQ57:AV57"/>
    <mergeCell ref="AW57:BB57"/>
    <mergeCell ref="A56:B56"/>
    <mergeCell ref="C56:U56"/>
    <mergeCell ref="V56:X56"/>
    <mergeCell ref="Y56:AD56"/>
    <mergeCell ref="AE56:AJ56"/>
    <mergeCell ref="AK56:AP56"/>
    <mergeCell ref="AQ54:AV54"/>
    <mergeCell ref="AW54:BB54"/>
    <mergeCell ref="A55:B55"/>
    <mergeCell ref="C55:U55"/>
    <mergeCell ref="V55:X55"/>
    <mergeCell ref="Y55:AD55"/>
    <mergeCell ref="AE55:AJ55"/>
    <mergeCell ref="AK55:AP55"/>
    <mergeCell ref="AQ55:AV55"/>
    <mergeCell ref="AW55:BB55"/>
    <mergeCell ref="A54:B54"/>
    <mergeCell ref="C54:U54"/>
    <mergeCell ref="V54:X54"/>
    <mergeCell ref="Y54:AD54"/>
    <mergeCell ref="AE54:AJ54"/>
    <mergeCell ref="AK54:AP54"/>
    <mergeCell ref="AQ60:AV60"/>
    <mergeCell ref="AW60:BB60"/>
    <mergeCell ref="A61:B61"/>
    <mergeCell ref="C61:U61"/>
    <mergeCell ref="V61:X61"/>
    <mergeCell ref="Y61:AD61"/>
    <mergeCell ref="AE61:AJ61"/>
    <mergeCell ref="AK61:AP61"/>
    <mergeCell ref="AQ61:AV61"/>
    <mergeCell ref="AW61:BB61"/>
    <mergeCell ref="A60:B60"/>
    <mergeCell ref="C60:U60"/>
    <mergeCell ref="V60:X60"/>
    <mergeCell ref="Y60:AD60"/>
    <mergeCell ref="AE60:AJ60"/>
    <mergeCell ref="AK60:AP60"/>
    <mergeCell ref="AQ58:AV58"/>
    <mergeCell ref="AW58:BB58"/>
    <mergeCell ref="A59:B59"/>
    <mergeCell ref="C59:U59"/>
    <mergeCell ref="V59:X59"/>
    <mergeCell ref="Y59:AD59"/>
    <mergeCell ref="AE59:AJ59"/>
    <mergeCell ref="AK59:AP59"/>
    <mergeCell ref="AQ59:AV59"/>
    <mergeCell ref="AW59:BB59"/>
    <mergeCell ref="A58:B58"/>
    <mergeCell ref="C58:U58"/>
    <mergeCell ref="V58:X58"/>
    <mergeCell ref="Y58:AD58"/>
    <mergeCell ref="AE58:AJ58"/>
    <mergeCell ref="AK58:AP58"/>
    <mergeCell ref="AQ64:AV64"/>
    <mergeCell ref="AW64:BB64"/>
    <mergeCell ref="A65:B65"/>
    <mergeCell ref="C65:U65"/>
    <mergeCell ref="V65:X65"/>
    <mergeCell ref="Y65:AD65"/>
    <mergeCell ref="AE65:AJ65"/>
    <mergeCell ref="AK65:AP65"/>
    <mergeCell ref="AQ65:AV65"/>
    <mergeCell ref="AW65:BB65"/>
    <mergeCell ref="A64:B64"/>
    <mergeCell ref="C64:U64"/>
    <mergeCell ref="V64:X64"/>
    <mergeCell ref="Y64:AD64"/>
    <mergeCell ref="AE64:AJ64"/>
    <mergeCell ref="AK64:AP64"/>
    <mergeCell ref="AQ62:AV62"/>
    <mergeCell ref="AW62:BB62"/>
    <mergeCell ref="A63:B63"/>
    <mergeCell ref="C63:U63"/>
    <mergeCell ref="V63:X63"/>
    <mergeCell ref="Y63:AD63"/>
    <mergeCell ref="AE63:AJ63"/>
    <mergeCell ref="AK63:AP63"/>
    <mergeCell ref="AQ63:AV63"/>
    <mergeCell ref="AW63:BB63"/>
    <mergeCell ref="A62:B62"/>
    <mergeCell ref="C62:U62"/>
    <mergeCell ref="V62:X62"/>
    <mergeCell ref="Y62:AD62"/>
    <mergeCell ref="AE62:AJ62"/>
    <mergeCell ref="AK62:AP62"/>
    <mergeCell ref="AQ68:AV68"/>
    <mergeCell ref="AW68:BB68"/>
    <mergeCell ref="A69:B69"/>
    <mergeCell ref="C69:U69"/>
    <mergeCell ref="V69:X69"/>
    <mergeCell ref="Y69:AD69"/>
    <mergeCell ref="AE69:AJ69"/>
    <mergeCell ref="AK69:AP69"/>
    <mergeCell ref="AQ69:AV69"/>
    <mergeCell ref="AW69:BB69"/>
    <mergeCell ref="A68:B68"/>
    <mergeCell ref="C68:U68"/>
    <mergeCell ref="V68:X68"/>
    <mergeCell ref="Y68:AD68"/>
    <mergeCell ref="AE68:AJ68"/>
    <mergeCell ref="AK68:AP68"/>
    <mergeCell ref="AQ66:AV66"/>
    <mergeCell ref="AW66:BB66"/>
    <mergeCell ref="A67:B67"/>
    <mergeCell ref="C67:U67"/>
    <mergeCell ref="V67:X67"/>
    <mergeCell ref="Y67:AD67"/>
    <mergeCell ref="AE67:AJ67"/>
    <mergeCell ref="AK67:AP67"/>
    <mergeCell ref="AQ67:AV67"/>
    <mergeCell ref="AW67:BB67"/>
    <mergeCell ref="A66:B66"/>
    <mergeCell ref="C66:U66"/>
    <mergeCell ref="V66:X66"/>
    <mergeCell ref="Y66:AD66"/>
    <mergeCell ref="AE66:AJ66"/>
    <mergeCell ref="AK66:AP66"/>
    <mergeCell ref="AQ72:AV72"/>
    <mergeCell ref="AW72:BB72"/>
    <mergeCell ref="A73:B73"/>
    <mergeCell ref="C73:U73"/>
    <mergeCell ref="V73:X73"/>
    <mergeCell ref="Y73:AD73"/>
    <mergeCell ref="AE73:AJ73"/>
    <mergeCell ref="AK73:AP73"/>
    <mergeCell ref="AQ73:AV73"/>
    <mergeCell ref="AW73:BB73"/>
    <mergeCell ref="A72:B72"/>
    <mergeCell ref="C72:U72"/>
    <mergeCell ref="V72:X72"/>
    <mergeCell ref="Y72:AD72"/>
    <mergeCell ref="AE72:AJ72"/>
    <mergeCell ref="AK72:AP72"/>
    <mergeCell ref="AQ70:AV70"/>
    <mergeCell ref="AW70:BB70"/>
    <mergeCell ref="A71:B71"/>
    <mergeCell ref="C71:U71"/>
    <mergeCell ref="V71:X71"/>
    <mergeCell ref="Y71:AD71"/>
    <mergeCell ref="AE71:AJ71"/>
    <mergeCell ref="AK71:AP71"/>
    <mergeCell ref="AQ71:AV71"/>
    <mergeCell ref="AW71:BB71"/>
    <mergeCell ref="A70:B70"/>
    <mergeCell ref="C70:U70"/>
    <mergeCell ref="V70:X70"/>
    <mergeCell ref="Y70:AD70"/>
    <mergeCell ref="AE70:AJ70"/>
    <mergeCell ref="AK70:AP70"/>
    <mergeCell ref="AQ76:AV76"/>
    <mergeCell ref="AW76:BB76"/>
    <mergeCell ref="A77:B77"/>
    <mergeCell ref="C77:U77"/>
    <mergeCell ref="V77:X77"/>
    <mergeCell ref="Y77:AD77"/>
    <mergeCell ref="AE77:AJ77"/>
    <mergeCell ref="AK77:AP77"/>
    <mergeCell ref="AQ77:AV77"/>
    <mergeCell ref="AW77:BB77"/>
    <mergeCell ref="A76:B76"/>
    <mergeCell ref="C76:U76"/>
    <mergeCell ref="V76:X76"/>
    <mergeCell ref="Y76:AD76"/>
    <mergeCell ref="AE76:AJ76"/>
    <mergeCell ref="AK76:AP76"/>
    <mergeCell ref="AQ74:AV74"/>
    <mergeCell ref="AW74:BB74"/>
    <mergeCell ref="A75:B75"/>
    <mergeCell ref="C75:U75"/>
    <mergeCell ref="V75:X75"/>
    <mergeCell ref="Y75:AD75"/>
    <mergeCell ref="AE75:AJ75"/>
    <mergeCell ref="AK75:AP75"/>
    <mergeCell ref="AQ75:AV75"/>
    <mergeCell ref="AW75:BB75"/>
    <mergeCell ref="A74:B74"/>
    <mergeCell ref="C74:U74"/>
    <mergeCell ref="V74:X74"/>
    <mergeCell ref="Y74:AD74"/>
    <mergeCell ref="AE74:AJ74"/>
    <mergeCell ref="AK74:AP74"/>
    <mergeCell ref="AQ80:AV80"/>
    <mergeCell ref="AW80:BB80"/>
    <mergeCell ref="A81:B81"/>
    <mergeCell ref="C81:U81"/>
    <mergeCell ref="V81:X81"/>
    <mergeCell ref="Y81:AD81"/>
    <mergeCell ref="AE81:AJ81"/>
    <mergeCell ref="AK81:AP81"/>
    <mergeCell ref="AQ81:AV81"/>
    <mergeCell ref="AW81:BB81"/>
    <mergeCell ref="A80:B80"/>
    <mergeCell ref="C80:U80"/>
    <mergeCell ref="V80:X80"/>
    <mergeCell ref="Y80:AD80"/>
    <mergeCell ref="AE80:AJ80"/>
    <mergeCell ref="AK80:AP80"/>
    <mergeCell ref="AQ78:AV78"/>
    <mergeCell ref="AW78:BB78"/>
    <mergeCell ref="A79:B79"/>
    <mergeCell ref="C79:U79"/>
    <mergeCell ref="V79:X79"/>
    <mergeCell ref="Y79:AD79"/>
    <mergeCell ref="AE79:AJ79"/>
    <mergeCell ref="AK79:AP79"/>
    <mergeCell ref="AQ79:AV79"/>
    <mergeCell ref="AW79:BB79"/>
    <mergeCell ref="A78:B78"/>
    <mergeCell ref="C78:U78"/>
    <mergeCell ref="V78:X78"/>
    <mergeCell ref="Y78:AD78"/>
    <mergeCell ref="AE78:AJ78"/>
    <mergeCell ref="AK78:AP78"/>
    <mergeCell ref="AQ84:AV84"/>
    <mergeCell ref="AW84:BB84"/>
    <mergeCell ref="A85:B85"/>
    <mergeCell ref="C85:U85"/>
    <mergeCell ref="V85:X85"/>
    <mergeCell ref="Y85:AD85"/>
    <mergeCell ref="AE85:AJ85"/>
    <mergeCell ref="AK85:AP85"/>
    <mergeCell ref="AQ85:AV85"/>
    <mergeCell ref="AW85:BB85"/>
    <mergeCell ref="A84:B84"/>
    <mergeCell ref="C84:U84"/>
    <mergeCell ref="V84:X84"/>
    <mergeCell ref="Y84:AD84"/>
    <mergeCell ref="AE84:AJ84"/>
    <mergeCell ref="AK84:AP84"/>
    <mergeCell ref="AQ82:AV82"/>
    <mergeCell ref="AW82:BB82"/>
    <mergeCell ref="A83:B83"/>
    <mergeCell ref="C83:U83"/>
    <mergeCell ref="V83:X83"/>
    <mergeCell ref="Y83:AD83"/>
    <mergeCell ref="AE83:AJ83"/>
    <mergeCell ref="AK83:AP83"/>
    <mergeCell ref="AQ83:AV83"/>
    <mergeCell ref="AW83:BB83"/>
    <mergeCell ref="A82:B82"/>
    <mergeCell ref="C82:U82"/>
    <mergeCell ref="V82:X82"/>
    <mergeCell ref="Y82:AD82"/>
    <mergeCell ref="AE82:AJ82"/>
    <mergeCell ref="AK82:AP82"/>
    <mergeCell ref="AQ88:AV88"/>
    <mergeCell ref="AW88:BB88"/>
    <mergeCell ref="A89:B89"/>
    <mergeCell ref="C89:U89"/>
    <mergeCell ref="V89:X89"/>
    <mergeCell ref="Y89:AD89"/>
    <mergeCell ref="AE89:AJ89"/>
    <mergeCell ref="AK89:AP89"/>
    <mergeCell ref="AQ89:AV89"/>
    <mergeCell ref="AW89:BB89"/>
    <mergeCell ref="A88:B88"/>
    <mergeCell ref="C88:U88"/>
    <mergeCell ref="V88:X88"/>
    <mergeCell ref="Y88:AD88"/>
    <mergeCell ref="AE88:AJ88"/>
    <mergeCell ref="AK88:AP88"/>
    <mergeCell ref="AQ86:AV86"/>
    <mergeCell ref="AW86:BB86"/>
    <mergeCell ref="A87:B87"/>
    <mergeCell ref="C87:U87"/>
    <mergeCell ref="V87:X87"/>
    <mergeCell ref="Y87:AD87"/>
    <mergeCell ref="AE87:AJ87"/>
    <mergeCell ref="AK87:AP87"/>
    <mergeCell ref="AQ87:AV87"/>
    <mergeCell ref="AW87:BB87"/>
    <mergeCell ref="A86:B86"/>
    <mergeCell ref="C86:U86"/>
    <mergeCell ref="V86:X86"/>
    <mergeCell ref="Y86:AD86"/>
    <mergeCell ref="AE86:AJ86"/>
    <mergeCell ref="AK86:AP86"/>
    <mergeCell ref="AQ92:AV92"/>
    <mergeCell ref="AW92:BB92"/>
    <mergeCell ref="A93:B93"/>
    <mergeCell ref="C93:U93"/>
    <mergeCell ref="V93:X93"/>
    <mergeCell ref="Y93:AD93"/>
    <mergeCell ref="AE93:AJ93"/>
    <mergeCell ref="AK93:AP93"/>
    <mergeCell ref="AQ93:AV93"/>
    <mergeCell ref="AW93:BB93"/>
    <mergeCell ref="A92:B92"/>
    <mergeCell ref="C92:U92"/>
    <mergeCell ref="V92:X92"/>
    <mergeCell ref="Y92:AD92"/>
    <mergeCell ref="AE92:AJ92"/>
    <mergeCell ref="AK92:AP92"/>
    <mergeCell ref="AQ90:AV90"/>
    <mergeCell ref="AW90:BB90"/>
    <mergeCell ref="A91:B91"/>
    <mergeCell ref="C91:U91"/>
    <mergeCell ref="V91:X91"/>
    <mergeCell ref="Y91:AD91"/>
    <mergeCell ref="AE91:AJ91"/>
    <mergeCell ref="AK91:AP91"/>
    <mergeCell ref="AQ91:AV91"/>
    <mergeCell ref="AW91:BB91"/>
    <mergeCell ref="A90:B90"/>
    <mergeCell ref="C90:U90"/>
    <mergeCell ref="V90:X90"/>
    <mergeCell ref="Y90:AD90"/>
    <mergeCell ref="AE90:AJ90"/>
    <mergeCell ref="AK90:AP90"/>
    <mergeCell ref="AQ96:AV96"/>
    <mergeCell ref="AW96:BB96"/>
    <mergeCell ref="A97:B97"/>
    <mergeCell ref="C97:U97"/>
    <mergeCell ref="V97:X97"/>
    <mergeCell ref="Y97:AD97"/>
    <mergeCell ref="AE97:AJ97"/>
    <mergeCell ref="AK97:AP97"/>
    <mergeCell ref="AQ97:AV97"/>
    <mergeCell ref="AW97:BB97"/>
    <mergeCell ref="A96:B96"/>
    <mergeCell ref="C96:U96"/>
    <mergeCell ref="V96:X96"/>
    <mergeCell ref="Y96:AD96"/>
    <mergeCell ref="AE96:AJ96"/>
    <mergeCell ref="AK96:AP96"/>
    <mergeCell ref="AQ94:AV94"/>
    <mergeCell ref="AW94:BB94"/>
    <mergeCell ref="A95:B95"/>
    <mergeCell ref="C95:U95"/>
    <mergeCell ref="V95:X95"/>
    <mergeCell ref="Y95:AD95"/>
    <mergeCell ref="AE95:AJ95"/>
    <mergeCell ref="AK95:AP95"/>
    <mergeCell ref="AQ95:AV95"/>
    <mergeCell ref="AW95:BB95"/>
    <mergeCell ref="A94:B94"/>
    <mergeCell ref="C94:U94"/>
    <mergeCell ref="V94:X94"/>
    <mergeCell ref="Y94:AD94"/>
    <mergeCell ref="AE94:AJ94"/>
    <mergeCell ref="AK94:AP94"/>
    <mergeCell ref="AQ100:AV100"/>
    <mergeCell ref="AW100:BB100"/>
    <mergeCell ref="A101:B101"/>
    <mergeCell ref="C101:U101"/>
    <mergeCell ref="V101:X101"/>
    <mergeCell ref="Y101:AD101"/>
    <mergeCell ref="AE101:AJ101"/>
    <mergeCell ref="AK101:AP101"/>
    <mergeCell ref="AQ101:AV101"/>
    <mergeCell ref="AW101:BB101"/>
    <mergeCell ref="A100:B100"/>
    <mergeCell ref="C100:U100"/>
    <mergeCell ref="V100:X100"/>
    <mergeCell ref="Y100:AD100"/>
    <mergeCell ref="AE100:AJ100"/>
    <mergeCell ref="AK100:AP100"/>
    <mergeCell ref="AQ98:AV98"/>
    <mergeCell ref="AW98:BB98"/>
    <mergeCell ref="A99:B99"/>
    <mergeCell ref="C99:U99"/>
    <mergeCell ref="V99:X99"/>
    <mergeCell ref="Y99:AD99"/>
    <mergeCell ref="AE99:AJ99"/>
    <mergeCell ref="AK99:AP99"/>
    <mergeCell ref="AQ99:AV99"/>
    <mergeCell ref="AW99:BB99"/>
    <mergeCell ref="A98:B98"/>
    <mergeCell ref="C98:U98"/>
    <mergeCell ref="V98:X98"/>
    <mergeCell ref="Y98:AD98"/>
    <mergeCell ref="AE98:AJ98"/>
    <mergeCell ref="AK98:AP98"/>
    <mergeCell ref="AQ104:AV104"/>
    <mergeCell ref="AW104:BB104"/>
    <mergeCell ref="A105:B105"/>
    <mergeCell ref="C105:U105"/>
    <mergeCell ref="V105:X105"/>
    <mergeCell ref="Y105:AD105"/>
    <mergeCell ref="AE105:AJ105"/>
    <mergeCell ref="AK105:AP105"/>
    <mergeCell ref="AQ105:AV105"/>
    <mergeCell ref="AW105:BB105"/>
    <mergeCell ref="A104:B104"/>
    <mergeCell ref="C104:U104"/>
    <mergeCell ref="V104:X104"/>
    <mergeCell ref="Y104:AD104"/>
    <mergeCell ref="AE104:AJ104"/>
    <mergeCell ref="AK104:AP104"/>
    <mergeCell ref="AQ102:AV102"/>
    <mergeCell ref="AW102:BB102"/>
    <mergeCell ref="A103:B103"/>
    <mergeCell ref="C103:U103"/>
    <mergeCell ref="V103:X103"/>
    <mergeCell ref="Y103:AD103"/>
    <mergeCell ref="AE103:AJ103"/>
    <mergeCell ref="AK103:AP103"/>
    <mergeCell ref="AQ103:AV103"/>
    <mergeCell ref="AW103:BB103"/>
    <mergeCell ref="A102:B102"/>
    <mergeCell ref="C102:U102"/>
    <mergeCell ref="V102:X102"/>
    <mergeCell ref="Y102:AD102"/>
    <mergeCell ref="AE102:AJ102"/>
    <mergeCell ref="AK102:AP102"/>
    <mergeCell ref="AQ108:AV108"/>
    <mergeCell ref="AW108:BB108"/>
    <mergeCell ref="A109:B109"/>
    <mergeCell ref="C109:U109"/>
    <mergeCell ref="V109:X109"/>
    <mergeCell ref="Y109:AD109"/>
    <mergeCell ref="AE109:AJ109"/>
    <mergeCell ref="AK109:AP109"/>
    <mergeCell ref="AQ109:AV109"/>
    <mergeCell ref="AW109:BB109"/>
    <mergeCell ref="A108:B108"/>
    <mergeCell ref="C108:U108"/>
    <mergeCell ref="V108:X108"/>
    <mergeCell ref="Y108:AD108"/>
    <mergeCell ref="AE108:AJ108"/>
    <mergeCell ref="AK108:AP108"/>
    <mergeCell ref="AQ106:AV106"/>
    <mergeCell ref="AW106:BB106"/>
    <mergeCell ref="A107:B107"/>
    <mergeCell ref="C107:U107"/>
    <mergeCell ref="V107:X107"/>
    <mergeCell ref="Y107:AD107"/>
    <mergeCell ref="AE107:AJ107"/>
    <mergeCell ref="AK107:AP107"/>
    <mergeCell ref="AQ107:AV107"/>
    <mergeCell ref="AW107:BB107"/>
    <mergeCell ref="A106:B106"/>
    <mergeCell ref="C106:U106"/>
    <mergeCell ref="V106:X106"/>
    <mergeCell ref="Y106:AD106"/>
    <mergeCell ref="AE106:AJ106"/>
    <mergeCell ref="AK106:AP106"/>
    <mergeCell ref="AQ112:AV112"/>
    <mergeCell ref="AW112:BB112"/>
    <mergeCell ref="A113:B113"/>
    <mergeCell ref="C113:U113"/>
    <mergeCell ref="V113:X113"/>
    <mergeCell ref="Y113:AD113"/>
    <mergeCell ref="AE113:AJ113"/>
    <mergeCell ref="AK113:AP113"/>
    <mergeCell ref="AQ113:AV113"/>
    <mergeCell ref="AW113:BB113"/>
    <mergeCell ref="A112:B112"/>
    <mergeCell ref="C112:U112"/>
    <mergeCell ref="V112:X112"/>
    <mergeCell ref="Y112:AD112"/>
    <mergeCell ref="AE112:AJ112"/>
    <mergeCell ref="AK112:AP112"/>
    <mergeCell ref="AQ110:AV110"/>
    <mergeCell ref="AW110:BB110"/>
    <mergeCell ref="A111:B111"/>
    <mergeCell ref="C111:U111"/>
    <mergeCell ref="V111:X111"/>
    <mergeCell ref="Y111:AD111"/>
    <mergeCell ref="AE111:AJ111"/>
    <mergeCell ref="AK111:AP111"/>
    <mergeCell ref="AQ111:AV111"/>
    <mergeCell ref="AW111:BB111"/>
    <mergeCell ref="A110:B110"/>
    <mergeCell ref="C110:U110"/>
    <mergeCell ref="V110:X110"/>
    <mergeCell ref="Y110:AD110"/>
    <mergeCell ref="AE110:AJ110"/>
    <mergeCell ref="AK110:AP110"/>
    <mergeCell ref="AQ116:AV116"/>
    <mergeCell ref="AW116:BB116"/>
    <mergeCell ref="A117:B117"/>
    <mergeCell ref="C117:U117"/>
    <mergeCell ref="V117:X117"/>
    <mergeCell ref="Y117:AD117"/>
    <mergeCell ref="AE117:AJ117"/>
    <mergeCell ref="AK117:AP117"/>
    <mergeCell ref="AQ117:AV117"/>
    <mergeCell ref="AW117:BB117"/>
    <mergeCell ref="A116:B116"/>
    <mergeCell ref="C116:U116"/>
    <mergeCell ref="V116:X116"/>
    <mergeCell ref="Y116:AD116"/>
    <mergeCell ref="AE116:AJ116"/>
    <mergeCell ref="AK116:AP116"/>
    <mergeCell ref="AQ114:AV114"/>
    <mergeCell ref="AW114:BB114"/>
    <mergeCell ref="A115:B115"/>
    <mergeCell ref="C115:U115"/>
    <mergeCell ref="V115:X115"/>
    <mergeCell ref="Y115:AD115"/>
    <mergeCell ref="AE115:AJ115"/>
    <mergeCell ref="AK115:AP115"/>
    <mergeCell ref="AQ115:AV115"/>
    <mergeCell ref="AW115:BB115"/>
    <mergeCell ref="A114:B114"/>
    <mergeCell ref="C114:U114"/>
    <mergeCell ref="V114:X114"/>
    <mergeCell ref="Y114:AD114"/>
    <mergeCell ref="AE114:AJ114"/>
    <mergeCell ref="AK114:AP114"/>
    <mergeCell ref="AQ120:AV120"/>
    <mergeCell ref="AW120:BB120"/>
    <mergeCell ref="A121:B121"/>
    <mergeCell ref="C121:U121"/>
    <mergeCell ref="V121:X121"/>
    <mergeCell ref="Y121:AD121"/>
    <mergeCell ref="AE121:AJ121"/>
    <mergeCell ref="AK121:AP121"/>
    <mergeCell ref="AQ121:AV121"/>
    <mergeCell ref="AW121:BB121"/>
    <mergeCell ref="A120:B120"/>
    <mergeCell ref="C120:U120"/>
    <mergeCell ref="V120:X120"/>
    <mergeCell ref="Y120:AD120"/>
    <mergeCell ref="AE120:AJ120"/>
    <mergeCell ref="AK120:AP120"/>
    <mergeCell ref="AQ118:AV118"/>
    <mergeCell ref="AW118:BB118"/>
    <mergeCell ref="A119:B119"/>
    <mergeCell ref="C119:U119"/>
    <mergeCell ref="V119:X119"/>
    <mergeCell ref="Y119:AD119"/>
    <mergeCell ref="AE119:AJ119"/>
    <mergeCell ref="AK119:AP119"/>
    <mergeCell ref="AQ119:AV119"/>
    <mergeCell ref="AW119:BB119"/>
    <mergeCell ref="A118:B118"/>
    <mergeCell ref="C118:U118"/>
    <mergeCell ref="V118:X118"/>
    <mergeCell ref="Y118:AD118"/>
    <mergeCell ref="AE118:AJ118"/>
    <mergeCell ref="AK118:AP118"/>
    <mergeCell ref="AQ124:AV124"/>
    <mergeCell ref="AW124:BB124"/>
    <mergeCell ref="A125:B125"/>
    <mergeCell ref="C125:U125"/>
    <mergeCell ref="V125:X125"/>
    <mergeCell ref="Y125:AD125"/>
    <mergeCell ref="AE125:AJ125"/>
    <mergeCell ref="AK125:AP125"/>
    <mergeCell ref="AQ125:AV125"/>
    <mergeCell ref="AW125:BB125"/>
    <mergeCell ref="A124:B124"/>
    <mergeCell ref="C124:U124"/>
    <mergeCell ref="V124:X124"/>
    <mergeCell ref="Y124:AD124"/>
    <mergeCell ref="AE124:AJ124"/>
    <mergeCell ref="AK124:AP124"/>
    <mergeCell ref="AQ122:AV122"/>
    <mergeCell ref="AW122:BB122"/>
    <mergeCell ref="A123:B123"/>
    <mergeCell ref="C123:U123"/>
    <mergeCell ref="V123:X123"/>
    <mergeCell ref="Y123:AD123"/>
    <mergeCell ref="AE123:AJ123"/>
    <mergeCell ref="AK123:AP123"/>
    <mergeCell ref="AQ123:AV123"/>
    <mergeCell ref="AW123:BB123"/>
    <mergeCell ref="A122:B122"/>
    <mergeCell ref="C122:U122"/>
    <mergeCell ref="V122:X122"/>
    <mergeCell ref="Y122:AD122"/>
    <mergeCell ref="AE122:AJ122"/>
    <mergeCell ref="AK122:AP122"/>
    <mergeCell ref="AQ128:AV128"/>
    <mergeCell ref="AW128:BB128"/>
    <mergeCell ref="A129:B129"/>
    <mergeCell ref="C129:U129"/>
    <mergeCell ref="V129:X129"/>
    <mergeCell ref="Y129:AD129"/>
    <mergeCell ref="AE129:AJ129"/>
    <mergeCell ref="AK129:AP129"/>
    <mergeCell ref="AQ129:AV129"/>
    <mergeCell ref="AW129:BB129"/>
    <mergeCell ref="A128:B128"/>
    <mergeCell ref="C128:U128"/>
    <mergeCell ref="V128:X128"/>
    <mergeCell ref="Y128:AD128"/>
    <mergeCell ref="AE128:AJ128"/>
    <mergeCell ref="AK128:AP128"/>
    <mergeCell ref="AQ126:AV126"/>
    <mergeCell ref="AW126:BB126"/>
    <mergeCell ref="A127:B127"/>
    <mergeCell ref="C127:U127"/>
    <mergeCell ref="V127:X127"/>
    <mergeCell ref="Y127:AD127"/>
    <mergeCell ref="AE127:AJ127"/>
    <mergeCell ref="AK127:AP127"/>
    <mergeCell ref="AQ127:AV127"/>
    <mergeCell ref="AW127:BB127"/>
    <mergeCell ref="A126:B126"/>
    <mergeCell ref="C126:U126"/>
    <mergeCell ref="V126:X126"/>
    <mergeCell ref="Y126:AD126"/>
    <mergeCell ref="AE126:AJ126"/>
    <mergeCell ref="AK126:AP126"/>
    <mergeCell ref="AQ132:AV132"/>
    <mergeCell ref="AW132:BB132"/>
    <mergeCell ref="A133:B133"/>
    <mergeCell ref="C133:U133"/>
    <mergeCell ref="V133:X133"/>
    <mergeCell ref="Y133:AD133"/>
    <mergeCell ref="AE133:AJ133"/>
    <mergeCell ref="AK133:AP133"/>
    <mergeCell ref="AQ133:AV133"/>
    <mergeCell ref="AW133:BB133"/>
    <mergeCell ref="A132:B132"/>
    <mergeCell ref="C132:U132"/>
    <mergeCell ref="V132:X132"/>
    <mergeCell ref="Y132:AD132"/>
    <mergeCell ref="AE132:AJ132"/>
    <mergeCell ref="AK132:AP132"/>
    <mergeCell ref="AQ130:AV130"/>
    <mergeCell ref="AW130:BB130"/>
    <mergeCell ref="A131:B131"/>
    <mergeCell ref="C131:U131"/>
    <mergeCell ref="V131:X131"/>
    <mergeCell ref="Y131:AD131"/>
    <mergeCell ref="AE131:AJ131"/>
    <mergeCell ref="AK131:AP131"/>
    <mergeCell ref="AQ131:AV131"/>
    <mergeCell ref="AW131:BB131"/>
    <mergeCell ref="A130:B130"/>
    <mergeCell ref="C130:U130"/>
    <mergeCell ref="V130:X130"/>
    <mergeCell ref="Y130:AD130"/>
    <mergeCell ref="AE130:AJ130"/>
    <mergeCell ref="AK130:AP130"/>
    <mergeCell ref="AQ136:AV136"/>
    <mergeCell ref="AW136:BB136"/>
    <mergeCell ref="A137:B137"/>
    <mergeCell ref="C137:U137"/>
    <mergeCell ref="V137:X137"/>
    <mergeCell ref="Y137:AD137"/>
    <mergeCell ref="AE137:AJ137"/>
    <mergeCell ref="AK137:AP137"/>
    <mergeCell ref="AQ137:AV137"/>
    <mergeCell ref="AW137:BB137"/>
    <mergeCell ref="A136:B136"/>
    <mergeCell ref="C136:U136"/>
    <mergeCell ref="V136:X136"/>
    <mergeCell ref="Y136:AD136"/>
    <mergeCell ref="AE136:AJ136"/>
    <mergeCell ref="AK136:AP136"/>
    <mergeCell ref="AQ134:AV134"/>
    <mergeCell ref="AW134:BB134"/>
    <mergeCell ref="A135:B135"/>
    <mergeCell ref="C135:U135"/>
    <mergeCell ref="V135:X135"/>
    <mergeCell ref="Y135:AD135"/>
    <mergeCell ref="AE135:AJ135"/>
    <mergeCell ref="AK135:AP135"/>
    <mergeCell ref="AQ135:AV135"/>
    <mergeCell ref="AW135:BB135"/>
    <mergeCell ref="A134:B134"/>
    <mergeCell ref="C134:U134"/>
    <mergeCell ref="V134:X134"/>
    <mergeCell ref="Y134:AD134"/>
    <mergeCell ref="AE134:AJ134"/>
    <mergeCell ref="AK134:AP134"/>
    <mergeCell ref="AQ140:AV140"/>
    <mergeCell ref="AW140:BB140"/>
    <mergeCell ref="A141:B141"/>
    <mergeCell ref="C141:U141"/>
    <mergeCell ref="V141:X141"/>
    <mergeCell ref="Y141:AD141"/>
    <mergeCell ref="AE141:AJ141"/>
    <mergeCell ref="AK141:AP141"/>
    <mergeCell ref="AQ141:AV141"/>
    <mergeCell ref="AW141:BB141"/>
    <mergeCell ref="A140:B140"/>
    <mergeCell ref="C140:U140"/>
    <mergeCell ref="V140:X140"/>
    <mergeCell ref="Y140:AD140"/>
    <mergeCell ref="AE140:AJ140"/>
    <mergeCell ref="AK140:AP140"/>
    <mergeCell ref="AQ138:AV138"/>
    <mergeCell ref="AW138:BB138"/>
    <mergeCell ref="A139:B139"/>
    <mergeCell ref="C139:U139"/>
    <mergeCell ref="V139:X139"/>
    <mergeCell ref="Y139:AD139"/>
    <mergeCell ref="AE139:AJ139"/>
    <mergeCell ref="AK139:AP139"/>
    <mergeCell ref="AQ139:AV139"/>
    <mergeCell ref="AW139:BB139"/>
    <mergeCell ref="A138:B138"/>
    <mergeCell ref="C138:U138"/>
    <mergeCell ref="V138:X138"/>
    <mergeCell ref="Y138:AD138"/>
    <mergeCell ref="AE138:AJ138"/>
    <mergeCell ref="AK138:AP138"/>
    <mergeCell ref="AQ144:AV144"/>
    <mergeCell ref="AW144:BB144"/>
    <mergeCell ref="A145:B145"/>
    <mergeCell ref="C145:U145"/>
    <mergeCell ref="V145:X145"/>
    <mergeCell ref="Y145:AD145"/>
    <mergeCell ref="AE145:AJ145"/>
    <mergeCell ref="AK145:AP145"/>
    <mergeCell ref="AQ145:AV145"/>
    <mergeCell ref="AW145:BB145"/>
    <mergeCell ref="A144:B144"/>
    <mergeCell ref="C144:U144"/>
    <mergeCell ref="V144:X144"/>
    <mergeCell ref="Y144:AD144"/>
    <mergeCell ref="AE144:AJ144"/>
    <mergeCell ref="AK144:AP144"/>
    <mergeCell ref="AQ142:AV142"/>
    <mergeCell ref="AW142:BB142"/>
    <mergeCell ref="A143:B143"/>
    <mergeCell ref="C143:U143"/>
    <mergeCell ref="V143:X143"/>
    <mergeCell ref="Y143:AD143"/>
    <mergeCell ref="AE143:AJ143"/>
    <mergeCell ref="AK143:AP143"/>
    <mergeCell ref="AQ143:AV143"/>
    <mergeCell ref="AW143:BB143"/>
    <mergeCell ref="A142:B142"/>
    <mergeCell ref="C142:U142"/>
    <mergeCell ref="V142:X142"/>
    <mergeCell ref="Y142:AD142"/>
    <mergeCell ref="AE142:AJ142"/>
    <mergeCell ref="AK142:AP142"/>
    <mergeCell ref="AQ148:AV148"/>
    <mergeCell ref="AW148:BB148"/>
    <mergeCell ref="A149:B149"/>
    <mergeCell ref="C149:U149"/>
    <mergeCell ref="V149:X149"/>
    <mergeCell ref="Y149:AD149"/>
    <mergeCell ref="AE149:AJ149"/>
    <mergeCell ref="AK149:AP149"/>
    <mergeCell ref="AQ149:AV149"/>
    <mergeCell ref="AW149:BB149"/>
    <mergeCell ref="A148:B148"/>
    <mergeCell ref="C148:U148"/>
    <mergeCell ref="V148:X148"/>
    <mergeCell ref="Y148:AD148"/>
    <mergeCell ref="AE148:AJ148"/>
    <mergeCell ref="AK148:AP148"/>
    <mergeCell ref="AQ146:AV146"/>
    <mergeCell ref="AW146:BB146"/>
    <mergeCell ref="A147:B147"/>
    <mergeCell ref="C147:U147"/>
    <mergeCell ref="V147:X147"/>
    <mergeCell ref="Y147:AD147"/>
    <mergeCell ref="AE147:AJ147"/>
    <mergeCell ref="AK147:AP147"/>
    <mergeCell ref="AQ147:AV147"/>
    <mergeCell ref="AW147:BB147"/>
    <mergeCell ref="A146:B146"/>
    <mergeCell ref="C146:U146"/>
    <mergeCell ref="V146:X146"/>
    <mergeCell ref="Y146:AD146"/>
    <mergeCell ref="AE146:AJ146"/>
    <mergeCell ref="AK146:AP146"/>
    <mergeCell ref="AQ152:AV152"/>
    <mergeCell ref="AW152:BB152"/>
    <mergeCell ref="A153:B153"/>
    <mergeCell ref="C153:U153"/>
    <mergeCell ref="V153:X153"/>
    <mergeCell ref="Y153:AD153"/>
    <mergeCell ref="AE153:AJ153"/>
    <mergeCell ref="AK153:AP153"/>
    <mergeCell ref="AQ153:AV153"/>
    <mergeCell ref="AW153:BB153"/>
    <mergeCell ref="A152:B152"/>
    <mergeCell ref="C152:U152"/>
    <mergeCell ref="V152:X152"/>
    <mergeCell ref="Y152:AD152"/>
    <mergeCell ref="AE152:AJ152"/>
    <mergeCell ref="AK152:AP152"/>
    <mergeCell ref="AQ150:AV150"/>
    <mergeCell ref="AW150:BB150"/>
    <mergeCell ref="A151:B151"/>
    <mergeCell ref="C151:U151"/>
    <mergeCell ref="V151:X151"/>
    <mergeCell ref="Y151:AD151"/>
    <mergeCell ref="AE151:AJ151"/>
    <mergeCell ref="AK151:AP151"/>
    <mergeCell ref="AQ151:AV151"/>
    <mergeCell ref="AW151:BB151"/>
    <mergeCell ref="A150:B150"/>
    <mergeCell ref="C150:U150"/>
    <mergeCell ref="V150:X150"/>
    <mergeCell ref="Y150:AD150"/>
    <mergeCell ref="AE150:AJ150"/>
    <mergeCell ref="AK150:AP150"/>
    <mergeCell ref="AQ156:AV156"/>
    <mergeCell ref="AW156:BB156"/>
    <mergeCell ref="A157:B157"/>
    <mergeCell ref="C157:U157"/>
    <mergeCell ref="V157:X157"/>
    <mergeCell ref="Y157:AD157"/>
    <mergeCell ref="AE157:AJ157"/>
    <mergeCell ref="AK157:AP157"/>
    <mergeCell ref="AQ157:AV157"/>
    <mergeCell ref="AW157:BB157"/>
    <mergeCell ref="A156:B156"/>
    <mergeCell ref="C156:U156"/>
    <mergeCell ref="V156:X156"/>
    <mergeCell ref="Y156:AD156"/>
    <mergeCell ref="AE156:AJ156"/>
    <mergeCell ref="AK156:AP156"/>
    <mergeCell ref="AQ154:AV154"/>
    <mergeCell ref="AW154:BB154"/>
    <mergeCell ref="A155:B155"/>
    <mergeCell ref="C155:U155"/>
    <mergeCell ref="V155:X155"/>
    <mergeCell ref="Y155:AD155"/>
    <mergeCell ref="AE155:AJ155"/>
    <mergeCell ref="AK155:AP155"/>
    <mergeCell ref="AQ155:AV155"/>
    <mergeCell ref="AW155:BB155"/>
    <mergeCell ref="A154:B154"/>
    <mergeCell ref="C154:U154"/>
    <mergeCell ref="V154:X154"/>
    <mergeCell ref="Y154:AD154"/>
    <mergeCell ref="AE154:AJ154"/>
    <mergeCell ref="AK154:AP154"/>
    <mergeCell ref="AQ160:AV160"/>
    <mergeCell ref="AW160:BB160"/>
    <mergeCell ref="A161:B161"/>
    <mergeCell ref="C161:U161"/>
    <mergeCell ref="V161:X161"/>
    <mergeCell ref="Y161:AD161"/>
    <mergeCell ref="AE161:AJ161"/>
    <mergeCell ref="AK161:AP161"/>
    <mergeCell ref="AQ161:AV161"/>
    <mergeCell ref="AW161:BB161"/>
    <mergeCell ref="A160:B160"/>
    <mergeCell ref="C160:U160"/>
    <mergeCell ref="V160:X160"/>
    <mergeCell ref="Y160:AD160"/>
    <mergeCell ref="AE160:AJ160"/>
    <mergeCell ref="AK160:AP160"/>
    <mergeCell ref="AQ158:AV158"/>
    <mergeCell ref="AW158:BB158"/>
    <mergeCell ref="A159:B159"/>
    <mergeCell ref="C159:U159"/>
    <mergeCell ref="V159:X159"/>
    <mergeCell ref="Y159:AD159"/>
    <mergeCell ref="AE159:AJ159"/>
    <mergeCell ref="AK159:AP159"/>
    <mergeCell ref="AQ159:AV159"/>
    <mergeCell ref="AW159:BB159"/>
    <mergeCell ref="A158:B158"/>
    <mergeCell ref="C158:U158"/>
    <mergeCell ref="V158:X158"/>
    <mergeCell ref="Y158:AD158"/>
    <mergeCell ref="AE158:AJ158"/>
    <mergeCell ref="AK158:AP158"/>
    <mergeCell ref="AQ164:AV164"/>
    <mergeCell ref="AW164:BB164"/>
    <mergeCell ref="A165:B165"/>
    <mergeCell ref="C165:U165"/>
    <mergeCell ref="V165:X165"/>
    <mergeCell ref="Y165:AD165"/>
    <mergeCell ref="AE165:AJ165"/>
    <mergeCell ref="AK165:AP165"/>
    <mergeCell ref="AQ165:AV165"/>
    <mergeCell ref="AW165:BB165"/>
    <mergeCell ref="A164:B164"/>
    <mergeCell ref="C164:U164"/>
    <mergeCell ref="V164:X164"/>
    <mergeCell ref="Y164:AD164"/>
    <mergeCell ref="AE164:AJ164"/>
    <mergeCell ref="AK164:AP164"/>
    <mergeCell ref="AQ162:AV162"/>
    <mergeCell ref="AW162:BB162"/>
    <mergeCell ref="A163:B163"/>
    <mergeCell ref="C163:U163"/>
    <mergeCell ref="V163:X163"/>
    <mergeCell ref="Y163:AD163"/>
    <mergeCell ref="AE163:AJ163"/>
    <mergeCell ref="AK163:AP163"/>
    <mergeCell ref="AQ163:AV163"/>
    <mergeCell ref="AW163:BB163"/>
    <mergeCell ref="A162:B162"/>
    <mergeCell ref="C162:U162"/>
    <mergeCell ref="V162:X162"/>
    <mergeCell ref="Y162:AD162"/>
    <mergeCell ref="AE162:AJ162"/>
    <mergeCell ref="AK162:AP162"/>
    <mergeCell ref="AQ168:AV168"/>
    <mergeCell ref="AW168:BB168"/>
    <mergeCell ref="A169:B169"/>
    <mergeCell ref="C169:U169"/>
    <mergeCell ref="V169:X169"/>
    <mergeCell ref="Y169:AD169"/>
    <mergeCell ref="AE169:AJ169"/>
    <mergeCell ref="AK169:AP169"/>
    <mergeCell ref="AQ169:AV169"/>
    <mergeCell ref="AW169:BB169"/>
    <mergeCell ref="A168:B168"/>
    <mergeCell ref="C168:U168"/>
    <mergeCell ref="V168:X168"/>
    <mergeCell ref="Y168:AD168"/>
    <mergeCell ref="AE168:AJ168"/>
    <mergeCell ref="AK168:AP168"/>
    <mergeCell ref="AQ166:AV166"/>
    <mergeCell ref="AW166:BB166"/>
    <mergeCell ref="A167:B167"/>
    <mergeCell ref="C167:U167"/>
    <mergeCell ref="V167:X167"/>
    <mergeCell ref="Y167:AD167"/>
    <mergeCell ref="AE167:AJ167"/>
    <mergeCell ref="AK167:AP167"/>
    <mergeCell ref="AQ167:AV167"/>
    <mergeCell ref="AW167:BB167"/>
    <mergeCell ref="A166:B166"/>
    <mergeCell ref="C166:U166"/>
    <mergeCell ref="V166:X166"/>
    <mergeCell ref="Y166:AD166"/>
    <mergeCell ref="AE166:AJ166"/>
    <mergeCell ref="AK166:AP166"/>
    <mergeCell ref="AQ172:AV172"/>
    <mergeCell ref="AW172:BB172"/>
    <mergeCell ref="A173:B173"/>
    <mergeCell ref="C173:U173"/>
    <mergeCell ref="V173:X173"/>
    <mergeCell ref="Y173:AD173"/>
    <mergeCell ref="AE173:AJ173"/>
    <mergeCell ref="AK173:AP173"/>
    <mergeCell ref="AQ173:AV173"/>
    <mergeCell ref="AW173:BB173"/>
    <mergeCell ref="A172:B172"/>
    <mergeCell ref="C172:U172"/>
    <mergeCell ref="V172:X172"/>
    <mergeCell ref="Y172:AD172"/>
    <mergeCell ref="AE172:AJ172"/>
    <mergeCell ref="AK172:AP172"/>
    <mergeCell ref="AQ170:AV170"/>
    <mergeCell ref="AW170:BB170"/>
    <mergeCell ref="A171:B171"/>
    <mergeCell ref="C171:U171"/>
    <mergeCell ref="V171:X171"/>
    <mergeCell ref="Y171:AD171"/>
    <mergeCell ref="AE171:AJ171"/>
    <mergeCell ref="AK171:AP171"/>
    <mergeCell ref="AQ171:AV171"/>
    <mergeCell ref="AW171:BB171"/>
    <mergeCell ref="A170:B170"/>
    <mergeCell ref="C170:U170"/>
    <mergeCell ref="V170:X170"/>
    <mergeCell ref="Y170:AD170"/>
    <mergeCell ref="AE170:AJ170"/>
    <mergeCell ref="AK170:AP170"/>
    <mergeCell ref="AQ176:AV176"/>
    <mergeCell ref="AW176:BB176"/>
    <mergeCell ref="A177:B177"/>
    <mergeCell ref="C177:U177"/>
    <mergeCell ref="V177:X177"/>
    <mergeCell ref="Y177:AD177"/>
    <mergeCell ref="AE177:AJ177"/>
    <mergeCell ref="AK177:AP177"/>
    <mergeCell ref="AQ177:AV177"/>
    <mergeCell ref="AW177:BB177"/>
    <mergeCell ref="A176:B176"/>
    <mergeCell ref="C176:U176"/>
    <mergeCell ref="V176:X176"/>
    <mergeCell ref="Y176:AD176"/>
    <mergeCell ref="AE176:AJ176"/>
    <mergeCell ref="AK176:AP176"/>
    <mergeCell ref="AQ174:AV174"/>
    <mergeCell ref="AW174:BB174"/>
    <mergeCell ref="A175:B175"/>
    <mergeCell ref="C175:U175"/>
    <mergeCell ref="V175:X175"/>
    <mergeCell ref="Y175:AD175"/>
    <mergeCell ref="AE175:AJ175"/>
    <mergeCell ref="AK175:AP175"/>
    <mergeCell ref="AQ175:AV175"/>
    <mergeCell ref="AW175:BB175"/>
    <mergeCell ref="A174:B174"/>
    <mergeCell ref="C174:U174"/>
    <mergeCell ref="V174:X174"/>
    <mergeCell ref="Y174:AD174"/>
    <mergeCell ref="AE174:AJ174"/>
    <mergeCell ref="AK174:AP174"/>
    <mergeCell ref="AQ180:AV180"/>
    <mergeCell ref="AW180:BB180"/>
    <mergeCell ref="A181:B181"/>
    <mergeCell ref="C181:U181"/>
    <mergeCell ref="V181:X181"/>
    <mergeCell ref="Y181:AD181"/>
    <mergeCell ref="AE181:AJ181"/>
    <mergeCell ref="AK181:AP181"/>
    <mergeCell ref="AQ181:AV181"/>
    <mergeCell ref="AW181:BB181"/>
    <mergeCell ref="A180:B180"/>
    <mergeCell ref="C180:U180"/>
    <mergeCell ref="V180:X180"/>
    <mergeCell ref="Y180:AD180"/>
    <mergeCell ref="AE180:AJ180"/>
    <mergeCell ref="AK180:AP180"/>
    <mergeCell ref="AQ178:AV178"/>
    <mergeCell ref="AW178:BB178"/>
    <mergeCell ref="A179:B179"/>
    <mergeCell ref="C179:U179"/>
    <mergeCell ref="V179:X179"/>
    <mergeCell ref="Y179:AD179"/>
    <mergeCell ref="AE179:AJ179"/>
    <mergeCell ref="AK179:AP179"/>
    <mergeCell ref="AQ179:AV179"/>
    <mergeCell ref="AW179:BB179"/>
    <mergeCell ref="A178:B178"/>
    <mergeCell ref="C178:U178"/>
    <mergeCell ref="V178:X178"/>
    <mergeCell ref="Y178:AD178"/>
    <mergeCell ref="AE178:AJ178"/>
    <mergeCell ref="AK178:AP178"/>
    <mergeCell ref="AQ184:AV184"/>
    <mergeCell ref="AW184:BB184"/>
    <mergeCell ref="A185:B185"/>
    <mergeCell ref="C185:U185"/>
    <mergeCell ref="V185:X185"/>
    <mergeCell ref="Y185:AD185"/>
    <mergeCell ref="AE185:AJ185"/>
    <mergeCell ref="AK185:AP185"/>
    <mergeCell ref="AQ185:AV185"/>
    <mergeCell ref="AW185:BB185"/>
    <mergeCell ref="A184:B184"/>
    <mergeCell ref="C184:U184"/>
    <mergeCell ref="V184:X184"/>
    <mergeCell ref="Y184:AD184"/>
    <mergeCell ref="AE184:AJ184"/>
    <mergeCell ref="AK184:AP184"/>
    <mergeCell ref="AQ182:AV182"/>
    <mergeCell ref="AW182:BB182"/>
    <mergeCell ref="A183:B183"/>
    <mergeCell ref="C183:U183"/>
    <mergeCell ref="V183:X183"/>
    <mergeCell ref="Y183:AD183"/>
    <mergeCell ref="AE183:AJ183"/>
    <mergeCell ref="AK183:AP183"/>
    <mergeCell ref="AQ183:AV183"/>
    <mergeCell ref="AW183:BB183"/>
    <mergeCell ref="A182:B182"/>
    <mergeCell ref="C182:U182"/>
    <mergeCell ref="V182:X182"/>
    <mergeCell ref="Y182:AD182"/>
    <mergeCell ref="AE182:AJ182"/>
    <mergeCell ref="AK182:AP182"/>
    <mergeCell ref="AQ188:AV188"/>
    <mergeCell ref="AW188:BB188"/>
    <mergeCell ref="A189:B189"/>
    <mergeCell ref="C189:U189"/>
    <mergeCell ref="V189:X189"/>
    <mergeCell ref="Y189:AD189"/>
    <mergeCell ref="AE189:AJ189"/>
    <mergeCell ref="AK189:AP189"/>
    <mergeCell ref="AQ189:AV189"/>
    <mergeCell ref="AW189:BB189"/>
    <mergeCell ref="A188:B188"/>
    <mergeCell ref="C188:U188"/>
    <mergeCell ref="V188:X188"/>
    <mergeCell ref="Y188:AD188"/>
    <mergeCell ref="AE188:AJ188"/>
    <mergeCell ref="AK188:AP188"/>
    <mergeCell ref="AQ186:AV186"/>
    <mergeCell ref="AW186:BB186"/>
    <mergeCell ref="A187:B187"/>
    <mergeCell ref="C187:U187"/>
    <mergeCell ref="V187:X187"/>
    <mergeCell ref="Y187:AD187"/>
    <mergeCell ref="AE187:AJ187"/>
    <mergeCell ref="AK187:AP187"/>
    <mergeCell ref="AQ187:AV187"/>
    <mergeCell ref="AW187:BB187"/>
    <mergeCell ref="A186:B186"/>
    <mergeCell ref="C186:U186"/>
    <mergeCell ref="V186:X186"/>
    <mergeCell ref="Y186:AD186"/>
    <mergeCell ref="AE186:AJ186"/>
    <mergeCell ref="AK186:AP186"/>
    <mergeCell ref="AQ192:AV192"/>
    <mergeCell ref="AW192:BB192"/>
    <mergeCell ref="A193:B193"/>
    <mergeCell ref="C193:U193"/>
    <mergeCell ref="V193:X193"/>
    <mergeCell ref="Y193:AD193"/>
    <mergeCell ref="AE193:AJ193"/>
    <mergeCell ref="AK193:AP193"/>
    <mergeCell ref="AQ193:AV193"/>
    <mergeCell ref="AW193:BB193"/>
    <mergeCell ref="A192:B192"/>
    <mergeCell ref="C192:U192"/>
    <mergeCell ref="V192:X192"/>
    <mergeCell ref="Y192:AD192"/>
    <mergeCell ref="AE192:AJ192"/>
    <mergeCell ref="AK192:AP192"/>
    <mergeCell ref="AQ190:AV190"/>
    <mergeCell ref="AW190:BB190"/>
    <mergeCell ref="A191:B191"/>
    <mergeCell ref="C191:U191"/>
    <mergeCell ref="V191:X191"/>
    <mergeCell ref="Y191:AD191"/>
    <mergeCell ref="AE191:AJ191"/>
    <mergeCell ref="AK191:AP191"/>
    <mergeCell ref="AQ191:AV191"/>
    <mergeCell ref="AW191:BB191"/>
    <mergeCell ref="A190:B190"/>
    <mergeCell ref="C190:U190"/>
    <mergeCell ref="V190:X190"/>
    <mergeCell ref="Y190:AD190"/>
    <mergeCell ref="AE190:AJ190"/>
    <mergeCell ref="AK190:AP190"/>
    <mergeCell ref="AQ196:AV196"/>
    <mergeCell ref="AW196:BB196"/>
    <mergeCell ref="A197:B197"/>
    <mergeCell ref="C197:U197"/>
    <mergeCell ref="V197:X197"/>
    <mergeCell ref="Y197:AD197"/>
    <mergeCell ref="AE197:AJ197"/>
    <mergeCell ref="AK197:AP197"/>
    <mergeCell ref="AQ197:AV197"/>
    <mergeCell ref="AW197:BB197"/>
    <mergeCell ref="A196:B196"/>
    <mergeCell ref="C196:U196"/>
    <mergeCell ref="V196:X196"/>
    <mergeCell ref="Y196:AD196"/>
    <mergeCell ref="AE196:AJ196"/>
    <mergeCell ref="AK196:AP196"/>
    <mergeCell ref="AQ194:AV194"/>
    <mergeCell ref="AW194:BB194"/>
    <mergeCell ref="A195:B195"/>
    <mergeCell ref="C195:U195"/>
    <mergeCell ref="V195:X195"/>
    <mergeCell ref="Y195:AD195"/>
    <mergeCell ref="AE195:AJ195"/>
    <mergeCell ref="AK195:AP195"/>
    <mergeCell ref="AQ195:AV195"/>
    <mergeCell ref="AW195:BB195"/>
    <mergeCell ref="A194:B194"/>
    <mergeCell ref="C194:U194"/>
    <mergeCell ref="V194:X194"/>
    <mergeCell ref="Y194:AD194"/>
    <mergeCell ref="AE194:AJ194"/>
    <mergeCell ref="AK194:AP194"/>
    <mergeCell ref="AQ200:AV200"/>
    <mergeCell ref="AW200:BB200"/>
    <mergeCell ref="A201:B201"/>
    <mergeCell ref="C201:U201"/>
    <mergeCell ref="V201:X201"/>
    <mergeCell ref="Y201:AD201"/>
    <mergeCell ref="AE201:AJ201"/>
    <mergeCell ref="AK201:AP201"/>
    <mergeCell ref="AQ201:AV201"/>
    <mergeCell ref="AW201:BB201"/>
    <mergeCell ref="A200:B200"/>
    <mergeCell ref="C200:U200"/>
    <mergeCell ref="V200:X200"/>
    <mergeCell ref="Y200:AD200"/>
    <mergeCell ref="AE200:AJ200"/>
    <mergeCell ref="AK200:AP200"/>
    <mergeCell ref="AQ198:AV198"/>
    <mergeCell ref="AW198:BB198"/>
    <mergeCell ref="A199:B199"/>
    <mergeCell ref="C199:U199"/>
    <mergeCell ref="V199:X199"/>
    <mergeCell ref="Y199:AD199"/>
    <mergeCell ref="AE199:AJ199"/>
    <mergeCell ref="AK199:AP199"/>
    <mergeCell ref="AQ199:AV199"/>
    <mergeCell ref="AW199:BB199"/>
    <mergeCell ref="A198:B198"/>
    <mergeCell ref="C198:U198"/>
    <mergeCell ref="V198:X198"/>
    <mergeCell ref="Y198:AD198"/>
    <mergeCell ref="AE198:AJ198"/>
    <mergeCell ref="AK198:AP198"/>
    <mergeCell ref="AQ204:AV204"/>
    <mergeCell ref="AW204:BB204"/>
    <mergeCell ref="A205:B205"/>
    <mergeCell ref="C205:U205"/>
    <mergeCell ref="V205:X205"/>
    <mergeCell ref="Y205:AD205"/>
    <mergeCell ref="AE205:AJ205"/>
    <mergeCell ref="AK205:AP205"/>
    <mergeCell ref="AQ205:AV205"/>
    <mergeCell ref="AW205:BB205"/>
    <mergeCell ref="A204:B204"/>
    <mergeCell ref="C204:U204"/>
    <mergeCell ref="V204:X204"/>
    <mergeCell ref="Y204:AD204"/>
    <mergeCell ref="AE204:AJ204"/>
    <mergeCell ref="AK204:AP204"/>
    <mergeCell ref="AQ202:AV202"/>
    <mergeCell ref="AW202:BB202"/>
    <mergeCell ref="A203:B203"/>
    <mergeCell ref="C203:U203"/>
    <mergeCell ref="V203:X203"/>
    <mergeCell ref="Y203:AD203"/>
    <mergeCell ref="AE203:AJ203"/>
    <mergeCell ref="AK203:AP203"/>
    <mergeCell ref="AQ203:AV203"/>
    <mergeCell ref="AW203:BB203"/>
    <mergeCell ref="A202:B202"/>
    <mergeCell ref="C202:U202"/>
    <mergeCell ref="V202:X202"/>
    <mergeCell ref="Y202:AD202"/>
    <mergeCell ref="AE202:AJ202"/>
    <mergeCell ref="AK202:AP202"/>
    <mergeCell ref="AQ208:AV208"/>
    <mergeCell ref="AW208:BB208"/>
    <mergeCell ref="A209:B209"/>
    <mergeCell ref="C209:U209"/>
    <mergeCell ref="V209:X209"/>
    <mergeCell ref="Y209:AD209"/>
    <mergeCell ref="AE209:AJ209"/>
    <mergeCell ref="AK209:AP209"/>
    <mergeCell ref="AQ209:AV209"/>
    <mergeCell ref="AW209:BB209"/>
    <mergeCell ref="A208:B208"/>
    <mergeCell ref="C208:U208"/>
    <mergeCell ref="V208:X208"/>
    <mergeCell ref="Y208:AD208"/>
    <mergeCell ref="AE208:AJ208"/>
    <mergeCell ref="AK208:AP208"/>
    <mergeCell ref="AQ206:AV206"/>
    <mergeCell ref="AW206:BB206"/>
    <mergeCell ref="A207:B207"/>
    <mergeCell ref="C207:U207"/>
    <mergeCell ref="V207:X207"/>
    <mergeCell ref="Y207:AD207"/>
    <mergeCell ref="AE207:AJ207"/>
    <mergeCell ref="AK207:AP207"/>
    <mergeCell ref="AQ207:AV207"/>
    <mergeCell ref="AW207:BB207"/>
    <mergeCell ref="A206:B206"/>
    <mergeCell ref="C206:U206"/>
    <mergeCell ref="V206:X206"/>
    <mergeCell ref="Y206:AD206"/>
    <mergeCell ref="AE206:AJ206"/>
    <mergeCell ref="AK206:AP206"/>
    <mergeCell ref="AQ212:AV212"/>
    <mergeCell ref="AW212:BB212"/>
    <mergeCell ref="A213:B213"/>
    <mergeCell ref="C213:U213"/>
    <mergeCell ref="V213:X213"/>
    <mergeCell ref="Y213:AD213"/>
    <mergeCell ref="AE213:AJ213"/>
    <mergeCell ref="AK213:AP213"/>
    <mergeCell ref="AQ213:AV213"/>
    <mergeCell ref="AW213:BB213"/>
    <mergeCell ref="A212:B212"/>
    <mergeCell ref="C212:U212"/>
    <mergeCell ref="V212:X212"/>
    <mergeCell ref="Y212:AD212"/>
    <mergeCell ref="AE212:AJ212"/>
    <mergeCell ref="AK212:AP212"/>
    <mergeCell ref="AQ210:AV210"/>
    <mergeCell ref="AW210:BB210"/>
    <mergeCell ref="A211:B211"/>
    <mergeCell ref="C211:U211"/>
    <mergeCell ref="V211:X211"/>
    <mergeCell ref="Y211:AD211"/>
    <mergeCell ref="AE211:AJ211"/>
    <mergeCell ref="AK211:AP211"/>
    <mergeCell ref="AQ211:AV211"/>
    <mergeCell ref="AW211:BB211"/>
    <mergeCell ref="A210:B210"/>
    <mergeCell ref="C210:U210"/>
    <mergeCell ref="V210:X210"/>
    <mergeCell ref="Y210:AD210"/>
    <mergeCell ref="AE210:AJ210"/>
    <mergeCell ref="AK210:AP210"/>
    <mergeCell ref="AQ216:AV216"/>
    <mergeCell ref="AW216:BB216"/>
    <mergeCell ref="A217:B217"/>
    <mergeCell ref="C217:U217"/>
    <mergeCell ref="V217:X217"/>
    <mergeCell ref="Y217:AD217"/>
    <mergeCell ref="AE217:AJ217"/>
    <mergeCell ref="AK217:AP217"/>
    <mergeCell ref="AQ217:AV217"/>
    <mergeCell ref="AW217:BB217"/>
    <mergeCell ref="A216:B216"/>
    <mergeCell ref="C216:U216"/>
    <mergeCell ref="V216:X216"/>
    <mergeCell ref="Y216:AD216"/>
    <mergeCell ref="AE216:AJ216"/>
    <mergeCell ref="AK216:AP216"/>
    <mergeCell ref="AQ214:AV214"/>
    <mergeCell ref="AW214:BB214"/>
    <mergeCell ref="A215:B215"/>
    <mergeCell ref="C215:U215"/>
    <mergeCell ref="V215:X215"/>
    <mergeCell ref="Y215:AD215"/>
    <mergeCell ref="AE215:AJ215"/>
    <mergeCell ref="AK215:AP215"/>
    <mergeCell ref="AQ215:AV215"/>
    <mergeCell ref="AW215:BB215"/>
    <mergeCell ref="A214:B214"/>
    <mergeCell ref="C214:U214"/>
    <mergeCell ref="V214:X214"/>
    <mergeCell ref="Y214:AD214"/>
    <mergeCell ref="AE214:AJ214"/>
    <mergeCell ref="AK214:AP214"/>
    <mergeCell ref="AQ220:AV220"/>
    <mergeCell ref="AW220:BB220"/>
    <mergeCell ref="A221:B221"/>
    <mergeCell ref="C221:U221"/>
    <mergeCell ref="V221:X221"/>
    <mergeCell ref="Y221:AD221"/>
    <mergeCell ref="AE221:AJ221"/>
    <mergeCell ref="AK221:AP221"/>
    <mergeCell ref="AQ221:AV221"/>
    <mergeCell ref="AW221:BB221"/>
    <mergeCell ref="A220:B220"/>
    <mergeCell ref="C220:U220"/>
    <mergeCell ref="V220:X220"/>
    <mergeCell ref="Y220:AD220"/>
    <mergeCell ref="AE220:AJ220"/>
    <mergeCell ref="AK220:AP220"/>
    <mergeCell ref="AQ218:AV218"/>
    <mergeCell ref="AW218:BB218"/>
    <mergeCell ref="A219:B219"/>
    <mergeCell ref="C219:U219"/>
    <mergeCell ref="V219:X219"/>
    <mergeCell ref="Y219:AD219"/>
    <mergeCell ref="AE219:AJ219"/>
    <mergeCell ref="AK219:AP219"/>
    <mergeCell ref="AQ219:AV219"/>
    <mergeCell ref="AW219:BB219"/>
    <mergeCell ref="A218:B218"/>
    <mergeCell ref="C218:U218"/>
    <mergeCell ref="V218:X218"/>
    <mergeCell ref="Y218:AD218"/>
    <mergeCell ref="AE218:AJ218"/>
    <mergeCell ref="AK218:AP218"/>
    <mergeCell ref="AQ224:AV224"/>
    <mergeCell ref="AW224:BB224"/>
    <mergeCell ref="A225:B225"/>
    <mergeCell ref="C225:U225"/>
    <mergeCell ref="V225:X225"/>
    <mergeCell ref="Y225:AD225"/>
    <mergeCell ref="AE225:AJ225"/>
    <mergeCell ref="AK225:AP225"/>
    <mergeCell ref="AQ225:AV225"/>
    <mergeCell ref="AW225:BB225"/>
    <mergeCell ref="A224:B224"/>
    <mergeCell ref="C224:U224"/>
    <mergeCell ref="V224:X224"/>
    <mergeCell ref="Y224:AD224"/>
    <mergeCell ref="AE224:AJ224"/>
    <mergeCell ref="AK224:AP224"/>
    <mergeCell ref="AQ222:AV222"/>
    <mergeCell ref="AW222:BB222"/>
    <mergeCell ref="A223:B223"/>
    <mergeCell ref="C223:U223"/>
    <mergeCell ref="V223:X223"/>
    <mergeCell ref="Y223:AD223"/>
    <mergeCell ref="AE223:AJ223"/>
    <mergeCell ref="AK223:AP223"/>
    <mergeCell ref="AQ223:AV223"/>
    <mergeCell ref="AW223:BB223"/>
    <mergeCell ref="A222:B222"/>
    <mergeCell ref="C222:U222"/>
    <mergeCell ref="V222:X222"/>
    <mergeCell ref="Y222:AD222"/>
    <mergeCell ref="AE222:AJ222"/>
    <mergeCell ref="AK222:AP222"/>
    <mergeCell ref="AQ228:AV228"/>
    <mergeCell ref="AW228:BB228"/>
    <mergeCell ref="A229:B229"/>
    <mergeCell ref="C229:U229"/>
    <mergeCell ref="V229:X229"/>
    <mergeCell ref="Y229:AD229"/>
    <mergeCell ref="AE229:AJ229"/>
    <mergeCell ref="AK229:AP229"/>
    <mergeCell ref="AQ229:AV229"/>
    <mergeCell ref="AW229:BB229"/>
    <mergeCell ref="A228:B228"/>
    <mergeCell ref="C228:U228"/>
    <mergeCell ref="V228:X228"/>
    <mergeCell ref="Y228:AD228"/>
    <mergeCell ref="AE228:AJ228"/>
    <mergeCell ref="AK228:AP228"/>
    <mergeCell ref="AQ226:AV226"/>
    <mergeCell ref="AW226:BB226"/>
    <mergeCell ref="A227:B227"/>
    <mergeCell ref="C227:U227"/>
    <mergeCell ref="V227:X227"/>
    <mergeCell ref="Y227:AD227"/>
    <mergeCell ref="AE227:AJ227"/>
    <mergeCell ref="AK227:AP227"/>
    <mergeCell ref="AQ227:AV227"/>
    <mergeCell ref="AW227:BB227"/>
    <mergeCell ref="A226:B226"/>
    <mergeCell ref="C226:U226"/>
    <mergeCell ref="V226:X226"/>
    <mergeCell ref="Y226:AD226"/>
    <mergeCell ref="AE226:AJ226"/>
    <mergeCell ref="AK226:AP226"/>
    <mergeCell ref="AQ232:AV232"/>
    <mergeCell ref="AW232:BB232"/>
    <mergeCell ref="A233:B233"/>
    <mergeCell ref="C233:U233"/>
    <mergeCell ref="V233:X233"/>
    <mergeCell ref="Y233:AD233"/>
    <mergeCell ref="AE233:AJ233"/>
    <mergeCell ref="AK233:AP233"/>
    <mergeCell ref="AQ233:AV233"/>
    <mergeCell ref="AW233:BB233"/>
    <mergeCell ref="A232:B232"/>
    <mergeCell ref="C232:U232"/>
    <mergeCell ref="V232:X232"/>
    <mergeCell ref="Y232:AD232"/>
    <mergeCell ref="AE232:AJ232"/>
    <mergeCell ref="AK232:AP232"/>
    <mergeCell ref="AQ230:AV230"/>
    <mergeCell ref="AW230:BB230"/>
    <mergeCell ref="A231:B231"/>
    <mergeCell ref="C231:U231"/>
    <mergeCell ref="V231:X231"/>
    <mergeCell ref="Y231:AD231"/>
    <mergeCell ref="AE231:AJ231"/>
    <mergeCell ref="AK231:AP231"/>
    <mergeCell ref="AQ231:AV231"/>
    <mergeCell ref="AW231:BB231"/>
    <mergeCell ref="A230:B230"/>
    <mergeCell ref="C230:U230"/>
    <mergeCell ref="V230:X230"/>
    <mergeCell ref="Y230:AD230"/>
    <mergeCell ref="AE230:AJ230"/>
    <mergeCell ref="AK230:AP230"/>
    <mergeCell ref="AQ236:AV236"/>
    <mergeCell ref="AW236:BB236"/>
    <mergeCell ref="A237:B237"/>
    <mergeCell ref="C237:U237"/>
    <mergeCell ref="V237:X237"/>
    <mergeCell ref="Y237:AD237"/>
    <mergeCell ref="AE237:AJ237"/>
    <mergeCell ref="AK237:AP237"/>
    <mergeCell ref="AQ237:AV237"/>
    <mergeCell ref="AW237:BB237"/>
    <mergeCell ref="A236:B236"/>
    <mergeCell ref="C236:U236"/>
    <mergeCell ref="V236:X236"/>
    <mergeCell ref="Y236:AD236"/>
    <mergeCell ref="AE236:AJ236"/>
    <mergeCell ref="AK236:AP236"/>
    <mergeCell ref="AQ234:AV234"/>
    <mergeCell ref="AW234:BB234"/>
    <mergeCell ref="A235:B235"/>
    <mergeCell ref="C235:U235"/>
    <mergeCell ref="V235:X235"/>
    <mergeCell ref="Y235:AD235"/>
    <mergeCell ref="AE235:AJ235"/>
    <mergeCell ref="AK235:AP235"/>
    <mergeCell ref="AQ235:AV235"/>
    <mergeCell ref="AW235:BB235"/>
    <mergeCell ref="A234:B234"/>
    <mergeCell ref="C234:U234"/>
    <mergeCell ref="V234:X234"/>
    <mergeCell ref="Y234:AD234"/>
    <mergeCell ref="AE234:AJ234"/>
    <mergeCell ref="AK234:AP234"/>
    <mergeCell ref="AQ240:AV240"/>
    <mergeCell ref="AW240:BB240"/>
    <mergeCell ref="A241:B241"/>
    <mergeCell ref="C241:U241"/>
    <mergeCell ref="V241:X241"/>
    <mergeCell ref="Y241:AD241"/>
    <mergeCell ref="AE241:AJ241"/>
    <mergeCell ref="AK241:AP241"/>
    <mergeCell ref="AQ241:AV241"/>
    <mergeCell ref="AW241:BB241"/>
    <mergeCell ref="A240:B240"/>
    <mergeCell ref="C240:U240"/>
    <mergeCell ref="V240:X240"/>
    <mergeCell ref="Y240:AD240"/>
    <mergeCell ref="AE240:AJ240"/>
    <mergeCell ref="AK240:AP240"/>
    <mergeCell ref="AQ238:AV238"/>
    <mergeCell ref="AW238:BB238"/>
    <mergeCell ref="A239:B239"/>
    <mergeCell ref="C239:U239"/>
    <mergeCell ref="V239:X239"/>
    <mergeCell ref="Y239:AD239"/>
    <mergeCell ref="AE239:AJ239"/>
    <mergeCell ref="AK239:AP239"/>
    <mergeCell ref="AQ239:AV239"/>
    <mergeCell ref="AW239:BB239"/>
    <mergeCell ref="A238:B238"/>
    <mergeCell ref="C238:U238"/>
    <mergeCell ref="V238:X238"/>
    <mergeCell ref="Y238:AD238"/>
    <mergeCell ref="AE238:AJ238"/>
    <mergeCell ref="AK238:AP238"/>
    <mergeCell ref="AQ244:AV244"/>
    <mergeCell ref="AW244:BB244"/>
    <mergeCell ref="A245:B245"/>
    <mergeCell ref="C245:U245"/>
    <mergeCell ref="V245:X245"/>
    <mergeCell ref="Y245:AD245"/>
    <mergeCell ref="AE245:AJ245"/>
    <mergeCell ref="AK245:AP245"/>
    <mergeCell ref="AQ245:AV245"/>
    <mergeCell ref="AW245:BB245"/>
    <mergeCell ref="A244:B244"/>
    <mergeCell ref="C244:U244"/>
    <mergeCell ref="V244:X244"/>
    <mergeCell ref="Y244:AD244"/>
    <mergeCell ref="AE244:AJ244"/>
    <mergeCell ref="AK244:AP244"/>
    <mergeCell ref="AQ242:AV242"/>
    <mergeCell ref="AW242:BB242"/>
    <mergeCell ref="A243:B243"/>
    <mergeCell ref="C243:U243"/>
    <mergeCell ref="V243:X243"/>
    <mergeCell ref="Y243:AD243"/>
    <mergeCell ref="AE243:AJ243"/>
    <mergeCell ref="AK243:AP243"/>
    <mergeCell ref="AQ243:AV243"/>
    <mergeCell ref="AW243:BB243"/>
    <mergeCell ref="A242:B242"/>
    <mergeCell ref="C242:U242"/>
    <mergeCell ref="V242:X242"/>
    <mergeCell ref="Y242:AD242"/>
    <mergeCell ref="AE242:AJ242"/>
    <mergeCell ref="AK242:AP242"/>
    <mergeCell ref="AQ248:AV248"/>
    <mergeCell ref="AW248:BB248"/>
    <mergeCell ref="A249:B249"/>
    <mergeCell ref="C249:U249"/>
    <mergeCell ref="V249:X249"/>
    <mergeCell ref="Y249:AD249"/>
    <mergeCell ref="AE249:AJ249"/>
    <mergeCell ref="AK249:AP249"/>
    <mergeCell ref="AQ249:AV249"/>
    <mergeCell ref="AW249:BB249"/>
    <mergeCell ref="A248:B248"/>
    <mergeCell ref="C248:U248"/>
    <mergeCell ref="V248:X248"/>
    <mergeCell ref="Y248:AD248"/>
    <mergeCell ref="AE248:AJ248"/>
    <mergeCell ref="AK248:AP248"/>
    <mergeCell ref="AQ246:AV246"/>
    <mergeCell ref="AW246:BB246"/>
    <mergeCell ref="A247:B247"/>
    <mergeCell ref="C247:U247"/>
    <mergeCell ref="V247:X247"/>
    <mergeCell ref="Y247:AD247"/>
    <mergeCell ref="AE247:AJ247"/>
    <mergeCell ref="AK247:AP247"/>
    <mergeCell ref="AQ247:AV247"/>
    <mergeCell ref="AW247:BB247"/>
    <mergeCell ref="A246:B246"/>
    <mergeCell ref="C246:U246"/>
    <mergeCell ref="V246:X246"/>
    <mergeCell ref="Y246:AD246"/>
    <mergeCell ref="AE246:AJ246"/>
    <mergeCell ref="AK246:AP246"/>
    <mergeCell ref="AQ252:AV252"/>
    <mergeCell ref="AW252:BB252"/>
    <mergeCell ref="A253:B253"/>
    <mergeCell ref="C253:U253"/>
    <mergeCell ref="V253:X253"/>
    <mergeCell ref="Y253:AD253"/>
    <mergeCell ref="AE253:AJ253"/>
    <mergeCell ref="AK253:AP253"/>
    <mergeCell ref="AQ253:AV253"/>
    <mergeCell ref="AW253:BB253"/>
    <mergeCell ref="A252:B252"/>
    <mergeCell ref="C252:U252"/>
    <mergeCell ref="V252:X252"/>
    <mergeCell ref="Y252:AD252"/>
    <mergeCell ref="AE252:AJ252"/>
    <mergeCell ref="AK252:AP252"/>
    <mergeCell ref="AQ250:AV250"/>
    <mergeCell ref="AW250:BB250"/>
    <mergeCell ref="A251:B251"/>
    <mergeCell ref="C251:U251"/>
    <mergeCell ref="V251:X251"/>
    <mergeCell ref="Y251:AD251"/>
    <mergeCell ref="AE251:AJ251"/>
    <mergeCell ref="AK251:AP251"/>
    <mergeCell ref="AQ251:AV251"/>
    <mergeCell ref="AW251:BB251"/>
    <mergeCell ref="A250:B250"/>
    <mergeCell ref="C250:U250"/>
    <mergeCell ref="V250:X250"/>
    <mergeCell ref="Y250:AD250"/>
    <mergeCell ref="AE250:AJ250"/>
    <mergeCell ref="AK250:AP250"/>
    <mergeCell ref="AQ256:AV256"/>
    <mergeCell ref="AW256:BB256"/>
    <mergeCell ref="A257:B257"/>
    <mergeCell ref="C257:U257"/>
    <mergeCell ref="V257:X257"/>
    <mergeCell ref="Y257:AD257"/>
    <mergeCell ref="AE257:AJ257"/>
    <mergeCell ref="AK257:AP257"/>
    <mergeCell ref="AQ257:AV257"/>
    <mergeCell ref="AW257:BB257"/>
    <mergeCell ref="A256:B256"/>
    <mergeCell ref="C256:U256"/>
    <mergeCell ref="V256:X256"/>
    <mergeCell ref="Y256:AD256"/>
    <mergeCell ref="AE256:AJ256"/>
    <mergeCell ref="AK256:AP256"/>
    <mergeCell ref="AQ254:AV254"/>
    <mergeCell ref="AW254:BB254"/>
    <mergeCell ref="A255:B255"/>
    <mergeCell ref="C255:U255"/>
    <mergeCell ref="V255:X255"/>
    <mergeCell ref="Y255:AD255"/>
    <mergeCell ref="AE255:AJ255"/>
    <mergeCell ref="AK255:AP255"/>
    <mergeCell ref="AQ255:AV255"/>
    <mergeCell ref="AW255:BB255"/>
    <mergeCell ref="A254:B254"/>
    <mergeCell ref="C254:U254"/>
    <mergeCell ref="V254:X254"/>
    <mergeCell ref="Y254:AD254"/>
    <mergeCell ref="AE254:AJ254"/>
    <mergeCell ref="AK254:AP254"/>
    <mergeCell ref="AQ260:AV260"/>
    <mergeCell ref="AW260:BB260"/>
    <mergeCell ref="A261:B261"/>
    <mergeCell ref="C261:U261"/>
    <mergeCell ref="V261:X261"/>
    <mergeCell ref="Y261:AD261"/>
    <mergeCell ref="AE261:AJ261"/>
    <mergeCell ref="AK261:AP261"/>
    <mergeCell ref="AQ261:AV261"/>
    <mergeCell ref="AW261:BB261"/>
    <mergeCell ref="A260:B260"/>
    <mergeCell ref="C260:U260"/>
    <mergeCell ref="V260:X260"/>
    <mergeCell ref="Y260:AD260"/>
    <mergeCell ref="AE260:AJ260"/>
    <mergeCell ref="AK260:AP260"/>
    <mergeCell ref="AQ258:AV258"/>
    <mergeCell ref="AW258:BB258"/>
    <mergeCell ref="A259:B259"/>
    <mergeCell ref="C259:U259"/>
    <mergeCell ref="V259:X259"/>
    <mergeCell ref="Y259:AD259"/>
    <mergeCell ref="AE259:AJ259"/>
    <mergeCell ref="AK259:AP259"/>
    <mergeCell ref="AQ259:AV259"/>
    <mergeCell ref="AW259:BB259"/>
    <mergeCell ref="A258:B258"/>
    <mergeCell ref="C258:U258"/>
    <mergeCell ref="V258:X258"/>
    <mergeCell ref="Y258:AD258"/>
    <mergeCell ref="AE258:AJ258"/>
    <mergeCell ref="AK258:AP258"/>
    <mergeCell ref="AQ264:AV264"/>
    <mergeCell ref="AW264:BB264"/>
    <mergeCell ref="A265:B265"/>
    <mergeCell ref="C265:U265"/>
    <mergeCell ref="V265:X265"/>
    <mergeCell ref="Y265:AD265"/>
    <mergeCell ref="AE265:AJ265"/>
    <mergeCell ref="AK265:AP265"/>
    <mergeCell ref="AQ265:AV265"/>
    <mergeCell ref="AW265:BB265"/>
    <mergeCell ref="A264:B264"/>
    <mergeCell ref="C264:U264"/>
    <mergeCell ref="V264:X264"/>
    <mergeCell ref="Y264:AD264"/>
    <mergeCell ref="AE264:AJ264"/>
    <mergeCell ref="AK264:AP264"/>
    <mergeCell ref="AQ262:AV262"/>
    <mergeCell ref="AW262:BB262"/>
    <mergeCell ref="A263:B263"/>
    <mergeCell ref="C263:U263"/>
    <mergeCell ref="V263:X263"/>
    <mergeCell ref="Y263:AD263"/>
    <mergeCell ref="AE263:AJ263"/>
    <mergeCell ref="AK263:AP263"/>
    <mergeCell ref="AQ263:AV263"/>
    <mergeCell ref="AW263:BB263"/>
    <mergeCell ref="A262:B262"/>
    <mergeCell ref="C262:U262"/>
    <mergeCell ref="V262:X262"/>
    <mergeCell ref="Y262:AD262"/>
    <mergeCell ref="AE262:AJ262"/>
    <mergeCell ref="AK262:AP262"/>
    <mergeCell ref="AQ268:AV268"/>
    <mergeCell ref="AW268:BB268"/>
    <mergeCell ref="A269:B269"/>
    <mergeCell ref="C269:U269"/>
    <mergeCell ref="V269:X269"/>
    <mergeCell ref="Y269:AD269"/>
    <mergeCell ref="AE269:AJ269"/>
    <mergeCell ref="AK269:AP269"/>
    <mergeCell ref="AQ269:AV269"/>
    <mergeCell ref="AW269:BB269"/>
    <mergeCell ref="A268:B268"/>
    <mergeCell ref="C268:U268"/>
    <mergeCell ref="V268:X268"/>
    <mergeCell ref="Y268:AD268"/>
    <mergeCell ref="AE268:AJ268"/>
    <mergeCell ref="AK268:AP268"/>
    <mergeCell ref="AQ266:AV266"/>
    <mergeCell ref="AW266:BB266"/>
    <mergeCell ref="A267:B267"/>
    <mergeCell ref="C267:U267"/>
    <mergeCell ref="V267:X267"/>
    <mergeCell ref="Y267:AD267"/>
    <mergeCell ref="AE267:AJ267"/>
    <mergeCell ref="AK267:AP267"/>
    <mergeCell ref="AQ267:AV267"/>
    <mergeCell ref="AW267:BB267"/>
    <mergeCell ref="A266:B266"/>
    <mergeCell ref="C266:U266"/>
    <mergeCell ref="V266:X266"/>
    <mergeCell ref="Y266:AD266"/>
    <mergeCell ref="AE266:AJ266"/>
    <mergeCell ref="AK266:AP266"/>
    <mergeCell ref="AQ272:AV272"/>
    <mergeCell ref="AW272:BB272"/>
    <mergeCell ref="A273:B273"/>
    <mergeCell ref="C273:U273"/>
    <mergeCell ref="V273:X273"/>
    <mergeCell ref="Y273:AD273"/>
    <mergeCell ref="AE273:AJ273"/>
    <mergeCell ref="AK273:AP273"/>
    <mergeCell ref="AQ273:AV273"/>
    <mergeCell ref="AW273:BB273"/>
    <mergeCell ref="A272:B272"/>
    <mergeCell ref="C272:U272"/>
    <mergeCell ref="V272:X272"/>
    <mergeCell ref="Y272:AD272"/>
    <mergeCell ref="AE272:AJ272"/>
    <mergeCell ref="AK272:AP272"/>
    <mergeCell ref="AQ270:AV270"/>
    <mergeCell ref="AW270:BB270"/>
    <mergeCell ref="A271:B271"/>
    <mergeCell ref="C271:U271"/>
    <mergeCell ref="V271:X271"/>
    <mergeCell ref="Y271:AD271"/>
    <mergeCell ref="AE271:AJ271"/>
    <mergeCell ref="AK271:AP271"/>
    <mergeCell ref="AQ271:AV271"/>
    <mergeCell ref="AW271:BB271"/>
    <mergeCell ref="A270:B270"/>
    <mergeCell ref="C270:U270"/>
    <mergeCell ref="V270:X270"/>
    <mergeCell ref="Y270:AD270"/>
    <mergeCell ref="AE270:AJ270"/>
    <mergeCell ref="AK270:AP270"/>
    <mergeCell ref="AQ276:AV276"/>
    <mergeCell ref="AW276:BB276"/>
    <mergeCell ref="A277:B277"/>
    <mergeCell ref="C277:U277"/>
    <mergeCell ref="V277:X277"/>
    <mergeCell ref="Y277:AD277"/>
    <mergeCell ref="AE277:AJ277"/>
    <mergeCell ref="AK277:AP277"/>
    <mergeCell ref="AQ277:AV277"/>
    <mergeCell ref="AW277:BB277"/>
    <mergeCell ref="A276:B276"/>
    <mergeCell ref="C276:U276"/>
    <mergeCell ref="V276:X276"/>
    <mergeCell ref="Y276:AD276"/>
    <mergeCell ref="AE276:AJ276"/>
    <mergeCell ref="AK276:AP276"/>
    <mergeCell ref="AQ274:AV274"/>
    <mergeCell ref="AW274:BB274"/>
    <mergeCell ref="A275:B275"/>
    <mergeCell ref="C275:U275"/>
    <mergeCell ref="V275:X275"/>
    <mergeCell ref="Y275:AD275"/>
    <mergeCell ref="AE275:AJ275"/>
    <mergeCell ref="AK275:AP275"/>
    <mergeCell ref="AQ275:AV275"/>
    <mergeCell ref="AW275:BB275"/>
    <mergeCell ref="A274:B274"/>
    <mergeCell ref="C274:U274"/>
    <mergeCell ref="V274:X274"/>
    <mergeCell ref="Y274:AD274"/>
    <mergeCell ref="AE274:AJ274"/>
    <mergeCell ref="AK274:AP274"/>
    <mergeCell ref="AQ280:AV280"/>
    <mergeCell ref="AW280:BB280"/>
    <mergeCell ref="A281:B281"/>
    <mergeCell ref="C281:U281"/>
    <mergeCell ref="V281:X281"/>
    <mergeCell ref="Y281:AD281"/>
    <mergeCell ref="AE281:AJ281"/>
    <mergeCell ref="AK281:AP281"/>
    <mergeCell ref="AQ281:AV281"/>
    <mergeCell ref="AW281:BB281"/>
    <mergeCell ref="A280:B280"/>
    <mergeCell ref="C280:U280"/>
    <mergeCell ref="V280:X280"/>
    <mergeCell ref="Y280:AD280"/>
    <mergeCell ref="AE280:AJ280"/>
    <mergeCell ref="AK280:AP280"/>
    <mergeCell ref="AQ278:AV278"/>
    <mergeCell ref="AW278:BB278"/>
    <mergeCell ref="A279:B279"/>
    <mergeCell ref="C279:U279"/>
    <mergeCell ref="V279:X279"/>
    <mergeCell ref="Y279:AD279"/>
    <mergeCell ref="AE279:AJ279"/>
    <mergeCell ref="AK279:AP279"/>
    <mergeCell ref="AQ279:AV279"/>
    <mergeCell ref="AW279:BB279"/>
    <mergeCell ref="A278:B278"/>
    <mergeCell ref="C278:U278"/>
    <mergeCell ref="V278:X278"/>
    <mergeCell ref="Y278:AD278"/>
    <mergeCell ref="AE278:AJ278"/>
    <mergeCell ref="AK278:AP278"/>
    <mergeCell ref="AQ284:AV284"/>
    <mergeCell ref="AW284:BB284"/>
    <mergeCell ref="A285:B285"/>
    <mergeCell ref="C285:U285"/>
    <mergeCell ref="V285:X285"/>
    <mergeCell ref="Y285:AD285"/>
    <mergeCell ref="AE285:AJ285"/>
    <mergeCell ref="AK285:AP285"/>
    <mergeCell ref="AQ285:AV285"/>
    <mergeCell ref="AW285:BB285"/>
    <mergeCell ref="A284:B284"/>
    <mergeCell ref="C284:U284"/>
    <mergeCell ref="V284:X284"/>
    <mergeCell ref="Y284:AD284"/>
    <mergeCell ref="AE284:AJ284"/>
    <mergeCell ref="AK284:AP284"/>
    <mergeCell ref="AQ282:AV282"/>
    <mergeCell ref="AW282:BB282"/>
    <mergeCell ref="A283:B283"/>
    <mergeCell ref="C283:U283"/>
    <mergeCell ref="V283:X283"/>
    <mergeCell ref="Y283:AD283"/>
    <mergeCell ref="AE283:AJ283"/>
    <mergeCell ref="AK283:AP283"/>
    <mergeCell ref="AQ283:AV283"/>
    <mergeCell ref="AW283:BB283"/>
    <mergeCell ref="A282:B282"/>
    <mergeCell ref="C282:U282"/>
    <mergeCell ref="V282:X282"/>
    <mergeCell ref="Y282:AD282"/>
    <mergeCell ref="AE282:AJ282"/>
    <mergeCell ref="AK282:AP282"/>
    <mergeCell ref="AQ288:AV288"/>
    <mergeCell ref="AW288:BB288"/>
    <mergeCell ref="A289:B289"/>
    <mergeCell ref="C289:U289"/>
    <mergeCell ref="V289:X289"/>
    <mergeCell ref="Y289:AD289"/>
    <mergeCell ref="AE289:AJ289"/>
    <mergeCell ref="AK289:AP289"/>
    <mergeCell ref="AQ289:AV289"/>
    <mergeCell ref="AW289:BB289"/>
    <mergeCell ref="A288:B288"/>
    <mergeCell ref="C288:U288"/>
    <mergeCell ref="V288:X288"/>
    <mergeCell ref="Y288:AD288"/>
    <mergeCell ref="AE288:AJ288"/>
    <mergeCell ref="AK288:AP288"/>
    <mergeCell ref="AQ286:AV286"/>
    <mergeCell ref="AW286:BB286"/>
    <mergeCell ref="A287:B287"/>
    <mergeCell ref="C287:U287"/>
    <mergeCell ref="V287:X287"/>
    <mergeCell ref="Y287:AD287"/>
    <mergeCell ref="AE287:AJ287"/>
    <mergeCell ref="AK287:AP287"/>
    <mergeCell ref="AQ287:AV287"/>
    <mergeCell ref="AW287:BB287"/>
    <mergeCell ref="A286:B286"/>
    <mergeCell ref="C286:U286"/>
    <mergeCell ref="V286:X286"/>
    <mergeCell ref="Y286:AD286"/>
    <mergeCell ref="AE286:AJ286"/>
    <mergeCell ref="AK286:AP286"/>
    <mergeCell ref="AQ292:AV292"/>
    <mergeCell ref="AW292:BB292"/>
    <mergeCell ref="A293:B293"/>
    <mergeCell ref="C293:U293"/>
    <mergeCell ref="V293:X293"/>
    <mergeCell ref="Y293:AD293"/>
    <mergeCell ref="AE293:AJ293"/>
    <mergeCell ref="AK293:AP293"/>
    <mergeCell ref="AQ293:AV293"/>
    <mergeCell ref="AW293:BB293"/>
    <mergeCell ref="A292:B292"/>
    <mergeCell ref="C292:U292"/>
    <mergeCell ref="V292:X292"/>
    <mergeCell ref="Y292:AD292"/>
    <mergeCell ref="AE292:AJ292"/>
    <mergeCell ref="AK292:AP292"/>
    <mergeCell ref="AQ290:AV290"/>
    <mergeCell ref="AW290:BB290"/>
    <mergeCell ref="A291:B291"/>
    <mergeCell ref="C291:U291"/>
    <mergeCell ref="V291:X291"/>
    <mergeCell ref="Y291:AD291"/>
    <mergeCell ref="AE291:AJ291"/>
    <mergeCell ref="AK291:AP291"/>
    <mergeCell ref="AQ291:AV291"/>
    <mergeCell ref="AW291:BB291"/>
    <mergeCell ref="A290:B290"/>
    <mergeCell ref="C290:U290"/>
    <mergeCell ref="V290:X290"/>
    <mergeCell ref="Y290:AD290"/>
    <mergeCell ref="AE290:AJ290"/>
    <mergeCell ref="AK290:AP290"/>
    <mergeCell ref="AQ296:AV296"/>
    <mergeCell ref="AW296:BB296"/>
    <mergeCell ref="A297:B297"/>
    <mergeCell ref="C297:U297"/>
    <mergeCell ref="V297:X297"/>
    <mergeCell ref="Y297:AD297"/>
    <mergeCell ref="AE297:AJ297"/>
    <mergeCell ref="AK297:AP297"/>
    <mergeCell ref="AQ297:AV297"/>
    <mergeCell ref="AW297:BB297"/>
    <mergeCell ref="A296:B296"/>
    <mergeCell ref="C296:U296"/>
    <mergeCell ref="V296:X296"/>
    <mergeCell ref="Y296:AD296"/>
    <mergeCell ref="AE296:AJ296"/>
    <mergeCell ref="AK296:AP296"/>
    <mergeCell ref="AQ294:AV294"/>
    <mergeCell ref="AW294:BB294"/>
    <mergeCell ref="A295:B295"/>
    <mergeCell ref="C295:U295"/>
    <mergeCell ref="V295:X295"/>
    <mergeCell ref="Y295:AD295"/>
    <mergeCell ref="AE295:AJ295"/>
    <mergeCell ref="AK295:AP295"/>
    <mergeCell ref="AQ295:AV295"/>
    <mergeCell ref="AW295:BB295"/>
    <mergeCell ref="A294:B294"/>
    <mergeCell ref="C294:U294"/>
    <mergeCell ref="V294:X294"/>
    <mergeCell ref="Y294:AD294"/>
    <mergeCell ref="AE294:AJ294"/>
    <mergeCell ref="AK294:AP294"/>
    <mergeCell ref="AQ300:AV300"/>
    <mergeCell ref="AW300:BB300"/>
    <mergeCell ref="A301:B301"/>
    <mergeCell ref="C301:U301"/>
    <mergeCell ref="V301:X301"/>
    <mergeCell ref="Y301:AD301"/>
    <mergeCell ref="AE301:AJ301"/>
    <mergeCell ref="AK301:AP301"/>
    <mergeCell ref="AQ301:AV301"/>
    <mergeCell ref="AW301:BB301"/>
    <mergeCell ref="A300:B300"/>
    <mergeCell ref="C300:U300"/>
    <mergeCell ref="V300:X300"/>
    <mergeCell ref="Y300:AD300"/>
    <mergeCell ref="AE300:AJ300"/>
    <mergeCell ref="AK300:AP300"/>
    <mergeCell ref="AQ298:AV298"/>
    <mergeCell ref="AW298:BB298"/>
    <mergeCell ref="A299:B299"/>
    <mergeCell ref="C299:U299"/>
    <mergeCell ref="V299:X299"/>
    <mergeCell ref="Y299:AD299"/>
    <mergeCell ref="AE299:AJ299"/>
    <mergeCell ref="AK299:AP299"/>
    <mergeCell ref="AQ299:AV299"/>
    <mergeCell ref="AW299:BB299"/>
    <mergeCell ref="A298:B298"/>
    <mergeCell ref="C298:U298"/>
    <mergeCell ref="V298:X298"/>
    <mergeCell ref="Y298:AD298"/>
    <mergeCell ref="AE298:AJ298"/>
    <mergeCell ref="AK298:AP298"/>
    <mergeCell ref="AQ304:AV304"/>
    <mergeCell ref="AW304:BB304"/>
    <mergeCell ref="A305:B305"/>
    <mergeCell ref="C305:U305"/>
    <mergeCell ref="V305:X305"/>
    <mergeCell ref="Y305:AD305"/>
    <mergeCell ref="AE305:AJ305"/>
    <mergeCell ref="AK305:AP305"/>
    <mergeCell ref="AQ305:AV305"/>
    <mergeCell ref="AW305:BB305"/>
    <mergeCell ref="A304:B304"/>
    <mergeCell ref="C304:U304"/>
    <mergeCell ref="V304:X304"/>
    <mergeCell ref="Y304:AD304"/>
    <mergeCell ref="AE304:AJ304"/>
    <mergeCell ref="AK304:AP304"/>
    <mergeCell ref="AQ302:AV302"/>
    <mergeCell ref="AW302:BB302"/>
    <mergeCell ref="A303:B303"/>
    <mergeCell ref="C303:U303"/>
    <mergeCell ref="V303:X303"/>
    <mergeCell ref="Y303:AD303"/>
    <mergeCell ref="AE303:AJ303"/>
    <mergeCell ref="AK303:AP303"/>
    <mergeCell ref="AQ303:AV303"/>
    <mergeCell ref="AW303:BB303"/>
    <mergeCell ref="A302:B302"/>
    <mergeCell ref="C302:U302"/>
    <mergeCell ref="V302:X302"/>
    <mergeCell ref="Y302:AD302"/>
    <mergeCell ref="AE302:AJ302"/>
    <mergeCell ref="AK302:AP302"/>
    <mergeCell ref="AQ308:AV308"/>
    <mergeCell ref="AW308:BB308"/>
    <mergeCell ref="A309:B309"/>
    <mergeCell ref="C309:U309"/>
    <mergeCell ref="V309:X309"/>
    <mergeCell ref="Y309:AD309"/>
    <mergeCell ref="AE309:AJ309"/>
    <mergeCell ref="AK309:AP309"/>
    <mergeCell ref="AQ309:AV309"/>
    <mergeCell ref="AW309:BB309"/>
    <mergeCell ref="A308:B308"/>
    <mergeCell ref="C308:U308"/>
    <mergeCell ref="V308:X308"/>
    <mergeCell ref="Y308:AD308"/>
    <mergeCell ref="AE308:AJ308"/>
    <mergeCell ref="AK308:AP308"/>
    <mergeCell ref="AQ306:AV306"/>
    <mergeCell ref="AW306:BB306"/>
    <mergeCell ref="A307:B307"/>
    <mergeCell ref="C307:U307"/>
    <mergeCell ref="V307:X307"/>
    <mergeCell ref="Y307:AD307"/>
    <mergeCell ref="AE307:AJ307"/>
    <mergeCell ref="AK307:AP307"/>
    <mergeCell ref="AQ307:AV307"/>
    <mergeCell ref="AW307:BB307"/>
    <mergeCell ref="A306:B306"/>
    <mergeCell ref="C306:U306"/>
    <mergeCell ref="V306:X306"/>
    <mergeCell ref="Y306:AD306"/>
    <mergeCell ref="AE306:AJ306"/>
    <mergeCell ref="AK306:AP30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I160"/>
  <sheetViews>
    <sheetView view="pageLayout" zoomScaleNormal="130" zoomScaleSheetLayoutView="99" workbookViewId="0">
      <selection activeCell="G38" sqref="G38"/>
    </sheetView>
  </sheetViews>
  <sheetFormatPr defaultColWidth="9.33203125" defaultRowHeight="15.6" x14ac:dyDescent="0.3"/>
  <cols>
    <col min="1" max="1" width="9.44140625" style="395" customWidth="1"/>
    <col min="2" max="2" width="60.77734375" style="395" customWidth="1"/>
    <col min="3" max="3" width="15.77734375" style="396" customWidth="1"/>
    <col min="4" max="4" width="12.33203125" style="396" customWidth="1"/>
    <col min="5" max="5" width="13.77734375" style="396" customWidth="1"/>
    <col min="6" max="6" width="13" style="406" customWidth="1"/>
    <col min="7" max="7" width="13.44140625" style="406" customWidth="1"/>
    <col min="8" max="8" width="13" style="406" bestFit="1" customWidth="1"/>
    <col min="9" max="16384" width="9.33203125" style="406"/>
  </cols>
  <sheetData>
    <row r="1" spans="1:8" x14ac:dyDescent="0.3">
      <c r="B1" s="764"/>
    </row>
    <row r="2" spans="1:8" ht="16.2" thickBot="1" x14ac:dyDescent="0.35"/>
    <row r="3" spans="1:8" ht="15.9" customHeight="1" x14ac:dyDescent="0.3">
      <c r="A3" s="1617" t="s">
        <v>39</v>
      </c>
      <c r="B3" s="1618"/>
      <c r="C3" s="1618"/>
      <c r="D3" s="1618"/>
      <c r="E3" s="1618"/>
      <c r="F3" s="1542"/>
      <c r="G3" s="1543"/>
    </row>
    <row r="4" spans="1:8" ht="15.9" customHeight="1" thickBot="1" x14ac:dyDescent="0.35">
      <c r="A4" s="1405" t="s">
        <v>2124</v>
      </c>
      <c r="B4" s="42"/>
      <c r="C4" s="393"/>
      <c r="D4" s="393"/>
      <c r="F4" s="1544"/>
      <c r="G4" s="393" t="s">
        <v>1690</v>
      </c>
    </row>
    <row r="5" spans="1:8" ht="15.9" customHeight="1" thickBot="1" x14ac:dyDescent="0.35">
      <c r="A5" s="1639" t="s">
        <v>41</v>
      </c>
      <c r="B5" s="1640" t="s">
        <v>42</v>
      </c>
      <c r="C5" s="1628" t="s">
        <v>1795</v>
      </c>
      <c r="D5" s="1629"/>
      <c r="E5" s="1629"/>
      <c r="F5" s="1629"/>
      <c r="G5" s="1630"/>
    </row>
    <row r="6" spans="1:8" ht="38.1" customHeight="1" thickBot="1" x14ac:dyDescent="0.35">
      <c r="A6" s="1625"/>
      <c r="B6" s="1627"/>
      <c r="C6" s="1538" t="s">
        <v>43</v>
      </c>
      <c r="D6" s="1538" t="s">
        <v>2175</v>
      </c>
      <c r="E6" s="1538" t="s">
        <v>2173</v>
      </c>
      <c r="F6" s="1541" t="s">
        <v>2174</v>
      </c>
      <c r="G6" s="1541" t="s">
        <v>2182</v>
      </c>
    </row>
    <row r="7" spans="1:8" s="407" customFormat="1" ht="12" customHeight="1" thickBot="1" x14ac:dyDescent="0.25">
      <c r="A7" s="372" t="s">
        <v>46</v>
      </c>
      <c r="B7" s="373" t="s">
        <v>47</v>
      </c>
      <c r="C7" s="373" t="s">
        <v>48</v>
      </c>
      <c r="D7" s="373" t="s">
        <v>49</v>
      </c>
      <c r="E7" s="373" t="s">
        <v>50</v>
      </c>
      <c r="F7" s="373" t="s">
        <v>50</v>
      </c>
      <c r="G7" s="373" t="s">
        <v>294</v>
      </c>
    </row>
    <row r="8" spans="1:8" s="408" customFormat="1" ht="12" customHeight="1" thickBot="1" x14ac:dyDescent="0.3">
      <c r="A8" s="367" t="s">
        <v>51</v>
      </c>
      <c r="B8" s="368" t="s">
        <v>52</v>
      </c>
      <c r="C8" s="398">
        <f>SUM(C9:C14)</f>
        <v>0</v>
      </c>
      <c r="D8" s="398">
        <f>SUM(D9:D14)</f>
        <v>0</v>
      </c>
      <c r="E8" s="398">
        <f>SUM(E9:E14)</f>
        <v>0</v>
      </c>
      <c r="F8" s="398">
        <f>SUM(F9:F14)</f>
        <v>0</v>
      </c>
      <c r="G8" s="398">
        <f>SUM(G9:G14)</f>
        <v>0</v>
      </c>
      <c r="H8" s="912">
        <f>G8-F8</f>
        <v>0</v>
      </c>
    </row>
    <row r="9" spans="1:8" s="408" customFormat="1" ht="12" customHeight="1" x14ac:dyDescent="0.25">
      <c r="A9" s="362" t="s">
        <v>53</v>
      </c>
      <c r="B9" s="409" t="s">
        <v>54</v>
      </c>
      <c r="C9" s="400"/>
      <c r="D9" s="400"/>
      <c r="E9" s="400"/>
      <c r="F9" s="400"/>
      <c r="G9" s="400"/>
      <c r="H9" s="912">
        <f t="shared" ref="H9:H72" si="0">G9-F9</f>
        <v>0</v>
      </c>
    </row>
    <row r="10" spans="1:8" s="408" customFormat="1" ht="12" customHeight="1" x14ac:dyDescent="0.25">
      <c r="A10" s="361" t="s">
        <v>55</v>
      </c>
      <c r="B10" s="410" t="s">
        <v>56</v>
      </c>
      <c r="C10" s="399"/>
      <c r="D10" s="399"/>
      <c r="E10" s="399"/>
      <c r="F10" s="399"/>
      <c r="G10" s="399"/>
      <c r="H10" s="912">
        <f t="shared" si="0"/>
        <v>0</v>
      </c>
    </row>
    <row r="11" spans="1:8" s="408" customFormat="1" ht="12" customHeight="1" x14ac:dyDescent="0.25">
      <c r="A11" s="361" t="s">
        <v>57</v>
      </c>
      <c r="B11" s="410" t="s">
        <v>58</v>
      </c>
      <c r="C11" s="399"/>
      <c r="D11" s="399"/>
      <c r="E11" s="399"/>
      <c r="F11" s="399"/>
      <c r="G11" s="399"/>
      <c r="H11" s="912">
        <f t="shared" si="0"/>
        <v>0</v>
      </c>
    </row>
    <row r="12" spans="1:8" s="408" customFormat="1" ht="12" customHeight="1" x14ac:dyDescent="0.25">
      <c r="A12" s="361" t="s">
        <v>59</v>
      </c>
      <c r="B12" s="410" t="s">
        <v>60</v>
      </c>
      <c r="C12" s="399"/>
      <c r="D12" s="399"/>
      <c r="E12" s="399"/>
      <c r="F12" s="399"/>
      <c r="G12" s="399"/>
      <c r="H12" s="912">
        <f t="shared" si="0"/>
        <v>0</v>
      </c>
    </row>
    <row r="13" spans="1:8" s="408" customFormat="1" ht="12" customHeight="1" x14ac:dyDescent="0.25">
      <c r="A13" s="361" t="s">
        <v>61</v>
      </c>
      <c r="B13" s="410" t="s">
        <v>287</v>
      </c>
      <c r="C13" s="399"/>
      <c r="D13" s="399"/>
      <c r="E13" s="399"/>
      <c r="F13" s="399"/>
      <c r="G13" s="399"/>
      <c r="H13" s="912">
        <f t="shared" si="0"/>
        <v>0</v>
      </c>
    </row>
    <row r="14" spans="1:8" s="408" customFormat="1" ht="12" customHeight="1" thickBot="1" x14ac:dyDescent="0.3">
      <c r="A14" s="363" t="s">
        <v>63</v>
      </c>
      <c r="B14" s="411" t="s">
        <v>64</v>
      </c>
      <c r="C14" s="401"/>
      <c r="D14" s="401"/>
      <c r="E14" s="401"/>
      <c r="F14" s="401"/>
      <c r="G14" s="401"/>
      <c r="H14" s="912">
        <f t="shared" si="0"/>
        <v>0</v>
      </c>
    </row>
    <row r="15" spans="1:8" s="408" customFormat="1" ht="12" customHeight="1" thickBot="1" x14ac:dyDescent="0.3">
      <c r="A15" s="367" t="s">
        <v>65</v>
      </c>
      <c r="B15" s="388" t="s">
        <v>66</v>
      </c>
      <c r="C15" s="398">
        <f>SUM(C16:C20)</f>
        <v>0</v>
      </c>
      <c r="D15" s="398">
        <f>SUM(D16:D20)</f>
        <v>0</v>
      </c>
      <c r="E15" s="398">
        <f>SUM(E16:E20)</f>
        <v>0</v>
      </c>
      <c r="F15" s="398">
        <f>SUM(F16:F20)</f>
        <v>0</v>
      </c>
      <c r="G15" s="398">
        <f>SUM(G16:G20)</f>
        <v>0</v>
      </c>
      <c r="H15" s="912">
        <f t="shared" si="0"/>
        <v>0</v>
      </c>
    </row>
    <row r="16" spans="1:8" s="408" customFormat="1" ht="12" customHeight="1" x14ac:dyDescent="0.25">
      <c r="A16" s="362" t="s">
        <v>67</v>
      </c>
      <c r="B16" s="409" t="s">
        <v>68</v>
      </c>
      <c r="C16" s="400"/>
      <c r="D16" s="400"/>
      <c r="E16" s="400"/>
      <c r="F16" s="400"/>
      <c r="G16" s="400"/>
      <c r="H16" s="912">
        <f t="shared" si="0"/>
        <v>0</v>
      </c>
    </row>
    <row r="17" spans="1:8" s="408" customFormat="1" ht="12" customHeight="1" x14ac:dyDescent="0.25">
      <c r="A17" s="361" t="s">
        <v>69</v>
      </c>
      <c r="B17" s="410" t="s">
        <v>70</v>
      </c>
      <c r="C17" s="399"/>
      <c r="D17" s="399"/>
      <c r="E17" s="399"/>
      <c r="F17" s="399"/>
      <c r="G17" s="399"/>
      <c r="H17" s="912">
        <f t="shared" si="0"/>
        <v>0</v>
      </c>
    </row>
    <row r="18" spans="1:8" s="408" customFormat="1" ht="12" customHeight="1" x14ac:dyDescent="0.25">
      <c r="A18" s="361" t="s">
        <v>71</v>
      </c>
      <c r="B18" s="410" t="s">
        <v>72</v>
      </c>
      <c r="C18" s="399"/>
      <c r="D18" s="399"/>
      <c r="E18" s="399"/>
      <c r="F18" s="399"/>
      <c r="G18" s="399"/>
      <c r="H18" s="912">
        <f t="shared" si="0"/>
        <v>0</v>
      </c>
    </row>
    <row r="19" spans="1:8" s="408" customFormat="1" ht="12" customHeight="1" x14ac:dyDescent="0.25">
      <c r="A19" s="361" t="s">
        <v>73</v>
      </c>
      <c r="B19" s="410" t="s">
        <v>74</v>
      </c>
      <c r="C19" s="399"/>
      <c r="D19" s="399"/>
      <c r="E19" s="399"/>
      <c r="F19" s="399"/>
      <c r="G19" s="399"/>
      <c r="H19" s="912">
        <f t="shared" si="0"/>
        <v>0</v>
      </c>
    </row>
    <row r="20" spans="1:8" s="408" customFormat="1" ht="12" customHeight="1" x14ac:dyDescent="0.25">
      <c r="A20" s="361" t="s">
        <v>75</v>
      </c>
      <c r="B20" s="410" t="s">
        <v>76</v>
      </c>
      <c r="C20" s="399"/>
      <c r="D20" s="399"/>
      <c r="E20" s="399"/>
      <c r="F20" s="399"/>
      <c r="G20" s="399"/>
      <c r="H20" s="912">
        <f t="shared" si="0"/>
        <v>0</v>
      </c>
    </row>
    <row r="21" spans="1:8" s="408" customFormat="1" ht="12" customHeight="1" thickBot="1" x14ac:dyDescent="0.3">
      <c r="A21" s="363" t="s">
        <v>77</v>
      </c>
      <c r="B21" s="411" t="s">
        <v>78</v>
      </c>
      <c r="C21" s="401"/>
      <c r="D21" s="401"/>
      <c r="E21" s="401"/>
      <c r="F21" s="401"/>
      <c r="G21" s="401"/>
      <c r="H21" s="912">
        <f t="shared" si="0"/>
        <v>0</v>
      </c>
    </row>
    <row r="22" spans="1:8" s="408" customFormat="1" ht="12" customHeight="1" thickBot="1" x14ac:dyDescent="0.3">
      <c r="A22" s="367" t="s">
        <v>79</v>
      </c>
      <c r="B22" s="368" t="s">
        <v>80</v>
      </c>
      <c r="C22" s="398">
        <f>SUM(C23:C27)</f>
        <v>0</v>
      </c>
      <c r="D22" s="398">
        <f>SUM(D23:D27)</f>
        <v>0</v>
      </c>
      <c r="E22" s="398">
        <f>SUM(E23:E27)</f>
        <v>0</v>
      </c>
      <c r="F22" s="398">
        <f>SUM(F23:F27)</f>
        <v>0</v>
      </c>
      <c r="G22" s="398">
        <f>SUM(G23:G27)</f>
        <v>0</v>
      </c>
      <c r="H22" s="912">
        <f t="shared" si="0"/>
        <v>0</v>
      </c>
    </row>
    <row r="23" spans="1:8" s="408" customFormat="1" ht="12" customHeight="1" x14ac:dyDescent="0.25">
      <c r="A23" s="362" t="s">
        <v>81</v>
      </c>
      <c r="B23" s="409" t="s">
        <v>82</v>
      </c>
      <c r="C23" s="400"/>
      <c r="D23" s="400"/>
      <c r="E23" s="400"/>
      <c r="F23" s="400"/>
      <c r="G23" s="400"/>
      <c r="H23" s="912">
        <f t="shared" si="0"/>
        <v>0</v>
      </c>
    </row>
    <row r="24" spans="1:8" s="408" customFormat="1" ht="12" customHeight="1" x14ac:dyDescent="0.25">
      <c r="A24" s="361" t="s">
        <v>83</v>
      </c>
      <c r="B24" s="410" t="s">
        <v>84</v>
      </c>
      <c r="C24" s="399"/>
      <c r="D24" s="399"/>
      <c r="E24" s="399"/>
      <c r="F24" s="399"/>
      <c r="G24" s="399"/>
      <c r="H24" s="912">
        <f t="shared" si="0"/>
        <v>0</v>
      </c>
    </row>
    <row r="25" spans="1:8" s="408" customFormat="1" ht="12" customHeight="1" x14ac:dyDescent="0.25">
      <c r="A25" s="361" t="s">
        <v>85</v>
      </c>
      <c r="B25" s="410" t="s">
        <v>86</v>
      </c>
      <c r="C25" s="399"/>
      <c r="D25" s="399"/>
      <c r="E25" s="399"/>
      <c r="F25" s="399"/>
      <c r="G25" s="399"/>
      <c r="H25" s="912">
        <f t="shared" si="0"/>
        <v>0</v>
      </c>
    </row>
    <row r="26" spans="1:8" s="408" customFormat="1" ht="12" customHeight="1" x14ac:dyDescent="0.25">
      <c r="A26" s="361" t="s">
        <v>87</v>
      </c>
      <c r="B26" s="410" t="s">
        <v>88</v>
      </c>
      <c r="C26" s="399"/>
      <c r="D26" s="399"/>
      <c r="E26" s="399"/>
      <c r="F26" s="399"/>
      <c r="G26" s="399"/>
      <c r="H26" s="912">
        <f t="shared" si="0"/>
        <v>0</v>
      </c>
    </row>
    <row r="27" spans="1:8" s="408" customFormat="1" ht="12" customHeight="1" x14ac:dyDescent="0.25">
      <c r="A27" s="361" t="s">
        <v>89</v>
      </c>
      <c r="B27" s="410" t="s">
        <v>90</v>
      </c>
      <c r="C27" s="399"/>
      <c r="D27" s="399"/>
      <c r="E27" s="399"/>
      <c r="F27" s="399"/>
      <c r="G27" s="399"/>
      <c r="H27" s="912">
        <f t="shared" si="0"/>
        <v>0</v>
      </c>
    </row>
    <row r="28" spans="1:8" s="408" customFormat="1" ht="12" customHeight="1" thickBot="1" x14ac:dyDescent="0.3">
      <c r="A28" s="363" t="s">
        <v>91</v>
      </c>
      <c r="B28" s="411" t="s">
        <v>92</v>
      </c>
      <c r="C28" s="401"/>
      <c r="D28" s="401"/>
      <c r="E28" s="401"/>
      <c r="F28" s="401"/>
      <c r="G28" s="401"/>
      <c r="H28" s="912">
        <f t="shared" si="0"/>
        <v>0</v>
      </c>
    </row>
    <row r="29" spans="1:8" s="408" customFormat="1" ht="12" customHeight="1" thickBot="1" x14ac:dyDescent="0.3">
      <c r="A29" s="367" t="s">
        <v>93</v>
      </c>
      <c r="B29" s="368" t="s">
        <v>94</v>
      </c>
      <c r="C29" s="404">
        <f>+C30+C33+C34+C35</f>
        <v>0</v>
      </c>
      <c r="D29" s="404">
        <f>+D30+D33+D34+D35</f>
        <v>0</v>
      </c>
      <c r="E29" s="404">
        <f>+E30+E33+E34+E35</f>
        <v>0</v>
      </c>
      <c r="F29" s="404">
        <f>+F30+F33+F34+F35</f>
        <v>0</v>
      </c>
      <c r="G29" s="404">
        <f>+G30+G33+G34+G35</f>
        <v>0</v>
      </c>
      <c r="H29" s="912">
        <f t="shared" si="0"/>
        <v>0</v>
      </c>
    </row>
    <row r="30" spans="1:8" s="408" customFormat="1" ht="12" customHeight="1" x14ac:dyDescent="0.25">
      <c r="A30" s="362" t="s">
        <v>95</v>
      </c>
      <c r="B30" s="409" t="s">
        <v>96</v>
      </c>
      <c r="C30" s="419">
        <f>+C31+C32</f>
        <v>0</v>
      </c>
      <c r="D30" s="419">
        <f>+D31+D32</f>
        <v>0</v>
      </c>
      <c r="E30" s="419">
        <f>+E31+E32</f>
        <v>0</v>
      </c>
      <c r="F30" s="419">
        <f>+F31+F32</f>
        <v>0</v>
      </c>
      <c r="G30" s="419">
        <f>+G31+G32</f>
        <v>0</v>
      </c>
      <c r="H30" s="912">
        <f t="shared" si="0"/>
        <v>0</v>
      </c>
    </row>
    <row r="31" spans="1:8" s="408" customFormat="1" ht="12" customHeight="1" x14ac:dyDescent="0.25">
      <c r="A31" s="361" t="s">
        <v>97</v>
      </c>
      <c r="B31" s="410" t="s">
        <v>98</v>
      </c>
      <c r="C31" s="399"/>
      <c r="D31" s="399"/>
      <c r="E31" s="399"/>
      <c r="F31" s="399"/>
      <c r="G31" s="399"/>
      <c r="H31" s="912">
        <f t="shared" si="0"/>
        <v>0</v>
      </c>
    </row>
    <row r="32" spans="1:8" s="408" customFormat="1" ht="12" customHeight="1" x14ac:dyDescent="0.25">
      <c r="A32" s="361" t="s">
        <v>99</v>
      </c>
      <c r="B32" s="410" t="s">
        <v>100</v>
      </c>
      <c r="C32" s="399"/>
      <c r="D32" s="399"/>
      <c r="E32" s="399"/>
      <c r="F32" s="399"/>
      <c r="G32" s="399"/>
      <c r="H32" s="912">
        <f t="shared" si="0"/>
        <v>0</v>
      </c>
    </row>
    <row r="33" spans="1:8" s="408" customFormat="1" ht="12" customHeight="1" x14ac:dyDescent="0.25">
      <c r="A33" s="361" t="s">
        <v>101</v>
      </c>
      <c r="B33" s="410" t="s">
        <v>102</v>
      </c>
      <c r="C33" s="399"/>
      <c r="D33" s="399"/>
      <c r="E33" s="399"/>
      <c r="F33" s="399"/>
      <c r="G33" s="399"/>
      <c r="H33" s="912">
        <f t="shared" si="0"/>
        <v>0</v>
      </c>
    </row>
    <row r="34" spans="1:8" s="408" customFormat="1" ht="12" customHeight="1" x14ac:dyDescent="0.25">
      <c r="A34" s="361" t="s">
        <v>103</v>
      </c>
      <c r="B34" s="410" t="s">
        <v>104</v>
      </c>
      <c r="C34" s="399"/>
      <c r="D34" s="399"/>
      <c r="E34" s="399"/>
      <c r="F34" s="399"/>
      <c r="G34" s="399"/>
      <c r="H34" s="912">
        <f t="shared" si="0"/>
        <v>0</v>
      </c>
    </row>
    <row r="35" spans="1:8" s="408" customFormat="1" ht="12" customHeight="1" thickBot="1" x14ac:dyDescent="0.3">
      <c r="A35" s="363" t="s">
        <v>105</v>
      </c>
      <c r="B35" s="411" t="s">
        <v>106</v>
      </c>
      <c r="C35" s="401"/>
      <c r="D35" s="401"/>
      <c r="E35" s="401"/>
      <c r="F35" s="401"/>
      <c r="G35" s="401"/>
      <c r="H35" s="912">
        <f t="shared" si="0"/>
        <v>0</v>
      </c>
    </row>
    <row r="36" spans="1:8" s="408" customFormat="1" ht="12" customHeight="1" thickBot="1" x14ac:dyDescent="0.3">
      <c r="A36" s="367" t="s">
        <v>107</v>
      </c>
      <c r="B36" s="368" t="s">
        <v>108</v>
      </c>
      <c r="C36" s="398">
        <f>SUM(C37:C46)</f>
        <v>14592300</v>
      </c>
      <c r="D36" s="398">
        <f>SUM(D37:D46)</f>
        <v>14592300</v>
      </c>
      <c r="E36" s="398">
        <f>SUM(E37:E46)</f>
        <v>14592300</v>
      </c>
      <c r="F36" s="398">
        <f>SUM(F37:F46)</f>
        <v>14592300</v>
      </c>
      <c r="G36" s="398">
        <f>SUM(G37:G46)</f>
        <v>14592300</v>
      </c>
      <c r="H36" s="912">
        <f t="shared" si="0"/>
        <v>0</v>
      </c>
    </row>
    <row r="37" spans="1:8" s="408" customFormat="1" ht="12" customHeight="1" x14ac:dyDescent="0.25">
      <c r="A37" s="362" t="s">
        <v>109</v>
      </c>
      <c r="B37" s="409" t="s">
        <v>110</v>
      </c>
      <c r="C37" s="400"/>
      <c r="D37" s="400"/>
      <c r="E37" s="400"/>
      <c r="F37" s="400"/>
      <c r="G37" s="400"/>
      <c r="H37" s="912">
        <f t="shared" si="0"/>
        <v>0</v>
      </c>
    </row>
    <row r="38" spans="1:8" s="408" customFormat="1" ht="12" customHeight="1" x14ac:dyDescent="0.25">
      <c r="A38" s="361" t="s">
        <v>111</v>
      </c>
      <c r="B38" s="410" t="s">
        <v>112</v>
      </c>
      <c r="C38" s="399">
        <v>2290000</v>
      </c>
      <c r="D38" s="399">
        <v>2290000</v>
      </c>
      <c r="E38" s="399">
        <v>2290000</v>
      </c>
      <c r="F38" s="399">
        <v>2290000</v>
      </c>
      <c r="G38" s="399">
        <v>2290000</v>
      </c>
      <c r="H38" s="912">
        <f t="shared" si="0"/>
        <v>0</v>
      </c>
    </row>
    <row r="39" spans="1:8" s="408" customFormat="1" ht="12" customHeight="1" x14ac:dyDescent="0.25">
      <c r="A39" s="361" t="s">
        <v>113</v>
      </c>
      <c r="B39" s="410" t="s">
        <v>114</v>
      </c>
      <c r="C39" s="399"/>
      <c r="D39" s="399"/>
      <c r="E39" s="399"/>
      <c r="F39" s="399"/>
      <c r="G39" s="399"/>
      <c r="H39" s="912">
        <f t="shared" si="0"/>
        <v>0</v>
      </c>
    </row>
    <row r="40" spans="1:8" s="408" customFormat="1" ht="12" customHeight="1" x14ac:dyDescent="0.25">
      <c r="A40" s="361" t="s">
        <v>115</v>
      </c>
      <c r="B40" s="410" t="s">
        <v>116</v>
      </c>
      <c r="C40" s="399"/>
      <c r="D40" s="399"/>
      <c r="E40" s="399"/>
      <c r="F40" s="399"/>
      <c r="G40" s="399"/>
      <c r="H40" s="912">
        <f t="shared" si="0"/>
        <v>0</v>
      </c>
    </row>
    <row r="41" spans="1:8" s="408" customFormat="1" ht="12" customHeight="1" x14ac:dyDescent="0.25">
      <c r="A41" s="361" t="s">
        <v>117</v>
      </c>
      <c r="B41" s="410" t="s">
        <v>118</v>
      </c>
      <c r="C41" s="399">
        <v>9200000</v>
      </c>
      <c r="D41" s="399">
        <v>9200000</v>
      </c>
      <c r="E41" s="399">
        <v>9200000</v>
      </c>
      <c r="F41" s="399">
        <v>9200000</v>
      </c>
      <c r="G41" s="399">
        <v>9200000</v>
      </c>
      <c r="H41" s="912">
        <f t="shared" si="0"/>
        <v>0</v>
      </c>
    </row>
    <row r="42" spans="1:8" s="408" customFormat="1" ht="12" customHeight="1" x14ac:dyDescent="0.25">
      <c r="A42" s="361" t="s">
        <v>119</v>
      </c>
      <c r="B42" s="410" t="s">
        <v>120</v>
      </c>
      <c r="C42" s="399">
        <v>3102300</v>
      </c>
      <c r="D42" s="399">
        <v>3102300</v>
      </c>
      <c r="E42" s="399">
        <v>3102300</v>
      </c>
      <c r="F42" s="399">
        <v>3102300</v>
      </c>
      <c r="G42" s="399">
        <v>3102300</v>
      </c>
      <c r="H42" s="912">
        <f t="shared" si="0"/>
        <v>0</v>
      </c>
    </row>
    <row r="43" spans="1:8" s="408" customFormat="1" ht="12" customHeight="1" x14ac:dyDescent="0.25">
      <c r="A43" s="361" t="s">
        <v>121</v>
      </c>
      <c r="B43" s="410" t="s">
        <v>122</v>
      </c>
      <c r="C43" s="399"/>
      <c r="D43" s="399"/>
      <c r="E43" s="399"/>
      <c r="F43" s="399"/>
      <c r="G43" s="399"/>
      <c r="H43" s="912">
        <f t="shared" si="0"/>
        <v>0</v>
      </c>
    </row>
    <row r="44" spans="1:8" s="408" customFormat="1" ht="12" customHeight="1" x14ac:dyDescent="0.25">
      <c r="A44" s="361" t="s">
        <v>123</v>
      </c>
      <c r="B44" s="410" t="s">
        <v>124</v>
      </c>
      <c r="C44" s="399"/>
      <c r="D44" s="399"/>
      <c r="E44" s="399"/>
      <c r="F44" s="399"/>
      <c r="G44" s="399"/>
      <c r="H44" s="912">
        <f t="shared" si="0"/>
        <v>0</v>
      </c>
    </row>
    <row r="45" spans="1:8" s="408" customFormat="1" ht="12" customHeight="1" x14ac:dyDescent="0.25">
      <c r="A45" s="361" t="s">
        <v>125</v>
      </c>
      <c r="B45" s="410" t="s">
        <v>126</v>
      </c>
      <c r="C45" s="402"/>
      <c r="D45" s="402"/>
      <c r="E45" s="402"/>
      <c r="F45" s="402"/>
      <c r="G45" s="402"/>
      <c r="H45" s="912">
        <f t="shared" si="0"/>
        <v>0</v>
      </c>
    </row>
    <row r="46" spans="1:8" s="408" customFormat="1" ht="12" customHeight="1" thickBot="1" x14ac:dyDescent="0.3">
      <c r="A46" s="363" t="s">
        <v>127</v>
      </c>
      <c r="B46" s="411" t="s">
        <v>128</v>
      </c>
      <c r="C46" s="403"/>
      <c r="D46" s="403"/>
      <c r="E46" s="403"/>
      <c r="F46" s="403"/>
      <c r="G46" s="403"/>
      <c r="H46" s="912">
        <f t="shared" si="0"/>
        <v>0</v>
      </c>
    </row>
    <row r="47" spans="1:8" s="408" customFormat="1" ht="12" customHeight="1" thickBot="1" x14ac:dyDescent="0.3">
      <c r="A47" s="367" t="s">
        <v>129</v>
      </c>
      <c r="B47" s="368" t="s">
        <v>130</v>
      </c>
      <c r="C47" s="398">
        <f>SUM(C48:C52)</f>
        <v>0</v>
      </c>
      <c r="D47" s="398">
        <f>SUM(D48:D52)</f>
        <v>0</v>
      </c>
      <c r="E47" s="398">
        <f>SUM(E48:E52)</f>
        <v>0</v>
      </c>
      <c r="F47" s="398">
        <f>SUM(F48:F52)</f>
        <v>0</v>
      </c>
      <c r="G47" s="398">
        <f>SUM(G48:G52)</f>
        <v>0</v>
      </c>
      <c r="H47" s="912">
        <f t="shared" si="0"/>
        <v>0</v>
      </c>
    </row>
    <row r="48" spans="1:8" s="408" customFormat="1" ht="12" customHeight="1" x14ac:dyDescent="0.25">
      <c r="A48" s="362" t="s">
        <v>131</v>
      </c>
      <c r="B48" s="409" t="s">
        <v>132</v>
      </c>
      <c r="C48" s="421"/>
      <c r="D48" s="421"/>
      <c r="E48" s="421"/>
      <c r="F48" s="421"/>
      <c r="G48" s="421"/>
      <c r="H48" s="912">
        <f t="shared" si="0"/>
        <v>0</v>
      </c>
    </row>
    <row r="49" spans="1:8" s="408" customFormat="1" ht="12" customHeight="1" x14ac:dyDescent="0.25">
      <c r="A49" s="361" t="s">
        <v>133</v>
      </c>
      <c r="B49" s="410" t="s">
        <v>134</v>
      </c>
      <c r="C49" s="402"/>
      <c r="D49" s="402"/>
      <c r="E49" s="402"/>
      <c r="F49" s="402"/>
      <c r="G49" s="402"/>
      <c r="H49" s="912">
        <f t="shared" si="0"/>
        <v>0</v>
      </c>
    </row>
    <row r="50" spans="1:8" s="408" customFormat="1" ht="12" customHeight="1" x14ac:dyDescent="0.25">
      <c r="A50" s="361" t="s">
        <v>135</v>
      </c>
      <c r="B50" s="410" t="s">
        <v>136</v>
      </c>
      <c r="C50" s="402"/>
      <c r="D50" s="402"/>
      <c r="E50" s="402"/>
      <c r="F50" s="402"/>
      <c r="G50" s="402"/>
      <c r="H50" s="912">
        <f t="shared" si="0"/>
        <v>0</v>
      </c>
    </row>
    <row r="51" spans="1:8" s="408" customFormat="1" ht="12" customHeight="1" x14ac:dyDescent="0.25">
      <c r="A51" s="361" t="s">
        <v>137</v>
      </c>
      <c r="B51" s="410" t="s">
        <v>138</v>
      </c>
      <c r="C51" s="402"/>
      <c r="D51" s="402"/>
      <c r="E51" s="402"/>
      <c r="F51" s="402"/>
      <c r="G51" s="402"/>
      <c r="H51" s="912">
        <f t="shared" si="0"/>
        <v>0</v>
      </c>
    </row>
    <row r="52" spans="1:8" s="408" customFormat="1" ht="12" customHeight="1" thickBot="1" x14ac:dyDescent="0.3">
      <c r="A52" s="363" t="s">
        <v>139</v>
      </c>
      <c r="B52" s="411" t="s">
        <v>140</v>
      </c>
      <c r="C52" s="403"/>
      <c r="D52" s="403"/>
      <c r="E52" s="403"/>
      <c r="F52" s="403"/>
      <c r="G52" s="403"/>
      <c r="H52" s="912">
        <f t="shared" si="0"/>
        <v>0</v>
      </c>
    </row>
    <row r="53" spans="1:8" s="408" customFormat="1" ht="17.25" customHeight="1" thickBot="1" x14ac:dyDescent="0.3">
      <c r="A53" s="367" t="s">
        <v>141</v>
      </c>
      <c r="B53" s="368" t="s">
        <v>142</v>
      </c>
      <c r="C53" s="398">
        <f>SUM(C54:C56)</f>
        <v>0</v>
      </c>
      <c r="D53" s="398">
        <f>SUM(D54:D56)</f>
        <v>0</v>
      </c>
      <c r="E53" s="398">
        <f>SUM(E54:E56)</f>
        <v>0</v>
      </c>
      <c r="F53" s="398">
        <f>SUM(F54:F56)</f>
        <v>0</v>
      </c>
      <c r="G53" s="398">
        <f>SUM(G54:G56)</f>
        <v>0</v>
      </c>
      <c r="H53" s="912">
        <f t="shared" si="0"/>
        <v>0</v>
      </c>
    </row>
    <row r="54" spans="1:8" s="408" customFormat="1" ht="12" customHeight="1" x14ac:dyDescent="0.25">
      <c r="A54" s="362" t="s">
        <v>143</v>
      </c>
      <c r="B54" s="409" t="s">
        <v>144</v>
      </c>
      <c r="C54" s="400"/>
      <c r="D54" s="400"/>
      <c r="E54" s="400"/>
      <c r="F54" s="400"/>
      <c r="G54" s="400"/>
      <c r="H54" s="912">
        <f t="shared" si="0"/>
        <v>0</v>
      </c>
    </row>
    <row r="55" spans="1:8" s="408" customFormat="1" ht="12" customHeight="1" x14ac:dyDescent="0.25">
      <c r="A55" s="361" t="s">
        <v>145</v>
      </c>
      <c r="B55" s="410" t="s">
        <v>72</v>
      </c>
      <c r="C55" s="399"/>
      <c r="D55" s="399"/>
      <c r="E55" s="399"/>
      <c r="F55" s="399"/>
      <c r="G55" s="399"/>
      <c r="H55" s="912">
        <f t="shared" si="0"/>
        <v>0</v>
      </c>
    </row>
    <row r="56" spans="1:8" s="408" customFormat="1" ht="12" customHeight="1" x14ac:dyDescent="0.25">
      <c r="A56" s="361" t="s">
        <v>147</v>
      </c>
      <c r="B56" s="410" t="s">
        <v>148</v>
      </c>
      <c r="C56" s="399"/>
      <c r="D56" s="399"/>
      <c r="E56" s="399"/>
      <c r="F56" s="399"/>
      <c r="G56" s="399"/>
      <c r="H56" s="912">
        <f t="shared" si="0"/>
        <v>0</v>
      </c>
    </row>
    <row r="57" spans="1:8" s="408" customFormat="1" ht="12" customHeight="1" thickBot="1" x14ac:dyDescent="0.3">
      <c r="A57" s="363" t="s">
        <v>149</v>
      </c>
      <c r="B57" s="411" t="s">
        <v>150</v>
      </c>
      <c r="C57" s="401"/>
      <c r="D57" s="401"/>
      <c r="E57" s="401"/>
      <c r="F57" s="401"/>
      <c r="G57" s="401"/>
      <c r="H57" s="912">
        <f t="shared" si="0"/>
        <v>0</v>
      </c>
    </row>
    <row r="58" spans="1:8" s="408" customFormat="1" ht="12" customHeight="1" thickBot="1" x14ac:dyDescent="0.3">
      <c r="A58" s="367" t="s">
        <v>151</v>
      </c>
      <c r="B58" s="388" t="s">
        <v>152</v>
      </c>
      <c r="C58" s="398">
        <f>SUM(C59:C61)</f>
        <v>0</v>
      </c>
      <c r="D58" s="398">
        <f>SUM(D59:D61)</f>
        <v>0</v>
      </c>
      <c r="E58" s="398">
        <f>SUM(E59:E61)</f>
        <v>0</v>
      </c>
      <c r="F58" s="398">
        <f>SUM(F59:F61)</f>
        <v>0</v>
      </c>
      <c r="G58" s="398">
        <f>SUM(G59:G61)</f>
        <v>0</v>
      </c>
      <c r="H58" s="912">
        <f t="shared" si="0"/>
        <v>0</v>
      </c>
    </row>
    <row r="59" spans="1:8" s="408" customFormat="1" ht="12" customHeight="1" x14ac:dyDescent="0.25">
      <c r="A59" s="362" t="s">
        <v>153</v>
      </c>
      <c r="B59" s="409" t="s">
        <v>154</v>
      </c>
      <c r="C59" s="402"/>
      <c r="D59" s="402"/>
      <c r="E59" s="402"/>
      <c r="F59" s="402"/>
      <c r="G59" s="402"/>
      <c r="H59" s="912">
        <f t="shared" si="0"/>
        <v>0</v>
      </c>
    </row>
    <row r="60" spans="1:8" s="408" customFormat="1" ht="12" customHeight="1" x14ac:dyDescent="0.25">
      <c r="A60" s="361" t="s">
        <v>155</v>
      </c>
      <c r="B60" s="410" t="s">
        <v>156</v>
      </c>
      <c r="C60" s="402"/>
      <c r="D60" s="402"/>
      <c r="E60" s="402"/>
      <c r="F60" s="402"/>
      <c r="G60" s="402"/>
      <c r="H60" s="912">
        <f t="shared" si="0"/>
        <v>0</v>
      </c>
    </row>
    <row r="61" spans="1:8" s="408" customFormat="1" ht="12" customHeight="1" x14ac:dyDescent="0.25">
      <c r="A61" s="361" t="s">
        <v>157</v>
      </c>
      <c r="B61" s="410" t="s">
        <v>158</v>
      </c>
      <c r="C61" s="402"/>
      <c r="D61" s="402"/>
      <c r="E61" s="402"/>
      <c r="F61" s="402"/>
      <c r="G61" s="402"/>
      <c r="H61" s="912">
        <f t="shared" si="0"/>
        <v>0</v>
      </c>
    </row>
    <row r="62" spans="1:8" s="408" customFormat="1" ht="12" customHeight="1" thickBot="1" x14ac:dyDescent="0.3">
      <c r="A62" s="363" t="s">
        <v>159</v>
      </c>
      <c r="B62" s="411" t="s">
        <v>160</v>
      </c>
      <c r="C62" s="402"/>
      <c r="D62" s="402"/>
      <c r="E62" s="402"/>
      <c r="F62" s="402"/>
      <c r="G62" s="402"/>
      <c r="H62" s="912">
        <f t="shared" si="0"/>
        <v>0</v>
      </c>
    </row>
    <row r="63" spans="1:8" s="408" customFormat="1" ht="12" customHeight="1" thickBot="1" x14ac:dyDescent="0.3">
      <c r="A63" s="367" t="s">
        <v>161</v>
      </c>
      <c r="B63" s="368" t="s">
        <v>162</v>
      </c>
      <c r="C63" s="404">
        <f>+C8+C15+C22+C29+C36+C47+C53+C58</f>
        <v>14592300</v>
      </c>
      <c r="D63" s="404">
        <f>+D8+D15+D22+D29+D36+D47+D53+D58</f>
        <v>14592300</v>
      </c>
      <c r="E63" s="404">
        <f>+E8+E15+E22+E29+E36+E47+E53+E58</f>
        <v>14592300</v>
      </c>
      <c r="F63" s="404">
        <f>+F8+F15+F22+F29+F36+F47+F53+F58</f>
        <v>14592300</v>
      </c>
      <c r="G63" s="404">
        <f>+G8+G15+G22+G29+G36+G47+G53+G58</f>
        <v>14592300</v>
      </c>
      <c r="H63" s="912">
        <f t="shared" si="0"/>
        <v>0</v>
      </c>
    </row>
    <row r="64" spans="1:8" s="408" customFormat="1" ht="12" customHeight="1" thickBot="1" x14ac:dyDescent="0.3">
      <c r="A64" s="422" t="s">
        <v>163</v>
      </c>
      <c r="B64" s="388" t="s">
        <v>164</v>
      </c>
      <c r="C64" s="398">
        <f>+C65+C66+C67</f>
        <v>0</v>
      </c>
      <c r="D64" s="398">
        <f>+D65+D66+D67</f>
        <v>0</v>
      </c>
      <c r="E64" s="398">
        <f>+E65+E66+E67</f>
        <v>0</v>
      </c>
      <c r="F64" s="398">
        <f>+F65+F66+F67</f>
        <v>0</v>
      </c>
      <c r="G64" s="398">
        <f>+G65+G66+G67</f>
        <v>0</v>
      </c>
      <c r="H64" s="912">
        <f t="shared" si="0"/>
        <v>0</v>
      </c>
    </row>
    <row r="65" spans="1:8" s="408" customFormat="1" ht="12" customHeight="1" x14ac:dyDescent="0.25">
      <c r="A65" s="362" t="s">
        <v>165</v>
      </c>
      <c r="B65" s="409" t="s">
        <v>166</v>
      </c>
      <c r="C65" s="402"/>
      <c r="D65" s="402"/>
      <c r="E65" s="402"/>
      <c r="F65" s="402"/>
      <c r="G65" s="402"/>
      <c r="H65" s="912">
        <f t="shared" si="0"/>
        <v>0</v>
      </c>
    </row>
    <row r="66" spans="1:8" s="408" customFormat="1" ht="12" customHeight="1" x14ac:dyDescent="0.25">
      <c r="A66" s="361" t="s">
        <v>167</v>
      </c>
      <c r="B66" s="410" t="s">
        <v>168</v>
      </c>
      <c r="C66" s="402"/>
      <c r="D66" s="402"/>
      <c r="E66" s="402"/>
      <c r="F66" s="402"/>
      <c r="G66" s="402"/>
      <c r="H66" s="912">
        <f t="shared" si="0"/>
        <v>0</v>
      </c>
    </row>
    <row r="67" spans="1:8" s="408" customFormat="1" ht="12" customHeight="1" thickBot="1" x14ac:dyDescent="0.3">
      <c r="A67" s="363" t="s">
        <v>169</v>
      </c>
      <c r="B67" s="347" t="s">
        <v>170</v>
      </c>
      <c r="C67" s="402"/>
      <c r="D67" s="402"/>
      <c r="E67" s="402"/>
      <c r="F67" s="402"/>
      <c r="G67" s="402"/>
      <c r="H67" s="912">
        <f t="shared" si="0"/>
        <v>0</v>
      </c>
    </row>
    <row r="68" spans="1:8" s="408" customFormat="1" ht="12" customHeight="1" thickBot="1" x14ac:dyDescent="0.3">
      <c r="A68" s="422" t="s">
        <v>171</v>
      </c>
      <c r="B68" s="388" t="s">
        <v>172</v>
      </c>
      <c r="C68" s="398">
        <f>+C69+C70+C71+C72</f>
        <v>0</v>
      </c>
      <c r="D68" s="398">
        <f>+D69+D70+D71+D72</f>
        <v>0</v>
      </c>
      <c r="E68" s="398">
        <f>+E69+E70+E71+E72</f>
        <v>0</v>
      </c>
      <c r="F68" s="398">
        <f>+F69+F70+F71+F72</f>
        <v>0</v>
      </c>
      <c r="G68" s="398">
        <f>+G69+G70+G71+G72</f>
        <v>0</v>
      </c>
      <c r="H68" s="912">
        <f t="shared" si="0"/>
        <v>0</v>
      </c>
    </row>
    <row r="69" spans="1:8" s="408" customFormat="1" ht="13.5" customHeight="1" x14ac:dyDescent="0.25">
      <c r="A69" s="362" t="s">
        <v>173</v>
      </c>
      <c r="B69" s="409" t="s">
        <v>174</v>
      </c>
      <c r="C69" s="402"/>
      <c r="D69" s="402"/>
      <c r="E69" s="402"/>
      <c r="F69" s="402"/>
      <c r="G69" s="402"/>
      <c r="H69" s="912">
        <f t="shared" si="0"/>
        <v>0</v>
      </c>
    </row>
    <row r="70" spans="1:8" s="408" customFormat="1" ht="12" customHeight="1" x14ac:dyDescent="0.25">
      <c r="A70" s="361" t="s">
        <v>175</v>
      </c>
      <c r="B70" s="410" t="s">
        <v>176</v>
      </c>
      <c r="C70" s="402"/>
      <c r="D70" s="402"/>
      <c r="E70" s="402"/>
      <c r="F70" s="402"/>
      <c r="G70" s="402"/>
      <c r="H70" s="912">
        <f t="shared" si="0"/>
        <v>0</v>
      </c>
    </row>
    <row r="71" spans="1:8" s="408" customFormat="1" ht="12" customHeight="1" x14ac:dyDescent="0.25">
      <c r="A71" s="361" t="s">
        <v>177</v>
      </c>
      <c r="B71" s="410" t="s">
        <v>178</v>
      </c>
      <c r="C71" s="402"/>
      <c r="D71" s="402"/>
      <c r="E71" s="402"/>
      <c r="F71" s="402"/>
      <c r="G71" s="402"/>
      <c r="H71" s="912">
        <f t="shared" si="0"/>
        <v>0</v>
      </c>
    </row>
    <row r="72" spans="1:8" s="408" customFormat="1" ht="12" customHeight="1" thickBot="1" x14ac:dyDescent="0.3">
      <c r="A72" s="363" t="s">
        <v>179</v>
      </c>
      <c r="B72" s="411" t="s">
        <v>180</v>
      </c>
      <c r="C72" s="402"/>
      <c r="D72" s="402"/>
      <c r="E72" s="402"/>
      <c r="F72" s="402"/>
      <c r="G72" s="402"/>
      <c r="H72" s="912">
        <f t="shared" si="0"/>
        <v>0</v>
      </c>
    </row>
    <row r="73" spans="1:8" s="408" customFormat="1" ht="12" customHeight="1" thickBot="1" x14ac:dyDescent="0.3">
      <c r="A73" s="422" t="s">
        <v>181</v>
      </c>
      <c r="B73" s="388" t="s">
        <v>182</v>
      </c>
      <c r="C73" s="398">
        <f>+C74+C75</f>
        <v>0</v>
      </c>
      <c r="D73" s="398">
        <f>+D74+D75</f>
        <v>188306</v>
      </c>
      <c r="E73" s="398">
        <f>+E74+E75</f>
        <v>188306</v>
      </c>
      <c r="F73" s="398">
        <f>+F74+F75</f>
        <v>188306</v>
      </c>
      <c r="G73" s="398">
        <f>+G74+G75</f>
        <v>188306</v>
      </c>
      <c r="H73" s="912">
        <f t="shared" ref="H73:H89" si="1">G73-F73</f>
        <v>0</v>
      </c>
    </row>
    <row r="74" spans="1:8" s="408" customFormat="1" ht="12" customHeight="1" x14ac:dyDescent="0.25">
      <c r="A74" s="362" t="s">
        <v>183</v>
      </c>
      <c r="B74" s="409" t="s">
        <v>184</v>
      </c>
      <c r="C74" s="402"/>
      <c r="D74" s="402">
        <v>188306</v>
      </c>
      <c r="E74" s="402">
        <v>188306</v>
      </c>
      <c r="F74" s="402">
        <v>188306</v>
      </c>
      <c r="G74" s="402">
        <v>188306</v>
      </c>
      <c r="H74" s="912">
        <f t="shared" si="1"/>
        <v>0</v>
      </c>
    </row>
    <row r="75" spans="1:8" s="408" customFormat="1" ht="12" customHeight="1" thickBot="1" x14ac:dyDescent="0.3">
      <c r="A75" s="363" t="s">
        <v>185</v>
      </c>
      <c r="B75" s="411" t="s">
        <v>186</v>
      </c>
      <c r="C75" s="402"/>
      <c r="D75" s="402"/>
      <c r="E75" s="402"/>
      <c r="F75" s="402"/>
      <c r="G75" s="402"/>
      <c r="H75" s="912">
        <f t="shared" si="1"/>
        <v>0</v>
      </c>
    </row>
    <row r="76" spans="1:8" s="408" customFormat="1" ht="12" customHeight="1" thickBot="1" x14ac:dyDescent="0.3">
      <c r="A76" s="422" t="s">
        <v>187</v>
      </c>
      <c r="B76" s="388" t="s">
        <v>188</v>
      </c>
      <c r="C76" s="398">
        <f>+C77+C78+C79</f>
        <v>85505728</v>
      </c>
      <c r="D76" s="398">
        <f>+D77+D78+D79</f>
        <v>81505728</v>
      </c>
      <c r="E76" s="398">
        <f>+E77+E78+E79</f>
        <v>81505728</v>
      </c>
      <c r="F76" s="398">
        <f>+F77+F78+F79</f>
        <v>81505728</v>
      </c>
      <c r="G76" s="398">
        <f>+G77+G78+G79</f>
        <v>81505728</v>
      </c>
      <c r="H76" s="912">
        <f t="shared" si="1"/>
        <v>0</v>
      </c>
    </row>
    <row r="77" spans="1:8" s="408" customFormat="1" ht="12" customHeight="1" x14ac:dyDescent="0.25">
      <c r="A77" s="362" t="s">
        <v>189</v>
      </c>
      <c r="B77" s="409" t="s">
        <v>190</v>
      </c>
      <c r="C77" s="402"/>
      <c r="D77" s="402"/>
      <c r="E77" s="402"/>
      <c r="F77" s="402"/>
      <c r="G77" s="402"/>
      <c r="H77" s="912">
        <f t="shared" si="1"/>
        <v>0</v>
      </c>
    </row>
    <row r="78" spans="1:8" s="408" customFormat="1" ht="12" customHeight="1" x14ac:dyDescent="0.25">
      <c r="A78" s="361" t="s">
        <v>191</v>
      </c>
      <c r="B78" s="410" t="s">
        <v>192</v>
      </c>
      <c r="C78" s="402"/>
      <c r="D78" s="402"/>
      <c r="E78" s="402"/>
      <c r="F78" s="402"/>
      <c r="G78" s="402"/>
      <c r="H78" s="912">
        <f t="shared" si="1"/>
        <v>0</v>
      </c>
    </row>
    <row r="79" spans="1:8" s="408" customFormat="1" ht="12" customHeight="1" thickBot="1" x14ac:dyDescent="0.3">
      <c r="A79" s="363" t="s">
        <v>193</v>
      </c>
      <c r="B79" s="390" t="s">
        <v>1793</v>
      </c>
      <c r="C79" s="402">
        <v>85505728</v>
      </c>
      <c r="D79" s="402">
        <f>85505728-4000000</f>
        <v>81505728</v>
      </c>
      <c r="E79" s="402">
        <f>85505728-4000000</f>
        <v>81505728</v>
      </c>
      <c r="F79" s="402">
        <f>85505728-4000000</f>
        <v>81505728</v>
      </c>
      <c r="G79" s="402">
        <f>85505728-4000000</f>
        <v>81505728</v>
      </c>
      <c r="H79" s="912">
        <f t="shared" si="1"/>
        <v>0</v>
      </c>
    </row>
    <row r="80" spans="1:8" s="408" customFormat="1" ht="12" customHeight="1" thickBot="1" x14ac:dyDescent="0.3">
      <c r="A80" s="422" t="s">
        <v>195</v>
      </c>
      <c r="B80" s="388" t="s">
        <v>196</v>
      </c>
      <c r="C80" s="398">
        <f>+C81+C82+C83+C84</f>
        <v>0</v>
      </c>
      <c r="D80" s="398">
        <f>+D81+D82+D83+D84</f>
        <v>0</v>
      </c>
      <c r="E80" s="398">
        <f>+E81+E82+E83+E84</f>
        <v>0</v>
      </c>
      <c r="F80" s="398">
        <f>+F81+F82+F83+F84</f>
        <v>0</v>
      </c>
      <c r="G80" s="398">
        <f>+G81+G82+G83+G84</f>
        <v>0</v>
      </c>
      <c r="H80" s="912">
        <f t="shared" si="1"/>
        <v>0</v>
      </c>
    </row>
    <row r="81" spans="1:8" s="408" customFormat="1" ht="12" customHeight="1" x14ac:dyDescent="0.25">
      <c r="A81" s="412" t="s">
        <v>197</v>
      </c>
      <c r="B81" s="409" t="s">
        <v>198</v>
      </c>
      <c r="C81" s="402"/>
      <c r="D81" s="402"/>
      <c r="E81" s="402"/>
      <c r="F81" s="402"/>
      <c r="G81" s="402"/>
      <c r="H81" s="912">
        <f t="shared" si="1"/>
        <v>0</v>
      </c>
    </row>
    <row r="82" spans="1:8" s="408" customFormat="1" ht="12" customHeight="1" x14ac:dyDescent="0.25">
      <c r="A82" s="413" t="s">
        <v>199</v>
      </c>
      <c r="B82" s="410" t="s">
        <v>200</v>
      </c>
      <c r="C82" s="402"/>
      <c r="D82" s="402"/>
      <c r="E82" s="402"/>
      <c r="F82" s="402"/>
      <c r="G82" s="402"/>
      <c r="H82" s="912">
        <f t="shared" si="1"/>
        <v>0</v>
      </c>
    </row>
    <row r="83" spans="1:8" s="408" customFormat="1" ht="12" customHeight="1" x14ac:dyDescent="0.25">
      <c r="A83" s="413" t="s">
        <v>201</v>
      </c>
      <c r="B83" s="410" t="s">
        <v>202</v>
      </c>
      <c r="C83" s="402"/>
      <c r="D83" s="402"/>
      <c r="E83" s="402"/>
      <c r="F83" s="402"/>
      <c r="G83" s="402"/>
      <c r="H83" s="912">
        <f t="shared" si="1"/>
        <v>0</v>
      </c>
    </row>
    <row r="84" spans="1:8" s="408" customFormat="1" ht="12" customHeight="1" thickBot="1" x14ac:dyDescent="0.3">
      <c r="A84" s="423" t="s">
        <v>203</v>
      </c>
      <c r="B84" s="390" t="s">
        <v>204</v>
      </c>
      <c r="C84" s="402"/>
      <c r="D84" s="402"/>
      <c r="E84" s="402"/>
      <c r="F84" s="402"/>
      <c r="G84" s="402"/>
      <c r="H84" s="912">
        <f t="shared" si="1"/>
        <v>0</v>
      </c>
    </row>
    <row r="85" spans="1:8" s="408" customFormat="1" ht="12" customHeight="1" thickBot="1" x14ac:dyDescent="0.3">
      <c r="A85" s="422" t="s">
        <v>205</v>
      </c>
      <c r="B85" s="388" t="s">
        <v>206</v>
      </c>
      <c r="C85" s="425"/>
      <c r="D85" s="425"/>
      <c r="E85" s="425"/>
      <c r="F85" s="425"/>
      <c r="G85" s="425"/>
      <c r="H85" s="912">
        <f t="shared" si="1"/>
        <v>0</v>
      </c>
    </row>
    <row r="86" spans="1:8" s="408" customFormat="1" ht="12" customHeight="1" thickBot="1" x14ac:dyDescent="0.3">
      <c r="A86" s="422" t="s">
        <v>207</v>
      </c>
      <c r="B86" s="345" t="s">
        <v>208</v>
      </c>
      <c r="C86" s="404">
        <f>+C64+C68+C73+C76+C80+C85</f>
        <v>85505728</v>
      </c>
      <c r="D86" s="404">
        <f>+D64+D68+D73+D76+D80+D85</f>
        <v>81694034</v>
      </c>
      <c r="E86" s="404">
        <f>+E64+E68+E73+E76+E80+E85</f>
        <v>81694034</v>
      </c>
      <c r="F86" s="404">
        <f>+F64+F68+F73+F76+F80+F85</f>
        <v>81694034</v>
      </c>
      <c r="G86" s="404">
        <f>+G64+G68+G73+G76+G80+G85</f>
        <v>81694034</v>
      </c>
      <c r="H86" s="912">
        <f t="shared" si="1"/>
        <v>0</v>
      </c>
    </row>
    <row r="87" spans="1:8" s="408" customFormat="1" ht="12" customHeight="1" thickBot="1" x14ac:dyDescent="0.3">
      <c r="A87" s="424" t="s">
        <v>209</v>
      </c>
      <c r="B87" s="348" t="s">
        <v>210</v>
      </c>
      <c r="C87" s="404">
        <f>+C63+C86</f>
        <v>100098028</v>
      </c>
      <c r="D87" s="404">
        <f>+D63+D86</f>
        <v>96286334</v>
      </c>
      <c r="E87" s="404">
        <f>+E63+E86</f>
        <v>96286334</v>
      </c>
      <c r="F87" s="404">
        <f>+F63+F86</f>
        <v>96286334</v>
      </c>
      <c r="G87" s="404">
        <f>+G63+G86</f>
        <v>96286334</v>
      </c>
      <c r="H87" s="912">
        <f t="shared" si="1"/>
        <v>0</v>
      </c>
    </row>
    <row r="88" spans="1:8" s="408" customFormat="1" ht="12" customHeight="1" x14ac:dyDescent="0.25">
      <c r="A88" s="343"/>
      <c r="B88" s="343"/>
      <c r="C88" s="344"/>
      <c r="D88" s="344"/>
      <c r="E88" s="344"/>
      <c r="F88" s="912"/>
      <c r="H88" s="912">
        <f t="shared" si="1"/>
        <v>0</v>
      </c>
    </row>
    <row r="89" spans="1:8" s="408" customFormat="1" ht="12" customHeight="1" thickBot="1" x14ac:dyDescent="0.3">
      <c r="A89" s="343"/>
      <c r="B89" s="343"/>
      <c r="C89" s="344"/>
      <c r="D89" s="344"/>
      <c r="E89" s="344"/>
      <c r="F89" s="912"/>
      <c r="H89" s="912">
        <f t="shared" si="1"/>
        <v>0</v>
      </c>
    </row>
    <row r="90" spans="1:8" ht="16.5" customHeight="1" x14ac:dyDescent="0.3">
      <c r="A90" s="1617" t="s">
        <v>211</v>
      </c>
      <c r="B90" s="1618"/>
      <c r="C90" s="1618"/>
      <c r="D90" s="1618"/>
      <c r="E90" s="1618"/>
      <c r="F90" s="1556"/>
      <c r="G90" s="1543"/>
    </row>
    <row r="91" spans="1:8" s="414" customFormat="1" ht="16.5" customHeight="1" thickBot="1" x14ac:dyDescent="0.35">
      <c r="A91" s="1409" t="s">
        <v>2123</v>
      </c>
      <c r="B91" s="43"/>
      <c r="C91" s="376"/>
      <c r="D91" s="376"/>
      <c r="E91" s="1554"/>
      <c r="F91" s="1557"/>
      <c r="G91" s="1555" t="s">
        <v>1690</v>
      </c>
    </row>
    <row r="92" spans="1:8" s="414" customFormat="1" ht="16.5" customHeight="1" thickBot="1" x14ac:dyDescent="0.35">
      <c r="A92" s="1639" t="s">
        <v>41</v>
      </c>
      <c r="B92" s="1640" t="s">
        <v>213</v>
      </c>
      <c r="C92" s="1628" t="s">
        <v>1795</v>
      </c>
      <c r="D92" s="1629"/>
      <c r="E92" s="1629"/>
      <c r="F92" s="1629"/>
      <c r="G92" s="1630"/>
    </row>
    <row r="93" spans="1:8" ht="38.1" customHeight="1" thickBot="1" x14ac:dyDescent="0.35">
      <c r="A93" s="1625"/>
      <c r="B93" s="1627"/>
      <c r="C93" s="1538" t="s">
        <v>43</v>
      </c>
      <c r="D93" s="1538" t="s">
        <v>2175</v>
      </c>
      <c r="E93" s="1538" t="s">
        <v>2173</v>
      </c>
      <c r="F93" s="1541" t="s">
        <v>2174</v>
      </c>
      <c r="G93" s="1541" t="s">
        <v>2182</v>
      </c>
    </row>
    <row r="94" spans="1:8" s="407" customFormat="1" ht="12" customHeight="1" thickBot="1" x14ac:dyDescent="0.25">
      <c r="A94" s="372" t="s">
        <v>46</v>
      </c>
      <c r="B94" s="373" t="s">
        <v>47</v>
      </c>
      <c r="C94" s="373" t="s">
        <v>48</v>
      </c>
      <c r="D94" s="373" t="s">
        <v>49</v>
      </c>
      <c r="E94" s="373" t="s">
        <v>50</v>
      </c>
      <c r="F94" s="936" t="s">
        <v>50</v>
      </c>
      <c r="G94" s="1537" t="s">
        <v>294</v>
      </c>
    </row>
    <row r="95" spans="1:8" ht="12" customHeight="1" thickBot="1" x14ac:dyDescent="0.35">
      <c r="A95" s="369" t="s">
        <v>51</v>
      </c>
      <c r="B95" s="371" t="s">
        <v>288</v>
      </c>
      <c r="C95" s="397">
        <f>SUM(C96:C100)</f>
        <v>98891528</v>
      </c>
      <c r="D95" s="397">
        <f>SUM(D96:D100)</f>
        <v>95079834</v>
      </c>
      <c r="E95" s="397">
        <f>SUM(E96:E100)</f>
        <v>95079834</v>
      </c>
      <c r="F95" s="397">
        <f>SUM(F96:F100)</f>
        <v>95079834</v>
      </c>
      <c r="G95" s="397">
        <f>SUM(G96:G100)</f>
        <v>95079834</v>
      </c>
      <c r="H95" s="812">
        <f>G95-F95</f>
        <v>0</v>
      </c>
    </row>
    <row r="96" spans="1:8" ht="12" customHeight="1" x14ac:dyDescent="0.3">
      <c r="A96" s="364" t="s">
        <v>53</v>
      </c>
      <c r="B96" s="357" t="s">
        <v>215</v>
      </c>
      <c r="C96" s="92">
        <v>64749228</v>
      </c>
      <c r="D96" s="92">
        <v>64749228</v>
      </c>
      <c r="E96" s="92">
        <v>64749228</v>
      </c>
      <c r="F96" s="92">
        <v>64749228</v>
      </c>
      <c r="G96" s="92">
        <v>64749228</v>
      </c>
      <c r="H96" s="812">
        <f t="shared" ref="H96:H149" si="2">G96-F96</f>
        <v>0</v>
      </c>
    </row>
    <row r="97" spans="1:8" ht="12" customHeight="1" x14ac:dyDescent="0.3">
      <c r="A97" s="361" t="s">
        <v>55</v>
      </c>
      <c r="B97" s="355" t="s">
        <v>216</v>
      </c>
      <c r="C97" s="399">
        <v>13085100</v>
      </c>
      <c r="D97" s="399">
        <v>13085100</v>
      </c>
      <c r="E97" s="399">
        <v>13085100</v>
      </c>
      <c r="F97" s="399">
        <v>13085100</v>
      </c>
      <c r="G97" s="399">
        <v>11887100</v>
      </c>
      <c r="H97" s="812">
        <f t="shared" si="2"/>
        <v>-1198000</v>
      </c>
    </row>
    <row r="98" spans="1:8" ht="12" customHeight="1" x14ac:dyDescent="0.3">
      <c r="A98" s="361" t="s">
        <v>57</v>
      </c>
      <c r="B98" s="355" t="s">
        <v>217</v>
      </c>
      <c r="C98" s="401">
        <v>21057200</v>
      </c>
      <c r="D98" s="401">
        <f>21068592-4000000</f>
        <v>17068592</v>
      </c>
      <c r="E98" s="401">
        <f>21068592-4000000</f>
        <v>17068592</v>
      </c>
      <c r="F98" s="401">
        <f>21068592-4000000</f>
        <v>17068592</v>
      </c>
      <c r="G98" s="401">
        <v>18266592</v>
      </c>
      <c r="H98" s="812">
        <f t="shared" si="2"/>
        <v>1198000</v>
      </c>
    </row>
    <row r="99" spans="1:8" ht="12" customHeight="1" x14ac:dyDescent="0.3">
      <c r="A99" s="361" t="s">
        <v>59</v>
      </c>
      <c r="B99" s="358" t="s">
        <v>218</v>
      </c>
      <c r="C99" s="401"/>
      <c r="D99" s="401"/>
      <c r="E99" s="401"/>
      <c r="F99" s="401"/>
      <c r="G99" s="401"/>
      <c r="H99" s="812">
        <f t="shared" si="2"/>
        <v>0</v>
      </c>
    </row>
    <row r="100" spans="1:8" ht="12" customHeight="1" x14ac:dyDescent="0.3">
      <c r="A100" s="361" t="s">
        <v>219</v>
      </c>
      <c r="B100" s="366" t="s">
        <v>220</v>
      </c>
      <c r="C100" s="401"/>
      <c r="D100" s="401">
        <f>SUM(D101:D110)</f>
        <v>176914</v>
      </c>
      <c r="E100" s="401">
        <f>SUM(E101:E110)</f>
        <v>176914</v>
      </c>
      <c r="F100" s="401">
        <f>SUM(F101:F110)</f>
        <v>176914</v>
      </c>
      <c r="G100" s="401">
        <f>SUM(G101:G110)</f>
        <v>176914</v>
      </c>
      <c r="H100" s="812">
        <f t="shared" si="2"/>
        <v>0</v>
      </c>
    </row>
    <row r="101" spans="1:8" ht="12" customHeight="1" x14ac:dyDescent="0.3">
      <c r="A101" s="361" t="s">
        <v>63</v>
      </c>
      <c r="B101" s="355" t="s">
        <v>221</v>
      </c>
      <c r="C101" s="401"/>
      <c r="D101" s="401">
        <v>176914</v>
      </c>
      <c r="E101" s="401">
        <v>176914</v>
      </c>
      <c r="F101" s="401">
        <v>176914</v>
      </c>
      <c r="G101" s="401">
        <v>176914</v>
      </c>
      <c r="H101" s="812">
        <f t="shared" si="2"/>
        <v>0</v>
      </c>
    </row>
    <row r="102" spans="1:8" ht="12" customHeight="1" x14ac:dyDescent="0.3">
      <c r="A102" s="361" t="s">
        <v>222</v>
      </c>
      <c r="B102" s="377" t="s">
        <v>223</v>
      </c>
      <c r="C102" s="401"/>
      <c r="D102" s="401"/>
      <c r="E102" s="401"/>
      <c r="F102" s="401"/>
      <c r="G102" s="401"/>
      <c r="H102" s="812">
        <f t="shared" si="2"/>
        <v>0</v>
      </c>
    </row>
    <row r="103" spans="1:8" ht="12" customHeight="1" x14ac:dyDescent="0.3">
      <c r="A103" s="361" t="s">
        <v>224</v>
      </c>
      <c r="B103" s="378" t="s">
        <v>225</v>
      </c>
      <c r="C103" s="401"/>
      <c r="D103" s="401"/>
      <c r="E103" s="401"/>
      <c r="F103" s="401"/>
      <c r="G103" s="401"/>
      <c r="H103" s="812">
        <f t="shared" si="2"/>
        <v>0</v>
      </c>
    </row>
    <row r="104" spans="1:8" ht="12" customHeight="1" x14ac:dyDescent="0.3">
      <c r="A104" s="361" t="s">
        <v>226</v>
      </c>
      <c r="B104" s="378" t="s">
        <v>227</v>
      </c>
      <c r="C104" s="401"/>
      <c r="D104" s="401"/>
      <c r="E104" s="401"/>
      <c r="F104" s="401"/>
      <c r="G104" s="401"/>
      <c r="H104" s="812">
        <f t="shared" si="2"/>
        <v>0</v>
      </c>
    </row>
    <row r="105" spans="1:8" ht="12" customHeight="1" x14ac:dyDescent="0.3">
      <c r="A105" s="361" t="s">
        <v>228</v>
      </c>
      <c r="B105" s="377" t="s">
        <v>229</v>
      </c>
      <c r="C105" s="401"/>
      <c r="D105" s="401"/>
      <c r="E105" s="401"/>
      <c r="F105" s="401"/>
      <c r="G105" s="401"/>
      <c r="H105" s="812">
        <f t="shared" si="2"/>
        <v>0</v>
      </c>
    </row>
    <row r="106" spans="1:8" ht="12" customHeight="1" x14ac:dyDescent="0.3">
      <c r="A106" s="361" t="s">
        <v>230</v>
      </c>
      <c r="B106" s="377" t="s">
        <v>231</v>
      </c>
      <c r="C106" s="401"/>
      <c r="D106" s="401"/>
      <c r="E106" s="401"/>
      <c r="F106" s="401"/>
      <c r="G106" s="401"/>
      <c r="H106" s="812">
        <f t="shared" si="2"/>
        <v>0</v>
      </c>
    </row>
    <row r="107" spans="1:8" ht="12" customHeight="1" x14ac:dyDescent="0.3">
      <c r="A107" s="361" t="s">
        <v>232</v>
      </c>
      <c r="B107" s="378" t="s">
        <v>233</v>
      </c>
      <c r="C107" s="401"/>
      <c r="D107" s="401"/>
      <c r="E107" s="401"/>
      <c r="F107" s="401"/>
      <c r="G107" s="401"/>
      <c r="H107" s="812">
        <f t="shared" si="2"/>
        <v>0</v>
      </c>
    </row>
    <row r="108" spans="1:8" ht="12" customHeight="1" x14ac:dyDescent="0.3">
      <c r="A108" s="360" t="s">
        <v>234</v>
      </c>
      <c r="B108" s="379" t="s">
        <v>235</v>
      </c>
      <c r="C108" s="401"/>
      <c r="D108" s="401"/>
      <c r="E108" s="401"/>
      <c r="F108" s="401"/>
      <c r="G108" s="401"/>
      <c r="H108" s="812">
        <f t="shared" si="2"/>
        <v>0</v>
      </c>
    </row>
    <row r="109" spans="1:8" ht="12" customHeight="1" x14ac:dyDescent="0.3">
      <c r="A109" s="361" t="s">
        <v>236</v>
      </c>
      <c r="B109" s="379" t="s">
        <v>237</v>
      </c>
      <c r="C109" s="401"/>
      <c r="D109" s="401"/>
      <c r="E109" s="401"/>
      <c r="F109" s="401"/>
      <c r="G109" s="401"/>
      <c r="H109" s="812">
        <f t="shared" si="2"/>
        <v>0</v>
      </c>
    </row>
    <row r="110" spans="1:8" ht="12" customHeight="1" thickBot="1" x14ac:dyDescent="0.35">
      <c r="A110" s="365" t="s">
        <v>238</v>
      </c>
      <c r="B110" s="380" t="s">
        <v>239</v>
      </c>
      <c r="C110" s="93"/>
      <c r="D110" s="93"/>
      <c r="E110" s="93"/>
      <c r="F110" s="93"/>
      <c r="G110" s="93"/>
      <c r="H110" s="812">
        <f t="shared" si="2"/>
        <v>0</v>
      </c>
    </row>
    <row r="111" spans="1:8" ht="12" customHeight="1" thickBot="1" x14ac:dyDescent="0.35">
      <c r="A111" s="367" t="s">
        <v>65</v>
      </c>
      <c r="B111" s="370" t="s">
        <v>289</v>
      </c>
      <c r="C111" s="398">
        <f>+C112+C114+C116</f>
        <v>1206500</v>
      </c>
      <c r="D111" s="398">
        <f>+D112+D114+D116</f>
        <v>1206500</v>
      </c>
      <c r="E111" s="398">
        <f>+E112+E114+E116</f>
        <v>1206500</v>
      </c>
      <c r="F111" s="398">
        <f>+F112+F114+F116</f>
        <v>1206500</v>
      </c>
      <c r="G111" s="398">
        <f>+G112+G114+G116</f>
        <v>1206500</v>
      </c>
      <c r="H111" s="812">
        <f t="shared" si="2"/>
        <v>0</v>
      </c>
    </row>
    <row r="112" spans="1:8" ht="12" customHeight="1" x14ac:dyDescent="0.3">
      <c r="A112" s="362" t="s">
        <v>67</v>
      </c>
      <c r="B112" s="355" t="s">
        <v>241</v>
      </c>
      <c r="C112" s="400">
        <v>1206500</v>
      </c>
      <c r="D112" s="400">
        <v>1206500</v>
      </c>
      <c r="E112" s="400">
        <v>1206500</v>
      </c>
      <c r="F112" s="400">
        <v>1206500</v>
      </c>
      <c r="G112" s="400">
        <v>1206500</v>
      </c>
      <c r="H112" s="812">
        <f t="shared" si="2"/>
        <v>0</v>
      </c>
    </row>
    <row r="113" spans="1:8" ht="12" customHeight="1" x14ac:dyDescent="0.3">
      <c r="A113" s="362" t="s">
        <v>69</v>
      </c>
      <c r="B113" s="359" t="s">
        <v>242</v>
      </c>
      <c r="C113" s="400"/>
      <c r="D113" s="400"/>
      <c r="E113" s="400"/>
      <c r="F113" s="400"/>
      <c r="G113" s="400"/>
      <c r="H113" s="812">
        <f t="shared" si="2"/>
        <v>0</v>
      </c>
    </row>
    <row r="114" spans="1:8" x14ac:dyDescent="0.3">
      <c r="A114" s="362" t="s">
        <v>71</v>
      </c>
      <c r="B114" s="359" t="s">
        <v>243</v>
      </c>
      <c r="C114" s="399"/>
      <c r="D114" s="399">
        <v>0</v>
      </c>
      <c r="E114" s="399">
        <v>0</v>
      </c>
      <c r="F114" s="399">
        <v>0</v>
      </c>
      <c r="G114" s="399">
        <v>0</v>
      </c>
      <c r="H114" s="812">
        <f t="shared" si="2"/>
        <v>0</v>
      </c>
    </row>
    <row r="115" spans="1:8" ht="12" customHeight="1" x14ac:dyDescent="0.3">
      <c r="A115" s="362" t="s">
        <v>73</v>
      </c>
      <c r="B115" s="359" t="s">
        <v>244</v>
      </c>
      <c r="C115" s="399"/>
      <c r="D115" s="399"/>
      <c r="E115" s="399"/>
      <c r="F115" s="399"/>
      <c r="G115" s="399"/>
      <c r="H115" s="812">
        <f t="shared" si="2"/>
        <v>0</v>
      </c>
    </row>
    <row r="116" spans="1:8" ht="12" customHeight="1" x14ac:dyDescent="0.3">
      <c r="A116" s="362" t="s">
        <v>75</v>
      </c>
      <c r="B116" s="390" t="s">
        <v>245</v>
      </c>
      <c r="C116" s="399"/>
      <c r="D116" s="399"/>
      <c r="E116" s="399"/>
      <c r="F116" s="399"/>
      <c r="G116" s="399"/>
      <c r="H116" s="812">
        <f t="shared" si="2"/>
        <v>0</v>
      </c>
    </row>
    <row r="117" spans="1:8" ht="21.75" customHeight="1" x14ac:dyDescent="0.3">
      <c r="A117" s="362" t="s">
        <v>77</v>
      </c>
      <c r="B117" s="389" t="s">
        <v>246</v>
      </c>
      <c r="C117" s="399"/>
      <c r="D117" s="399"/>
      <c r="E117" s="399"/>
      <c r="F117" s="399"/>
      <c r="G117" s="399"/>
      <c r="H117" s="812">
        <f t="shared" si="2"/>
        <v>0</v>
      </c>
    </row>
    <row r="118" spans="1:8" ht="24" customHeight="1" x14ac:dyDescent="0.3">
      <c r="A118" s="362" t="s">
        <v>247</v>
      </c>
      <c r="B118" s="405" t="s">
        <v>248</v>
      </c>
      <c r="C118" s="399"/>
      <c r="D118" s="399"/>
      <c r="E118" s="399"/>
      <c r="F118" s="399"/>
      <c r="G118" s="399"/>
      <c r="H118" s="812">
        <f t="shared" si="2"/>
        <v>0</v>
      </c>
    </row>
    <row r="119" spans="1:8" ht="12" customHeight="1" x14ac:dyDescent="0.3">
      <c r="A119" s="362" t="s">
        <v>249</v>
      </c>
      <c r="B119" s="378" t="s">
        <v>227</v>
      </c>
      <c r="C119" s="399"/>
      <c r="D119" s="399"/>
      <c r="E119" s="399"/>
      <c r="F119" s="399"/>
      <c r="G119" s="399"/>
      <c r="H119" s="812">
        <f t="shared" si="2"/>
        <v>0</v>
      </c>
    </row>
    <row r="120" spans="1:8" ht="12" customHeight="1" x14ac:dyDescent="0.3">
      <c r="A120" s="362" t="s">
        <v>250</v>
      </c>
      <c r="B120" s="378" t="s">
        <v>251</v>
      </c>
      <c r="C120" s="399"/>
      <c r="D120" s="399"/>
      <c r="E120" s="399"/>
      <c r="F120" s="399"/>
      <c r="G120" s="399"/>
      <c r="H120" s="812">
        <f t="shared" si="2"/>
        <v>0</v>
      </c>
    </row>
    <row r="121" spans="1:8" ht="12" customHeight="1" x14ac:dyDescent="0.3">
      <c r="A121" s="362" t="s">
        <v>252</v>
      </c>
      <c r="B121" s="378" t="s">
        <v>253</v>
      </c>
      <c r="C121" s="399"/>
      <c r="D121" s="399"/>
      <c r="E121" s="399"/>
      <c r="F121" s="399"/>
      <c r="G121" s="399"/>
      <c r="H121" s="812">
        <f t="shared" si="2"/>
        <v>0</v>
      </c>
    </row>
    <row r="122" spans="1:8" s="427" customFormat="1" ht="12" customHeight="1" x14ac:dyDescent="0.3">
      <c r="A122" s="362" t="s">
        <v>254</v>
      </c>
      <c r="B122" s="378" t="s">
        <v>233</v>
      </c>
      <c r="C122" s="399"/>
      <c r="D122" s="399"/>
      <c r="E122" s="399"/>
      <c r="F122" s="399"/>
      <c r="G122" s="399"/>
      <c r="H122" s="812">
        <f t="shared" si="2"/>
        <v>0</v>
      </c>
    </row>
    <row r="123" spans="1:8" ht="12" customHeight="1" x14ac:dyDescent="0.3">
      <c r="A123" s="362" t="s">
        <v>255</v>
      </c>
      <c r="B123" s="378" t="s">
        <v>256</v>
      </c>
      <c r="C123" s="399"/>
      <c r="D123" s="399"/>
      <c r="E123" s="399"/>
      <c r="F123" s="399"/>
      <c r="G123" s="399"/>
      <c r="H123" s="812">
        <f t="shared" si="2"/>
        <v>0</v>
      </c>
    </row>
    <row r="124" spans="1:8" ht="12" customHeight="1" thickBot="1" x14ac:dyDescent="0.35">
      <c r="A124" s="360" t="s">
        <v>257</v>
      </c>
      <c r="B124" s="378" t="s">
        <v>258</v>
      </c>
      <c r="C124" s="401"/>
      <c r="D124" s="401"/>
      <c r="E124" s="401"/>
      <c r="F124" s="401"/>
      <c r="G124" s="401"/>
      <c r="H124" s="812">
        <f t="shared" si="2"/>
        <v>0</v>
      </c>
    </row>
    <row r="125" spans="1:8" ht="12" customHeight="1" thickBot="1" x14ac:dyDescent="0.35">
      <c r="A125" s="367" t="s">
        <v>79</v>
      </c>
      <c r="B125" s="375" t="s">
        <v>259</v>
      </c>
      <c r="C125" s="398">
        <f>+C126+C127</f>
        <v>0</v>
      </c>
      <c r="D125" s="398">
        <f>+D126+D127</f>
        <v>0</v>
      </c>
      <c r="E125" s="398">
        <f>+E126+E127</f>
        <v>0</v>
      </c>
      <c r="F125" s="398">
        <f>+F126+F127</f>
        <v>0</v>
      </c>
      <c r="G125" s="398">
        <f>+G126+G127</f>
        <v>0</v>
      </c>
      <c r="H125" s="812">
        <f t="shared" si="2"/>
        <v>0</v>
      </c>
    </row>
    <row r="126" spans="1:8" ht="12" customHeight="1" x14ac:dyDescent="0.3">
      <c r="A126" s="362" t="s">
        <v>81</v>
      </c>
      <c r="B126" s="356" t="s">
        <v>260</v>
      </c>
      <c r="C126" s="400"/>
      <c r="D126" s="400"/>
      <c r="E126" s="400"/>
      <c r="F126" s="400"/>
      <c r="G126" s="400"/>
      <c r="H126" s="812">
        <f t="shared" si="2"/>
        <v>0</v>
      </c>
    </row>
    <row r="127" spans="1:8" ht="12" customHeight="1" thickBot="1" x14ac:dyDescent="0.35">
      <c r="A127" s="363" t="s">
        <v>83</v>
      </c>
      <c r="B127" s="359" t="s">
        <v>261</v>
      </c>
      <c r="C127" s="401"/>
      <c r="D127" s="401"/>
      <c r="E127" s="401"/>
      <c r="F127" s="401"/>
      <c r="G127" s="401"/>
      <c r="H127" s="812">
        <f t="shared" si="2"/>
        <v>0</v>
      </c>
    </row>
    <row r="128" spans="1:8" ht="12" customHeight="1" thickBot="1" x14ac:dyDescent="0.35">
      <c r="A128" s="367" t="s">
        <v>262</v>
      </c>
      <c r="B128" s="375" t="s">
        <v>263</v>
      </c>
      <c r="C128" s="398">
        <f>+C95+C111+C125</f>
        <v>100098028</v>
      </c>
      <c r="D128" s="398">
        <f>+D95+D111+D125</f>
        <v>96286334</v>
      </c>
      <c r="E128" s="398">
        <f>+E95+E111+E125</f>
        <v>96286334</v>
      </c>
      <c r="F128" s="398">
        <f>+F95+F111+F125</f>
        <v>96286334</v>
      </c>
      <c r="G128" s="398">
        <f>+G95+G111+G125</f>
        <v>96286334</v>
      </c>
      <c r="H128" s="812">
        <f t="shared" si="2"/>
        <v>0</v>
      </c>
    </row>
    <row r="129" spans="1:9" ht="12" customHeight="1" thickBot="1" x14ac:dyDescent="0.35">
      <c r="A129" s="367" t="s">
        <v>107</v>
      </c>
      <c r="B129" s="375" t="s">
        <v>264</v>
      </c>
      <c r="C129" s="398">
        <f>+C130+C131+C132</f>
        <v>0</v>
      </c>
      <c r="D129" s="398">
        <f>+D130+D131+D132</f>
        <v>0</v>
      </c>
      <c r="E129" s="398">
        <f>+E130+E131+E132</f>
        <v>0</v>
      </c>
      <c r="F129" s="398">
        <f>+F130+F131+F132</f>
        <v>0</v>
      </c>
      <c r="G129" s="398">
        <f>+G130+G131+G132</f>
        <v>0</v>
      </c>
      <c r="H129" s="812">
        <f t="shared" si="2"/>
        <v>0</v>
      </c>
    </row>
    <row r="130" spans="1:9" ht="12" customHeight="1" x14ac:dyDescent="0.3">
      <c r="A130" s="362" t="s">
        <v>109</v>
      </c>
      <c r="B130" s="356" t="s">
        <v>265</v>
      </c>
      <c r="C130" s="399"/>
      <c r="D130" s="399"/>
      <c r="E130" s="399"/>
      <c r="F130" s="399"/>
      <c r="G130" s="399"/>
      <c r="H130" s="812">
        <f t="shared" si="2"/>
        <v>0</v>
      </c>
    </row>
    <row r="131" spans="1:9" ht="12" customHeight="1" x14ac:dyDescent="0.3">
      <c r="A131" s="362" t="s">
        <v>111</v>
      </c>
      <c r="B131" s="356" t="s">
        <v>266</v>
      </c>
      <c r="C131" s="399"/>
      <c r="D131" s="399"/>
      <c r="E131" s="399"/>
      <c r="F131" s="399"/>
      <c r="G131" s="399"/>
      <c r="H131" s="812">
        <f t="shared" si="2"/>
        <v>0</v>
      </c>
    </row>
    <row r="132" spans="1:9" ht="12" customHeight="1" thickBot="1" x14ac:dyDescent="0.35">
      <c r="A132" s="360" t="s">
        <v>113</v>
      </c>
      <c r="B132" s="354" t="s">
        <v>267</v>
      </c>
      <c r="C132" s="399"/>
      <c r="D132" s="399"/>
      <c r="E132" s="399"/>
      <c r="F132" s="399"/>
      <c r="G132" s="399"/>
      <c r="H132" s="812">
        <f t="shared" si="2"/>
        <v>0</v>
      </c>
    </row>
    <row r="133" spans="1:9" ht="12" customHeight="1" thickBot="1" x14ac:dyDescent="0.35">
      <c r="A133" s="367" t="s">
        <v>129</v>
      </c>
      <c r="B133" s="375" t="s">
        <v>268</v>
      </c>
      <c r="C133" s="398">
        <f>+C134+C135+C137+C136</f>
        <v>0</v>
      </c>
      <c r="D133" s="398">
        <f>+D134+D135+D137+D136</f>
        <v>0</v>
      </c>
      <c r="E133" s="398">
        <f>+E134+E135+E137+E136</f>
        <v>0</v>
      </c>
      <c r="F133" s="398">
        <f>+F134+F135+F137+F136</f>
        <v>0</v>
      </c>
      <c r="G133" s="398">
        <f>+G134+G135+G137+G136</f>
        <v>0</v>
      </c>
      <c r="H133" s="812">
        <f t="shared" si="2"/>
        <v>0</v>
      </c>
    </row>
    <row r="134" spans="1:9" ht="12" customHeight="1" x14ac:dyDescent="0.3">
      <c r="A134" s="362" t="s">
        <v>131</v>
      </c>
      <c r="B134" s="356" t="s">
        <v>269</v>
      </c>
      <c r="C134" s="399"/>
      <c r="D134" s="399"/>
      <c r="E134" s="399"/>
      <c r="F134" s="399"/>
      <c r="G134" s="399"/>
      <c r="H134" s="812">
        <f t="shared" si="2"/>
        <v>0</v>
      </c>
    </row>
    <row r="135" spans="1:9" ht="12" customHeight="1" x14ac:dyDescent="0.3">
      <c r="A135" s="362" t="s">
        <v>133</v>
      </c>
      <c r="B135" s="356" t="s">
        <v>270</v>
      </c>
      <c r="C135" s="399"/>
      <c r="D135" s="399"/>
      <c r="E135" s="399"/>
      <c r="F135" s="399"/>
      <c r="G135" s="399"/>
      <c r="H135" s="812">
        <f t="shared" si="2"/>
        <v>0</v>
      </c>
    </row>
    <row r="136" spans="1:9" ht="12" customHeight="1" x14ac:dyDescent="0.3">
      <c r="A136" s="362" t="s">
        <v>135</v>
      </c>
      <c r="B136" s="356" t="s">
        <v>271</v>
      </c>
      <c r="C136" s="399"/>
      <c r="D136" s="399"/>
      <c r="E136" s="399"/>
      <c r="F136" s="399"/>
      <c r="G136" s="399"/>
      <c r="H136" s="812">
        <f t="shared" si="2"/>
        <v>0</v>
      </c>
    </row>
    <row r="137" spans="1:9" ht="12" customHeight="1" thickBot="1" x14ac:dyDescent="0.35">
      <c r="A137" s="360" t="s">
        <v>137</v>
      </c>
      <c r="B137" s="354" t="s">
        <v>272</v>
      </c>
      <c r="C137" s="399"/>
      <c r="D137" s="399"/>
      <c r="E137" s="399"/>
      <c r="F137" s="399"/>
      <c r="G137" s="399"/>
      <c r="H137" s="812">
        <f t="shared" si="2"/>
        <v>0</v>
      </c>
    </row>
    <row r="138" spans="1:9" ht="12" customHeight="1" thickBot="1" x14ac:dyDescent="0.35">
      <c r="A138" s="367" t="s">
        <v>273</v>
      </c>
      <c r="B138" s="375" t="s">
        <v>274</v>
      </c>
      <c r="C138" s="404">
        <f>+C139+C140+C141+C142</f>
        <v>0</v>
      </c>
      <c r="D138" s="404">
        <f>+D139+D140+D141+D142</f>
        <v>0</v>
      </c>
      <c r="E138" s="404">
        <f>+E139+E140+E141+E142</f>
        <v>0</v>
      </c>
      <c r="F138" s="404">
        <f>+F139+F140+F141+F142</f>
        <v>0</v>
      </c>
      <c r="G138" s="404">
        <f>+G139+G140+G141+G142</f>
        <v>0</v>
      </c>
      <c r="H138" s="812">
        <f t="shared" si="2"/>
        <v>0</v>
      </c>
    </row>
    <row r="139" spans="1:9" ht="12" customHeight="1" x14ac:dyDescent="0.3">
      <c r="A139" s="362" t="s">
        <v>143</v>
      </c>
      <c r="B139" s="356" t="s">
        <v>275</v>
      </c>
      <c r="C139" s="399"/>
      <c r="D139" s="399"/>
      <c r="E139" s="399"/>
      <c r="F139" s="399"/>
      <c r="G139" s="399"/>
      <c r="H139" s="812">
        <f t="shared" si="2"/>
        <v>0</v>
      </c>
    </row>
    <row r="140" spans="1:9" ht="12" customHeight="1" x14ac:dyDescent="0.3">
      <c r="A140" s="362" t="s">
        <v>145</v>
      </c>
      <c r="B140" s="356" t="s">
        <v>276</v>
      </c>
      <c r="C140" s="399"/>
      <c r="D140" s="399"/>
      <c r="E140" s="399"/>
      <c r="F140" s="399"/>
      <c r="G140" s="399"/>
      <c r="H140" s="812">
        <f t="shared" si="2"/>
        <v>0</v>
      </c>
    </row>
    <row r="141" spans="1:9" ht="12" customHeight="1" x14ac:dyDescent="0.3">
      <c r="A141" s="362" t="s">
        <v>147</v>
      </c>
      <c r="B141" s="356" t="s">
        <v>277</v>
      </c>
      <c r="C141" s="399"/>
      <c r="D141" s="399"/>
      <c r="E141" s="399"/>
      <c r="F141" s="399"/>
      <c r="G141" s="399"/>
      <c r="H141" s="812">
        <f t="shared" si="2"/>
        <v>0</v>
      </c>
    </row>
    <row r="142" spans="1:9" ht="12" customHeight="1" thickBot="1" x14ac:dyDescent="0.35">
      <c r="A142" s="360" t="s">
        <v>149</v>
      </c>
      <c r="B142" s="354" t="s">
        <v>278</v>
      </c>
      <c r="C142" s="399"/>
      <c r="D142" s="399"/>
      <c r="E142" s="399"/>
      <c r="F142" s="399"/>
      <c r="G142" s="399"/>
      <c r="H142" s="812">
        <f t="shared" si="2"/>
        <v>0</v>
      </c>
    </row>
    <row r="143" spans="1:9" ht="15" customHeight="1" thickBot="1" x14ac:dyDescent="0.35">
      <c r="A143" s="367" t="s">
        <v>151</v>
      </c>
      <c r="B143" s="375" t="s">
        <v>279</v>
      </c>
      <c r="C143" s="94">
        <f>+C144+C145+C146+C147</f>
        <v>0</v>
      </c>
      <c r="D143" s="94">
        <f>+D144+D145+D146+D147</f>
        <v>0</v>
      </c>
      <c r="E143" s="94">
        <f>+E144+E145+E146+E147</f>
        <v>0</v>
      </c>
      <c r="F143" s="94">
        <f>+F144+F145+F146+F147</f>
        <v>0</v>
      </c>
      <c r="G143" s="94">
        <f>+G144+G145+G146+G147</f>
        <v>0</v>
      </c>
      <c r="H143" s="812">
        <f t="shared" si="2"/>
        <v>0</v>
      </c>
      <c r="I143" s="416"/>
    </row>
    <row r="144" spans="1:9" s="408" customFormat="1" ht="12.9" customHeight="1" x14ac:dyDescent="0.3">
      <c r="A144" s="362" t="s">
        <v>153</v>
      </c>
      <c r="B144" s="356" t="s">
        <v>280</v>
      </c>
      <c r="C144" s="399"/>
      <c r="D144" s="399"/>
      <c r="E144" s="399"/>
      <c r="F144" s="399"/>
      <c r="G144" s="399"/>
      <c r="H144" s="812">
        <f t="shared" si="2"/>
        <v>0</v>
      </c>
    </row>
    <row r="145" spans="1:8" ht="12.75" customHeight="1" x14ac:dyDescent="0.3">
      <c r="A145" s="362" t="s">
        <v>155</v>
      </c>
      <c r="B145" s="356" t="s">
        <v>281</v>
      </c>
      <c r="C145" s="399"/>
      <c r="D145" s="399"/>
      <c r="E145" s="399"/>
      <c r="F145" s="399"/>
      <c r="G145" s="399"/>
      <c r="H145" s="812">
        <f t="shared" si="2"/>
        <v>0</v>
      </c>
    </row>
    <row r="146" spans="1:8" ht="12.75" customHeight="1" x14ac:dyDescent="0.3">
      <c r="A146" s="362" t="s">
        <v>157</v>
      </c>
      <c r="B146" s="356" t="s">
        <v>282</v>
      </c>
      <c r="C146" s="399"/>
      <c r="D146" s="399"/>
      <c r="E146" s="399"/>
      <c r="F146" s="399"/>
      <c r="G146" s="399"/>
      <c r="H146" s="812">
        <f t="shared" si="2"/>
        <v>0</v>
      </c>
    </row>
    <row r="147" spans="1:8" ht="12.75" customHeight="1" thickBot="1" x14ac:dyDescent="0.35">
      <c r="A147" s="362" t="s">
        <v>159</v>
      </c>
      <c r="B147" s="356" t="s">
        <v>283</v>
      </c>
      <c r="C147" s="399"/>
      <c r="D147" s="399"/>
      <c r="E147" s="399"/>
      <c r="F147" s="399"/>
      <c r="G147" s="399"/>
      <c r="H147" s="812">
        <f t="shared" si="2"/>
        <v>0</v>
      </c>
    </row>
    <row r="148" spans="1:8" ht="16.2" thickBot="1" x14ac:dyDescent="0.35">
      <c r="A148" s="367" t="s">
        <v>161</v>
      </c>
      <c r="B148" s="375" t="s">
        <v>284</v>
      </c>
      <c r="C148" s="349">
        <f>+C129+C133+C138+C143</f>
        <v>0</v>
      </c>
      <c r="D148" s="349">
        <f>+D129+D133+D138+D143</f>
        <v>0</v>
      </c>
      <c r="E148" s="349">
        <f>+E129+E133+E138+E143</f>
        <v>0</v>
      </c>
      <c r="F148" s="349">
        <f>+F129+F133+F138+F143</f>
        <v>0</v>
      </c>
      <c r="G148" s="349">
        <f>+G129+G133+G138+G143</f>
        <v>0</v>
      </c>
      <c r="H148" s="812">
        <f t="shared" si="2"/>
        <v>0</v>
      </c>
    </row>
    <row r="149" spans="1:8" ht="16.2" thickBot="1" x14ac:dyDescent="0.35">
      <c r="A149" s="391" t="s">
        <v>285</v>
      </c>
      <c r="B149" s="394" t="s">
        <v>286</v>
      </c>
      <c r="C149" s="349">
        <f>+C128+C148</f>
        <v>100098028</v>
      </c>
      <c r="D149" s="349">
        <f>+D128+D148</f>
        <v>96286334</v>
      </c>
      <c r="E149" s="349">
        <f>+E128+E148</f>
        <v>96286334</v>
      </c>
      <c r="F149" s="349">
        <f>+F128+F148</f>
        <v>96286334</v>
      </c>
      <c r="G149" s="349">
        <f>+G128+G148</f>
        <v>96286334</v>
      </c>
      <c r="H149" s="812">
        <f t="shared" si="2"/>
        <v>0</v>
      </c>
    </row>
    <row r="150" spans="1:8" x14ac:dyDescent="0.3">
      <c r="D150" s="811">
        <f>D149-D87</f>
        <v>0</v>
      </c>
      <c r="E150" s="811">
        <f>E149-E87</f>
        <v>0</v>
      </c>
      <c r="G150" s="812">
        <f>G87-G149</f>
        <v>0</v>
      </c>
    </row>
    <row r="151" spans="1:8" ht="7.5" customHeight="1" x14ac:dyDescent="0.3"/>
    <row r="153" spans="1:8" ht="12.75" customHeight="1" x14ac:dyDescent="0.3"/>
    <row r="154" spans="1:8" ht="12.75" customHeight="1" x14ac:dyDescent="0.3"/>
    <row r="155" spans="1:8" ht="12.75" customHeight="1" x14ac:dyDescent="0.3"/>
    <row r="156" spans="1:8" ht="12.75" customHeight="1" x14ac:dyDescent="0.3"/>
    <row r="157" spans="1:8" ht="12.75" customHeight="1" x14ac:dyDescent="0.3"/>
    <row r="158" spans="1:8" ht="12.75" customHeight="1" x14ac:dyDescent="0.3">
      <c r="A158" s="406"/>
      <c r="B158" s="406"/>
    </row>
    <row r="159" spans="1:8" ht="12.75" customHeight="1" x14ac:dyDescent="0.3">
      <c r="A159" s="406"/>
      <c r="B159" s="406"/>
    </row>
    <row r="160" spans="1:8" s="395" customFormat="1" ht="12.75" customHeight="1" x14ac:dyDescent="0.3">
      <c r="C160" s="396"/>
      <c r="D160" s="396"/>
      <c r="E160" s="396"/>
    </row>
  </sheetData>
  <mergeCells count="8">
    <mergeCell ref="A92:A93"/>
    <mergeCell ref="B92:B93"/>
    <mergeCell ref="A3:E3"/>
    <mergeCell ref="A5:A6"/>
    <mergeCell ref="B5:B6"/>
    <mergeCell ref="A90:E90"/>
    <mergeCell ref="C5:G5"/>
    <mergeCell ref="C92:G92"/>
  </mergeCells>
  <printOptions horizontalCentered="1"/>
  <pageMargins left="0.70866141732283472" right="0.70866141732283472" top="1.3385826771653544" bottom="0.74803149606299213" header="0.78740157480314965" footer="0.31496062992125984"/>
  <pageSetup paperSize="9" scale="62" orientation="portrait" r:id="rId1"/>
  <headerFooter>
    <oddHeader xml:space="preserve">&amp;C&amp;"Times New Roman CE,Félkövér"ZÖLDFA BÖLCSÖDE
ELEMI KÖLTSÉGVETÉSÉNEK TELJESÍTÉSE &amp;"Times New Roman CE,Normál"
&amp;R&amp;"Times New Roman CE,Félkövér dőlt"17_18. mell. a 2/2020. (II.28.) önk. rendelethez
</oddHeader>
  </headerFooter>
  <rowBreaks count="1" manualBreakCount="1">
    <brk id="89" max="6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H160"/>
  <sheetViews>
    <sheetView view="pageLayout" topLeftCell="A90" zoomScaleNormal="130" zoomScaleSheetLayoutView="94" workbookViewId="0">
      <selection activeCell="G161" sqref="G161"/>
    </sheetView>
  </sheetViews>
  <sheetFormatPr defaultColWidth="9.33203125" defaultRowHeight="15.6" x14ac:dyDescent="0.3"/>
  <cols>
    <col min="1" max="1" width="9.44140625" style="395" customWidth="1"/>
    <col min="2" max="2" width="60.77734375" style="395" customWidth="1"/>
    <col min="3" max="3" width="15.77734375" style="396" customWidth="1"/>
    <col min="4" max="4" width="12.44140625" style="396" customWidth="1"/>
    <col min="5" max="5" width="14.109375" style="396" customWidth="1"/>
    <col min="6" max="7" width="12.6640625" style="406" customWidth="1"/>
    <col min="8" max="8" width="10.33203125" style="406" bestFit="1" customWidth="1"/>
    <col min="9" max="16384" width="9.33203125" style="406"/>
  </cols>
  <sheetData>
    <row r="1" spans="1:8" ht="3" customHeight="1" x14ac:dyDescent="0.3">
      <c r="B1" s="764"/>
    </row>
    <row r="2" spans="1:8" ht="5.25" customHeight="1" thickBot="1" x14ac:dyDescent="0.35"/>
    <row r="3" spans="1:8" ht="15.9" customHeight="1" x14ac:dyDescent="0.3">
      <c r="A3" s="1617" t="s">
        <v>39</v>
      </c>
      <c r="B3" s="1618"/>
      <c r="C3" s="1618"/>
      <c r="D3" s="1618"/>
      <c r="E3" s="1618"/>
      <c r="F3" s="1542"/>
      <c r="G3" s="1543"/>
    </row>
    <row r="4" spans="1:8" ht="15.9" customHeight="1" thickBot="1" x14ac:dyDescent="0.35">
      <c r="A4" s="1405" t="s">
        <v>2127</v>
      </c>
      <c r="B4" s="42"/>
      <c r="C4" s="393"/>
      <c r="D4" s="393"/>
      <c r="E4" s="1546"/>
      <c r="F4" s="1544"/>
      <c r="G4" s="1406" t="s">
        <v>1690</v>
      </c>
    </row>
    <row r="5" spans="1:8" ht="15.9" customHeight="1" thickBot="1" x14ac:dyDescent="0.35">
      <c r="A5" s="1624" t="s">
        <v>41</v>
      </c>
      <c r="B5" s="1626" t="s">
        <v>42</v>
      </c>
      <c r="C5" s="1628" t="str">
        <f>+'4_Önkormányzat'!C3:E3</f>
        <v>2019. évi</v>
      </c>
      <c r="D5" s="1629"/>
      <c r="E5" s="1629"/>
      <c r="F5" s="1629"/>
      <c r="G5" s="1630"/>
    </row>
    <row r="6" spans="1:8" ht="38.1" customHeight="1" thickBot="1" x14ac:dyDescent="0.35">
      <c r="A6" s="1625"/>
      <c r="B6" s="1627"/>
      <c r="C6" s="1538" t="s">
        <v>43</v>
      </c>
      <c r="D6" s="1538" t="s">
        <v>2175</v>
      </c>
      <c r="E6" s="1538" t="s">
        <v>2173</v>
      </c>
      <c r="F6" s="1541" t="s">
        <v>2174</v>
      </c>
      <c r="G6" s="1541" t="s">
        <v>2182</v>
      </c>
    </row>
    <row r="7" spans="1:8" s="407" customFormat="1" ht="12" customHeight="1" thickBot="1" x14ac:dyDescent="0.25">
      <c r="A7" s="372" t="s">
        <v>46</v>
      </c>
      <c r="B7" s="373" t="s">
        <v>47</v>
      </c>
      <c r="C7" s="373" t="s">
        <v>48</v>
      </c>
      <c r="D7" s="373" t="s">
        <v>49</v>
      </c>
      <c r="E7" s="373" t="s">
        <v>50</v>
      </c>
      <c r="F7" s="373" t="s">
        <v>50</v>
      </c>
      <c r="G7" s="373" t="s">
        <v>294</v>
      </c>
    </row>
    <row r="8" spans="1:8" s="408" customFormat="1" ht="12" customHeight="1" thickBot="1" x14ac:dyDescent="0.3">
      <c r="A8" s="367" t="s">
        <v>51</v>
      </c>
      <c r="B8" s="368" t="s">
        <v>52</v>
      </c>
      <c r="C8" s="398">
        <f>SUM(C9:C14)</f>
        <v>0</v>
      </c>
      <c r="D8" s="398">
        <f>SUM(D9:D14)</f>
        <v>0</v>
      </c>
      <c r="E8" s="398">
        <f>SUM(E9:E14)</f>
        <v>0</v>
      </c>
      <c r="F8" s="398">
        <f>SUM(F9:F14)</f>
        <v>0</v>
      </c>
      <c r="G8" s="398">
        <f>SUM(G9:G14)</f>
        <v>0</v>
      </c>
      <c r="H8" s="912">
        <f>G8-F8</f>
        <v>0</v>
      </c>
    </row>
    <row r="9" spans="1:8" s="408" customFormat="1" ht="12" customHeight="1" x14ac:dyDescent="0.25">
      <c r="A9" s="362" t="s">
        <v>53</v>
      </c>
      <c r="B9" s="409" t="s">
        <v>54</v>
      </c>
      <c r="C9" s="400"/>
      <c r="D9" s="400"/>
      <c r="E9" s="400"/>
      <c r="F9" s="400"/>
      <c r="G9" s="400"/>
      <c r="H9" s="912">
        <f t="shared" ref="H9:H72" si="0">G9-F9</f>
        <v>0</v>
      </c>
    </row>
    <row r="10" spans="1:8" s="408" customFormat="1" ht="12" customHeight="1" x14ac:dyDescent="0.25">
      <c r="A10" s="361" t="s">
        <v>55</v>
      </c>
      <c r="B10" s="410" t="s">
        <v>56</v>
      </c>
      <c r="C10" s="399"/>
      <c r="D10" s="399"/>
      <c r="E10" s="399"/>
      <c r="F10" s="399"/>
      <c r="G10" s="399"/>
      <c r="H10" s="912">
        <f t="shared" si="0"/>
        <v>0</v>
      </c>
    </row>
    <row r="11" spans="1:8" s="408" customFormat="1" ht="12" customHeight="1" x14ac:dyDescent="0.25">
      <c r="A11" s="361" t="s">
        <v>57</v>
      </c>
      <c r="B11" s="410" t="s">
        <v>58</v>
      </c>
      <c r="C11" s="399"/>
      <c r="D11" s="399"/>
      <c r="E11" s="399"/>
      <c r="F11" s="399"/>
      <c r="G11" s="399"/>
      <c r="H11" s="912">
        <f t="shared" si="0"/>
        <v>0</v>
      </c>
    </row>
    <row r="12" spans="1:8" s="408" customFormat="1" ht="12" customHeight="1" x14ac:dyDescent="0.25">
      <c r="A12" s="361" t="s">
        <v>59</v>
      </c>
      <c r="B12" s="410" t="s">
        <v>60</v>
      </c>
      <c r="C12" s="399"/>
      <c r="D12" s="399"/>
      <c r="E12" s="399"/>
      <c r="F12" s="399"/>
      <c r="G12" s="399"/>
      <c r="H12" s="912">
        <f t="shared" si="0"/>
        <v>0</v>
      </c>
    </row>
    <row r="13" spans="1:8" s="408" customFormat="1" ht="12" customHeight="1" x14ac:dyDescent="0.25">
      <c r="A13" s="361" t="s">
        <v>61</v>
      </c>
      <c r="B13" s="410" t="s">
        <v>287</v>
      </c>
      <c r="C13" s="399"/>
      <c r="D13" s="399"/>
      <c r="E13" s="399"/>
      <c r="F13" s="399"/>
      <c r="G13" s="399"/>
      <c r="H13" s="912">
        <f t="shared" si="0"/>
        <v>0</v>
      </c>
    </row>
    <row r="14" spans="1:8" s="408" customFormat="1" ht="12" customHeight="1" thickBot="1" x14ac:dyDescent="0.3">
      <c r="A14" s="363" t="s">
        <v>63</v>
      </c>
      <c r="B14" s="411" t="s">
        <v>64</v>
      </c>
      <c r="C14" s="401"/>
      <c r="D14" s="401"/>
      <c r="E14" s="401"/>
      <c r="F14" s="401"/>
      <c r="G14" s="401"/>
      <c r="H14" s="912">
        <f t="shared" si="0"/>
        <v>0</v>
      </c>
    </row>
    <row r="15" spans="1:8" s="408" customFormat="1" ht="12" customHeight="1" thickBot="1" x14ac:dyDescent="0.3">
      <c r="A15" s="367" t="s">
        <v>65</v>
      </c>
      <c r="B15" s="388" t="s">
        <v>66</v>
      </c>
      <c r="C15" s="398">
        <f>SUM(C16:C20)</f>
        <v>0</v>
      </c>
      <c r="D15" s="398">
        <f>SUM(D16:D20)</f>
        <v>0</v>
      </c>
      <c r="E15" s="398">
        <f>SUM(E16:E20)</f>
        <v>0</v>
      </c>
      <c r="F15" s="398">
        <f>SUM(F16:F20)</f>
        <v>0</v>
      </c>
      <c r="G15" s="398">
        <f>SUM(G16:G20)</f>
        <v>0</v>
      </c>
      <c r="H15" s="912">
        <f t="shared" si="0"/>
        <v>0</v>
      </c>
    </row>
    <row r="16" spans="1:8" s="408" customFormat="1" ht="12" customHeight="1" x14ac:dyDescent="0.25">
      <c r="A16" s="362" t="s">
        <v>67</v>
      </c>
      <c r="B16" s="409" t="s">
        <v>68</v>
      </c>
      <c r="C16" s="400"/>
      <c r="D16" s="400"/>
      <c r="E16" s="400"/>
      <c r="F16" s="400"/>
      <c r="G16" s="400"/>
      <c r="H16" s="912">
        <f t="shared" si="0"/>
        <v>0</v>
      </c>
    </row>
    <row r="17" spans="1:8" s="408" customFormat="1" ht="12" customHeight="1" x14ac:dyDescent="0.25">
      <c r="A17" s="361" t="s">
        <v>69</v>
      </c>
      <c r="B17" s="410" t="s">
        <v>70</v>
      </c>
      <c r="C17" s="399"/>
      <c r="D17" s="399"/>
      <c r="E17" s="399"/>
      <c r="F17" s="399"/>
      <c r="G17" s="399"/>
      <c r="H17" s="912">
        <f t="shared" si="0"/>
        <v>0</v>
      </c>
    </row>
    <row r="18" spans="1:8" s="408" customFormat="1" ht="12" customHeight="1" x14ac:dyDescent="0.25">
      <c r="A18" s="361" t="s">
        <v>71</v>
      </c>
      <c r="B18" s="410" t="s">
        <v>72</v>
      </c>
      <c r="C18" s="399"/>
      <c r="D18" s="399"/>
      <c r="E18" s="399"/>
      <c r="F18" s="399"/>
      <c r="G18" s="399"/>
      <c r="H18" s="912">
        <f t="shared" si="0"/>
        <v>0</v>
      </c>
    </row>
    <row r="19" spans="1:8" s="408" customFormat="1" ht="12" customHeight="1" x14ac:dyDescent="0.25">
      <c r="A19" s="361" t="s">
        <v>73</v>
      </c>
      <c r="B19" s="410" t="s">
        <v>74</v>
      </c>
      <c r="C19" s="399"/>
      <c r="D19" s="399"/>
      <c r="E19" s="399"/>
      <c r="F19" s="399"/>
      <c r="G19" s="399"/>
      <c r="H19" s="912">
        <f t="shared" si="0"/>
        <v>0</v>
      </c>
    </row>
    <row r="20" spans="1:8" s="408" customFormat="1" ht="12" customHeight="1" x14ac:dyDescent="0.25">
      <c r="A20" s="361" t="s">
        <v>75</v>
      </c>
      <c r="B20" s="410" t="s">
        <v>76</v>
      </c>
      <c r="C20" s="399"/>
      <c r="D20" s="399"/>
      <c r="E20" s="399"/>
      <c r="F20" s="399"/>
      <c r="G20" s="399"/>
      <c r="H20" s="912">
        <f t="shared" si="0"/>
        <v>0</v>
      </c>
    </row>
    <row r="21" spans="1:8" s="408" customFormat="1" ht="12" customHeight="1" thickBot="1" x14ac:dyDescent="0.3">
      <c r="A21" s="363" t="s">
        <v>77</v>
      </c>
      <c r="B21" s="411" t="s">
        <v>78</v>
      </c>
      <c r="C21" s="401"/>
      <c r="D21" s="401"/>
      <c r="E21" s="401"/>
      <c r="F21" s="401"/>
      <c r="G21" s="401"/>
      <c r="H21" s="912">
        <f t="shared" si="0"/>
        <v>0</v>
      </c>
    </row>
    <row r="22" spans="1:8" s="408" customFormat="1" ht="12" customHeight="1" thickBot="1" x14ac:dyDescent="0.3">
      <c r="A22" s="367" t="s">
        <v>79</v>
      </c>
      <c r="B22" s="368" t="s">
        <v>80</v>
      </c>
      <c r="C22" s="398">
        <f>SUM(C23:C27)</f>
        <v>0</v>
      </c>
      <c r="D22" s="398">
        <f>SUM(D23:D27)</f>
        <v>0</v>
      </c>
      <c r="E22" s="398">
        <f>SUM(E23:E27)</f>
        <v>0</v>
      </c>
      <c r="F22" s="398">
        <f>SUM(F23:F27)</f>
        <v>0</v>
      </c>
      <c r="G22" s="398">
        <f>SUM(G23:G27)</f>
        <v>0</v>
      </c>
      <c r="H22" s="912">
        <f t="shared" si="0"/>
        <v>0</v>
      </c>
    </row>
    <row r="23" spans="1:8" s="408" customFormat="1" ht="12" customHeight="1" x14ac:dyDescent="0.25">
      <c r="A23" s="362" t="s">
        <v>81</v>
      </c>
      <c r="B23" s="409" t="s">
        <v>82</v>
      </c>
      <c r="C23" s="400"/>
      <c r="D23" s="400"/>
      <c r="E23" s="400"/>
      <c r="F23" s="400"/>
      <c r="G23" s="400"/>
      <c r="H23" s="912">
        <f t="shared" si="0"/>
        <v>0</v>
      </c>
    </row>
    <row r="24" spans="1:8" s="408" customFormat="1" ht="12" customHeight="1" x14ac:dyDescent="0.25">
      <c r="A24" s="361" t="s">
        <v>83</v>
      </c>
      <c r="B24" s="410" t="s">
        <v>84</v>
      </c>
      <c r="C24" s="399"/>
      <c r="D24" s="399"/>
      <c r="E24" s="399"/>
      <c r="F24" s="399"/>
      <c r="G24" s="399"/>
      <c r="H24" s="912">
        <f t="shared" si="0"/>
        <v>0</v>
      </c>
    </row>
    <row r="25" spans="1:8" s="408" customFormat="1" ht="12" customHeight="1" x14ac:dyDescent="0.25">
      <c r="A25" s="361" t="s">
        <v>85</v>
      </c>
      <c r="B25" s="410" t="s">
        <v>86</v>
      </c>
      <c r="C25" s="399"/>
      <c r="D25" s="399"/>
      <c r="E25" s="399"/>
      <c r="F25" s="399"/>
      <c r="G25" s="399"/>
      <c r="H25" s="912">
        <f t="shared" si="0"/>
        <v>0</v>
      </c>
    </row>
    <row r="26" spans="1:8" s="408" customFormat="1" ht="12" customHeight="1" x14ac:dyDescent="0.25">
      <c r="A26" s="361" t="s">
        <v>87</v>
      </c>
      <c r="B26" s="410" t="s">
        <v>88</v>
      </c>
      <c r="C26" s="399"/>
      <c r="D26" s="399"/>
      <c r="E26" s="399"/>
      <c r="F26" s="399"/>
      <c r="G26" s="399"/>
      <c r="H26" s="912">
        <f t="shared" si="0"/>
        <v>0</v>
      </c>
    </row>
    <row r="27" spans="1:8" s="408" customFormat="1" ht="12" customHeight="1" x14ac:dyDescent="0.25">
      <c r="A27" s="361" t="s">
        <v>89</v>
      </c>
      <c r="B27" s="410" t="s">
        <v>90</v>
      </c>
      <c r="C27" s="399"/>
      <c r="D27" s="399"/>
      <c r="E27" s="399"/>
      <c r="F27" s="399"/>
      <c r="G27" s="399"/>
      <c r="H27" s="912">
        <f t="shared" si="0"/>
        <v>0</v>
      </c>
    </row>
    <row r="28" spans="1:8" s="408" customFormat="1" ht="12" customHeight="1" thickBot="1" x14ac:dyDescent="0.3">
      <c r="A28" s="363" t="s">
        <v>91</v>
      </c>
      <c r="B28" s="411" t="s">
        <v>92</v>
      </c>
      <c r="C28" s="401"/>
      <c r="D28" s="401"/>
      <c r="E28" s="401"/>
      <c r="F28" s="401"/>
      <c r="G28" s="401"/>
      <c r="H28" s="912">
        <f t="shared" si="0"/>
        <v>0</v>
      </c>
    </row>
    <row r="29" spans="1:8" s="408" customFormat="1" ht="12" customHeight="1" thickBot="1" x14ac:dyDescent="0.3">
      <c r="A29" s="367" t="s">
        <v>93</v>
      </c>
      <c r="B29" s="368" t="s">
        <v>94</v>
      </c>
      <c r="C29" s="404">
        <f>+C30+C33+C34+C35</f>
        <v>0</v>
      </c>
      <c r="D29" s="404">
        <f>+D30+D33+D34+D35</f>
        <v>0</v>
      </c>
      <c r="E29" s="404">
        <f>+E30+E33+E34+E35</f>
        <v>0</v>
      </c>
      <c r="F29" s="404">
        <f>+F30+F33+F34+F35</f>
        <v>0</v>
      </c>
      <c r="G29" s="404">
        <f>+G30+G33+G34+G35</f>
        <v>0</v>
      </c>
      <c r="H29" s="912">
        <f t="shared" si="0"/>
        <v>0</v>
      </c>
    </row>
    <row r="30" spans="1:8" s="408" customFormat="1" ht="12" customHeight="1" x14ac:dyDescent="0.25">
      <c r="A30" s="362" t="s">
        <v>95</v>
      </c>
      <c r="B30" s="409" t="s">
        <v>96</v>
      </c>
      <c r="C30" s="419">
        <f>+C31+C32</f>
        <v>0</v>
      </c>
      <c r="D30" s="419">
        <f>+D31+D32</f>
        <v>0</v>
      </c>
      <c r="E30" s="419">
        <f>+E31+E32</f>
        <v>0</v>
      </c>
      <c r="F30" s="419">
        <f>+F31+F32</f>
        <v>0</v>
      </c>
      <c r="G30" s="419">
        <f>+G31+G32</f>
        <v>0</v>
      </c>
      <c r="H30" s="912">
        <f t="shared" si="0"/>
        <v>0</v>
      </c>
    </row>
    <row r="31" spans="1:8" s="408" customFormat="1" ht="12" customHeight="1" x14ac:dyDescent="0.25">
      <c r="A31" s="361" t="s">
        <v>97</v>
      </c>
      <c r="B31" s="410" t="s">
        <v>98</v>
      </c>
      <c r="C31" s="399"/>
      <c r="D31" s="399"/>
      <c r="E31" s="399"/>
      <c r="F31" s="399"/>
      <c r="G31" s="399"/>
      <c r="H31" s="912">
        <f t="shared" si="0"/>
        <v>0</v>
      </c>
    </row>
    <row r="32" spans="1:8" s="408" customFormat="1" ht="12" customHeight="1" x14ac:dyDescent="0.25">
      <c r="A32" s="361" t="s">
        <v>99</v>
      </c>
      <c r="B32" s="410" t="s">
        <v>100</v>
      </c>
      <c r="C32" s="399"/>
      <c r="D32" s="399"/>
      <c r="E32" s="399"/>
      <c r="F32" s="399"/>
      <c r="G32" s="399"/>
      <c r="H32" s="912">
        <f t="shared" si="0"/>
        <v>0</v>
      </c>
    </row>
    <row r="33" spans="1:8" s="408" customFormat="1" ht="12" customHeight="1" x14ac:dyDescent="0.25">
      <c r="A33" s="361" t="s">
        <v>101</v>
      </c>
      <c r="B33" s="410" t="s">
        <v>102</v>
      </c>
      <c r="C33" s="399"/>
      <c r="D33" s="399"/>
      <c r="E33" s="399"/>
      <c r="F33" s="399"/>
      <c r="G33" s="399"/>
      <c r="H33" s="912">
        <f t="shared" si="0"/>
        <v>0</v>
      </c>
    </row>
    <row r="34" spans="1:8" s="408" customFormat="1" ht="12" customHeight="1" x14ac:dyDescent="0.25">
      <c r="A34" s="361" t="s">
        <v>103</v>
      </c>
      <c r="B34" s="410" t="s">
        <v>104</v>
      </c>
      <c r="C34" s="399"/>
      <c r="D34" s="399"/>
      <c r="E34" s="399"/>
      <c r="F34" s="399"/>
      <c r="G34" s="399"/>
      <c r="H34" s="912">
        <f t="shared" si="0"/>
        <v>0</v>
      </c>
    </row>
    <row r="35" spans="1:8" s="408" customFormat="1" ht="12" customHeight="1" thickBot="1" x14ac:dyDescent="0.3">
      <c r="A35" s="363" t="s">
        <v>105</v>
      </c>
      <c r="B35" s="411" t="s">
        <v>106</v>
      </c>
      <c r="C35" s="401"/>
      <c r="D35" s="401"/>
      <c r="E35" s="401"/>
      <c r="F35" s="401"/>
      <c r="G35" s="401"/>
      <c r="H35" s="912">
        <f t="shared" si="0"/>
        <v>0</v>
      </c>
    </row>
    <row r="36" spans="1:8" s="408" customFormat="1" ht="12" customHeight="1" thickBot="1" x14ac:dyDescent="0.3">
      <c r="A36" s="367" t="s">
        <v>107</v>
      </c>
      <c r="B36" s="368" t="s">
        <v>108</v>
      </c>
      <c r="C36" s="398">
        <f>SUM(C37:C46)</f>
        <v>1905000</v>
      </c>
      <c r="D36" s="398">
        <f>SUM(D37:D46)</f>
        <v>1905000</v>
      </c>
      <c r="E36" s="398">
        <f>SUM(E37:E46)</f>
        <v>1905000</v>
      </c>
      <c r="F36" s="398">
        <f>SUM(F37:F46)</f>
        <v>1905000</v>
      </c>
      <c r="G36" s="398">
        <f>SUM(G37:G46)</f>
        <v>1905000</v>
      </c>
      <c r="H36" s="912">
        <f t="shared" si="0"/>
        <v>0</v>
      </c>
    </row>
    <row r="37" spans="1:8" s="408" customFormat="1" ht="12" customHeight="1" x14ac:dyDescent="0.25">
      <c r="A37" s="362" t="s">
        <v>109</v>
      </c>
      <c r="B37" s="409" t="s">
        <v>110</v>
      </c>
      <c r="C37" s="400"/>
      <c r="D37" s="400"/>
      <c r="E37" s="400"/>
      <c r="F37" s="400"/>
      <c r="G37" s="400"/>
      <c r="H37" s="912">
        <f t="shared" si="0"/>
        <v>0</v>
      </c>
    </row>
    <row r="38" spans="1:8" s="408" customFormat="1" ht="12" customHeight="1" x14ac:dyDescent="0.25">
      <c r="A38" s="361" t="s">
        <v>111</v>
      </c>
      <c r="B38" s="410" t="s">
        <v>112</v>
      </c>
      <c r="C38" s="399"/>
      <c r="D38" s="399"/>
      <c r="E38" s="399"/>
      <c r="F38" s="399"/>
      <c r="G38" s="399">
        <v>1790325</v>
      </c>
      <c r="H38" s="912">
        <f t="shared" si="0"/>
        <v>1790325</v>
      </c>
    </row>
    <row r="39" spans="1:8" s="408" customFormat="1" ht="12" customHeight="1" x14ac:dyDescent="0.25">
      <c r="A39" s="361" t="s">
        <v>113</v>
      </c>
      <c r="B39" s="410" t="s">
        <v>114</v>
      </c>
      <c r="C39" s="399">
        <v>1500000</v>
      </c>
      <c r="D39" s="399">
        <v>1500000</v>
      </c>
      <c r="E39" s="399">
        <v>1500000</v>
      </c>
      <c r="F39" s="399">
        <v>1500000</v>
      </c>
      <c r="G39" s="399">
        <v>100000</v>
      </c>
      <c r="H39" s="912">
        <f t="shared" si="0"/>
        <v>-1400000</v>
      </c>
    </row>
    <row r="40" spans="1:8" s="408" customFormat="1" ht="12" customHeight="1" x14ac:dyDescent="0.25">
      <c r="A40" s="361" t="s">
        <v>115</v>
      </c>
      <c r="B40" s="410" t="s">
        <v>116</v>
      </c>
      <c r="C40" s="399"/>
      <c r="D40" s="399"/>
      <c r="E40" s="399"/>
      <c r="F40" s="399"/>
      <c r="G40" s="399"/>
      <c r="H40" s="912">
        <f t="shared" si="0"/>
        <v>0</v>
      </c>
    </row>
    <row r="41" spans="1:8" s="408" customFormat="1" ht="12" customHeight="1" x14ac:dyDescent="0.25">
      <c r="A41" s="361" t="s">
        <v>117</v>
      </c>
      <c r="B41" s="410" t="s">
        <v>118</v>
      </c>
      <c r="C41" s="399"/>
      <c r="D41" s="399"/>
      <c r="E41" s="399"/>
      <c r="F41" s="399"/>
      <c r="G41" s="399"/>
      <c r="H41" s="912">
        <f t="shared" si="0"/>
        <v>0</v>
      </c>
    </row>
    <row r="42" spans="1:8" s="408" customFormat="1" ht="12" customHeight="1" x14ac:dyDescent="0.25">
      <c r="A42" s="361" t="s">
        <v>119</v>
      </c>
      <c r="B42" s="410" t="s">
        <v>120</v>
      </c>
      <c r="C42" s="399">
        <v>405000</v>
      </c>
      <c r="D42" s="399">
        <v>405000</v>
      </c>
      <c r="E42" s="399">
        <v>405000</v>
      </c>
      <c r="F42" s="399">
        <v>405000</v>
      </c>
      <c r="G42" s="399">
        <v>13675</v>
      </c>
      <c r="H42" s="912">
        <f t="shared" si="0"/>
        <v>-391325</v>
      </c>
    </row>
    <row r="43" spans="1:8" s="408" customFormat="1" ht="12" customHeight="1" x14ac:dyDescent="0.25">
      <c r="A43" s="361" t="s">
        <v>121</v>
      </c>
      <c r="B43" s="410" t="s">
        <v>122</v>
      </c>
      <c r="C43" s="399"/>
      <c r="D43" s="399"/>
      <c r="E43" s="399"/>
      <c r="F43" s="399"/>
      <c r="G43" s="399"/>
      <c r="H43" s="912">
        <f t="shared" si="0"/>
        <v>0</v>
      </c>
    </row>
    <row r="44" spans="1:8" s="408" customFormat="1" ht="12" customHeight="1" x14ac:dyDescent="0.25">
      <c r="A44" s="361" t="s">
        <v>123</v>
      </c>
      <c r="B44" s="410" t="s">
        <v>124</v>
      </c>
      <c r="C44" s="399"/>
      <c r="D44" s="399"/>
      <c r="E44" s="399"/>
      <c r="F44" s="399"/>
      <c r="G44" s="399">
        <v>1000</v>
      </c>
      <c r="H44" s="912">
        <f t="shared" si="0"/>
        <v>1000</v>
      </c>
    </row>
    <row r="45" spans="1:8" s="408" customFormat="1" ht="12" customHeight="1" x14ac:dyDescent="0.25">
      <c r="A45" s="361" t="s">
        <v>125</v>
      </c>
      <c r="B45" s="410" t="s">
        <v>126</v>
      </c>
      <c r="C45" s="402"/>
      <c r="D45" s="402"/>
      <c r="E45" s="402"/>
      <c r="F45" s="402"/>
      <c r="G45" s="402"/>
      <c r="H45" s="912">
        <f t="shared" si="0"/>
        <v>0</v>
      </c>
    </row>
    <row r="46" spans="1:8" s="408" customFormat="1" ht="12" customHeight="1" thickBot="1" x14ac:dyDescent="0.3">
      <c r="A46" s="363" t="s">
        <v>127</v>
      </c>
      <c r="B46" s="411" t="s">
        <v>128</v>
      </c>
      <c r="C46" s="403"/>
      <c r="D46" s="403"/>
      <c r="E46" s="403"/>
      <c r="F46" s="403"/>
      <c r="G46" s="403"/>
      <c r="H46" s="912">
        <f t="shared" si="0"/>
        <v>0</v>
      </c>
    </row>
    <row r="47" spans="1:8" s="408" customFormat="1" ht="12" customHeight="1" thickBot="1" x14ac:dyDescent="0.3">
      <c r="A47" s="367" t="s">
        <v>129</v>
      </c>
      <c r="B47" s="368" t="s">
        <v>130</v>
      </c>
      <c r="C47" s="398">
        <f>SUM(C48:C52)</f>
        <v>0</v>
      </c>
      <c r="D47" s="398">
        <f>SUM(D48:D52)</f>
        <v>0</v>
      </c>
      <c r="E47" s="398">
        <f>SUM(E48:E52)</f>
        <v>0</v>
      </c>
      <c r="F47" s="398">
        <f>SUM(F48:F52)</f>
        <v>0</v>
      </c>
      <c r="G47" s="398">
        <f>SUM(G48:G52)</f>
        <v>0</v>
      </c>
      <c r="H47" s="912">
        <f t="shared" si="0"/>
        <v>0</v>
      </c>
    </row>
    <row r="48" spans="1:8" s="408" customFormat="1" ht="12" customHeight="1" x14ac:dyDescent="0.25">
      <c r="A48" s="362" t="s">
        <v>131</v>
      </c>
      <c r="B48" s="409" t="s">
        <v>132</v>
      </c>
      <c r="C48" s="421"/>
      <c r="D48" s="421"/>
      <c r="E48" s="421"/>
      <c r="F48" s="421"/>
      <c r="G48" s="421"/>
      <c r="H48" s="912">
        <f t="shared" si="0"/>
        <v>0</v>
      </c>
    </row>
    <row r="49" spans="1:8" s="408" customFormat="1" ht="12" customHeight="1" x14ac:dyDescent="0.25">
      <c r="A49" s="361" t="s">
        <v>133</v>
      </c>
      <c r="B49" s="410" t="s">
        <v>134</v>
      </c>
      <c r="C49" s="402"/>
      <c r="D49" s="402"/>
      <c r="E49" s="402"/>
      <c r="F49" s="402"/>
      <c r="G49" s="402"/>
      <c r="H49" s="912">
        <f t="shared" si="0"/>
        <v>0</v>
      </c>
    </row>
    <row r="50" spans="1:8" s="408" customFormat="1" ht="12" customHeight="1" x14ac:dyDescent="0.25">
      <c r="A50" s="361" t="s">
        <v>135</v>
      </c>
      <c r="B50" s="410" t="s">
        <v>136</v>
      </c>
      <c r="C50" s="402"/>
      <c r="D50" s="402"/>
      <c r="E50" s="402"/>
      <c r="F50" s="402"/>
      <c r="G50" s="402"/>
      <c r="H50" s="912">
        <f t="shared" si="0"/>
        <v>0</v>
      </c>
    </row>
    <row r="51" spans="1:8" s="408" customFormat="1" ht="12" customHeight="1" x14ac:dyDescent="0.25">
      <c r="A51" s="361" t="s">
        <v>137</v>
      </c>
      <c r="B51" s="410" t="s">
        <v>138</v>
      </c>
      <c r="C51" s="402"/>
      <c r="D51" s="402"/>
      <c r="E51" s="402"/>
      <c r="F51" s="402"/>
      <c r="G51" s="402"/>
      <c r="H51" s="912">
        <f t="shared" si="0"/>
        <v>0</v>
      </c>
    </row>
    <row r="52" spans="1:8" s="408" customFormat="1" ht="12" customHeight="1" thickBot="1" x14ac:dyDescent="0.3">
      <c r="A52" s="363" t="s">
        <v>139</v>
      </c>
      <c r="B52" s="411" t="s">
        <v>140</v>
      </c>
      <c r="C52" s="403"/>
      <c r="D52" s="403"/>
      <c r="E52" s="403"/>
      <c r="F52" s="403"/>
      <c r="G52" s="403"/>
      <c r="H52" s="912">
        <f t="shared" si="0"/>
        <v>0</v>
      </c>
    </row>
    <row r="53" spans="1:8" s="408" customFormat="1" ht="17.25" customHeight="1" thickBot="1" x14ac:dyDescent="0.3">
      <c r="A53" s="367" t="s">
        <v>141</v>
      </c>
      <c r="B53" s="368" t="s">
        <v>142</v>
      </c>
      <c r="C53" s="398">
        <f>SUM(C54:C56)</f>
        <v>0</v>
      </c>
      <c r="D53" s="398">
        <f>SUM(D54:D56)</f>
        <v>0</v>
      </c>
      <c r="E53" s="398">
        <f>SUM(E54:E56)</f>
        <v>0</v>
      </c>
      <c r="F53" s="398">
        <f>SUM(F54:F56)</f>
        <v>0</v>
      </c>
      <c r="G53" s="398">
        <f>SUM(G54:G56)</f>
        <v>0</v>
      </c>
      <c r="H53" s="912">
        <f t="shared" si="0"/>
        <v>0</v>
      </c>
    </row>
    <row r="54" spans="1:8" s="408" customFormat="1" ht="12" customHeight="1" x14ac:dyDescent="0.25">
      <c r="A54" s="362" t="s">
        <v>143</v>
      </c>
      <c r="B54" s="409" t="s">
        <v>144</v>
      </c>
      <c r="C54" s="400"/>
      <c r="D54" s="400"/>
      <c r="E54" s="400"/>
      <c r="F54" s="400"/>
      <c r="G54" s="400"/>
      <c r="H54" s="912">
        <f t="shared" si="0"/>
        <v>0</v>
      </c>
    </row>
    <row r="55" spans="1:8" s="408" customFormat="1" ht="12" customHeight="1" x14ac:dyDescent="0.25">
      <c r="A55" s="361" t="s">
        <v>145</v>
      </c>
      <c r="B55" s="410" t="s">
        <v>146</v>
      </c>
      <c r="C55" s="399"/>
      <c r="D55" s="399"/>
      <c r="E55" s="399"/>
      <c r="F55" s="399"/>
      <c r="G55" s="399"/>
      <c r="H55" s="912">
        <f t="shared" si="0"/>
        <v>0</v>
      </c>
    </row>
    <row r="56" spans="1:8" s="408" customFormat="1" ht="12" customHeight="1" x14ac:dyDescent="0.25">
      <c r="A56" s="361" t="s">
        <v>147</v>
      </c>
      <c r="B56" s="410" t="s">
        <v>148</v>
      </c>
      <c r="C56" s="399"/>
      <c r="D56" s="399"/>
      <c r="E56" s="399"/>
      <c r="F56" s="399"/>
      <c r="G56" s="399"/>
      <c r="H56" s="912">
        <f t="shared" si="0"/>
        <v>0</v>
      </c>
    </row>
    <row r="57" spans="1:8" s="408" customFormat="1" ht="12" customHeight="1" thickBot="1" x14ac:dyDescent="0.3">
      <c r="A57" s="363" t="s">
        <v>149</v>
      </c>
      <c r="B57" s="411" t="s">
        <v>150</v>
      </c>
      <c r="C57" s="401"/>
      <c r="D57" s="401"/>
      <c r="E57" s="401"/>
      <c r="F57" s="401"/>
      <c r="G57" s="401"/>
      <c r="H57" s="912">
        <f t="shared" si="0"/>
        <v>0</v>
      </c>
    </row>
    <row r="58" spans="1:8" s="408" customFormat="1" ht="12" customHeight="1" thickBot="1" x14ac:dyDescent="0.3">
      <c r="A58" s="367" t="s">
        <v>151</v>
      </c>
      <c r="B58" s="388" t="s">
        <v>152</v>
      </c>
      <c r="C58" s="398">
        <f>SUM(C59:C61)</f>
        <v>0</v>
      </c>
      <c r="D58" s="398">
        <f>SUM(D59:D61)</f>
        <v>0</v>
      </c>
      <c r="E58" s="398">
        <f>SUM(E59:E61)</f>
        <v>0</v>
      </c>
      <c r="F58" s="398">
        <f>SUM(F59:F61)</f>
        <v>0</v>
      </c>
      <c r="G58" s="398">
        <f>SUM(G59:G61)</f>
        <v>0</v>
      </c>
      <c r="H58" s="912">
        <f t="shared" si="0"/>
        <v>0</v>
      </c>
    </row>
    <row r="59" spans="1:8" s="408" customFormat="1" ht="12" customHeight="1" x14ac:dyDescent="0.25">
      <c r="A59" s="362" t="s">
        <v>153</v>
      </c>
      <c r="B59" s="409" t="s">
        <v>154</v>
      </c>
      <c r="C59" s="402"/>
      <c r="D59" s="402"/>
      <c r="E59" s="402"/>
      <c r="F59" s="402"/>
      <c r="G59" s="402"/>
      <c r="H59" s="912">
        <f t="shared" si="0"/>
        <v>0</v>
      </c>
    </row>
    <row r="60" spans="1:8" s="408" customFormat="1" ht="12" customHeight="1" x14ac:dyDescent="0.25">
      <c r="A60" s="361" t="s">
        <v>155</v>
      </c>
      <c r="B60" s="410" t="s">
        <v>2167</v>
      </c>
      <c r="C60" s="402"/>
      <c r="D60" s="402"/>
      <c r="E60" s="402"/>
      <c r="F60" s="402"/>
      <c r="G60" s="402"/>
      <c r="H60" s="912">
        <f t="shared" si="0"/>
        <v>0</v>
      </c>
    </row>
    <row r="61" spans="1:8" s="408" customFormat="1" ht="12" customHeight="1" x14ac:dyDescent="0.25">
      <c r="A61" s="361" t="s">
        <v>157</v>
      </c>
      <c r="B61" s="410" t="s">
        <v>158</v>
      </c>
      <c r="C61" s="402"/>
      <c r="D61" s="402"/>
      <c r="E61" s="402"/>
      <c r="F61" s="402"/>
      <c r="G61" s="402"/>
      <c r="H61" s="912">
        <f t="shared" si="0"/>
        <v>0</v>
      </c>
    </row>
    <row r="62" spans="1:8" s="408" customFormat="1" ht="12" customHeight="1" thickBot="1" x14ac:dyDescent="0.3">
      <c r="A62" s="363" t="s">
        <v>159</v>
      </c>
      <c r="B62" s="411" t="s">
        <v>160</v>
      </c>
      <c r="C62" s="402"/>
      <c r="D62" s="402"/>
      <c r="E62" s="402"/>
      <c r="F62" s="402"/>
      <c r="G62" s="402"/>
      <c r="H62" s="912">
        <f t="shared" si="0"/>
        <v>0</v>
      </c>
    </row>
    <row r="63" spans="1:8" s="408" customFormat="1" ht="12" customHeight="1" thickBot="1" x14ac:dyDescent="0.3">
      <c r="A63" s="367" t="s">
        <v>161</v>
      </c>
      <c r="B63" s="368" t="s">
        <v>162</v>
      </c>
      <c r="C63" s="404">
        <f>+C8+C15+C22+C29+C36+C47+C53+C58</f>
        <v>1905000</v>
      </c>
      <c r="D63" s="404">
        <f>+D8+D15+D22+D29+D36+D47+D53+D58</f>
        <v>1905000</v>
      </c>
      <c r="E63" s="404">
        <f>+E8+E15+E22+E29+E36+E47+E53+E58</f>
        <v>1905000</v>
      </c>
      <c r="F63" s="404">
        <f>+F8+F15+F22+F29+F36+F47+F53+F58</f>
        <v>1905000</v>
      </c>
      <c r="G63" s="404">
        <f>+G8+G15+G22+G29+G36+G47+G53+G58</f>
        <v>1905000</v>
      </c>
      <c r="H63" s="912">
        <f t="shared" si="0"/>
        <v>0</v>
      </c>
    </row>
    <row r="64" spans="1:8" s="408" customFormat="1" ht="12" customHeight="1" thickBot="1" x14ac:dyDescent="0.3">
      <c r="A64" s="422" t="s">
        <v>163</v>
      </c>
      <c r="B64" s="388" t="s">
        <v>164</v>
      </c>
      <c r="C64" s="398">
        <f>+C65+C66+C67</f>
        <v>0</v>
      </c>
      <c r="D64" s="398">
        <f>+D65+D66+D67</f>
        <v>0</v>
      </c>
      <c r="E64" s="398">
        <f>+E65+E66+E67</f>
        <v>0</v>
      </c>
      <c r="F64" s="398">
        <f>+F65+F66+F67</f>
        <v>0</v>
      </c>
      <c r="G64" s="398">
        <f>+G65+G66+G67</f>
        <v>0</v>
      </c>
      <c r="H64" s="912">
        <f t="shared" si="0"/>
        <v>0</v>
      </c>
    </row>
    <row r="65" spans="1:8" s="408" customFormat="1" ht="12" customHeight="1" x14ac:dyDescent="0.25">
      <c r="A65" s="362" t="s">
        <v>165</v>
      </c>
      <c r="B65" s="409" t="s">
        <v>166</v>
      </c>
      <c r="C65" s="402"/>
      <c r="D65" s="402"/>
      <c r="E65" s="402"/>
      <c r="F65" s="402"/>
      <c r="G65" s="402"/>
      <c r="H65" s="912">
        <f t="shared" si="0"/>
        <v>0</v>
      </c>
    </row>
    <row r="66" spans="1:8" s="408" customFormat="1" ht="12" customHeight="1" x14ac:dyDescent="0.25">
      <c r="A66" s="361" t="s">
        <v>167</v>
      </c>
      <c r="B66" s="410" t="s">
        <v>168</v>
      </c>
      <c r="C66" s="402"/>
      <c r="D66" s="402"/>
      <c r="E66" s="402"/>
      <c r="F66" s="402"/>
      <c r="G66" s="402"/>
      <c r="H66" s="912">
        <f t="shared" si="0"/>
        <v>0</v>
      </c>
    </row>
    <row r="67" spans="1:8" s="408" customFormat="1" ht="12" customHeight="1" thickBot="1" x14ac:dyDescent="0.3">
      <c r="A67" s="363" t="s">
        <v>169</v>
      </c>
      <c r="B67" s="347" t="s">
        <v>170</v>
      </c>
      <c r="C67" s="402"/>
      <c r="D67" s="402"/>
      <c r="E67" s="402"/>
      <c r="F67" s="402"/>
      <c r="G67" s="402"/>
      <c r="H67" s="912">
        <f t="shared" si="0"/>
        <v>0</v>
      </c>
    </row>
    <row r="68" spans="1:8" s="408" customFormat="1" ht="12" customHeight="1" thickBot="1" x14ac:dyDescent="0.3">
      <c r="A68" s="422" t="s">
        <v>171</v>
      </c>
      <c r="B68" s="388" t="s">
        <v>172</v>
      </c>
      <c r="C68" s="398">
        <f>+C69+C70+C71+C72</f>
        <v>0</v>
      </c>
      <c r="D68" s="398">
        <f>+D69+D70+D71+D72</f>
        <v>0</v>
      </c>
      <c r="E68" s="398">
        <f>+E69+E70+E71+E72</f>
        <v>0</v>
      </c>
      <c r="F68" s="398">
        <f>+F69+F70+F71+F72</f>
        <v>0</v>
      </c>
      <c r="G68" s="398">
        <f>+G69+G70+G71+G72</f>
        <v>0</v>
      </c>
      <c r="H68" s="912">
        <f t="shared" si="0"/>
        <v>0</v>
      </c>
    </row>
    <row r="69" spans="1:8" s="408" customFormat="1" ht="13.5" customHeight="1" x14ac:dyDescent="0.25">
      <c r="A69" s="362" t="s">
        <v>173</v>
      </c>
      <c r="B69" s="409" t="s">
        <v>174</v>
      </c>
      <c r="C69" s="402"/>
      <c r="D69" s="402"/>
      <c r="E69" s="402"/>
      <c r="F69" s="402"/>
      <c r="G69" s="402"/>
      <c r="H69" s="912">
        <f t="shared" si="0"/>
        <v>0</v>
      </c>
    </row>
    <row r="70" spans="1:8" s="408" customFormat="1" ht="12" customHeight="1" x14ac:dyDescent="0.25">
      <c r="A70" s="361" t="s">
        <v>175</v>
      </c>
      <c r="B70" s="410" t="s">
        <v>176</v>
      </c>
      <c r="C70" s="402"/>
      <c r="D70" s="402"/>
      <c r="E70" s="402"/>
      <c r="F70" s="402"/>
      <c r="G70" s="402"/>
      <c r="H70" s="912">
        <f t="shared" si="0"/>
        <v>0</v>
      </c>
    </row>
    <row r="71" spans="1:8" s="408" customFormat="1" ht="12" customHeight="1" x14ac:dyDescent="0.25">
      <c r="A71" s="361" t="s">
        <v>177</v>
      </c>
      <c r="B71" s="410" t="s">
        <v>178</v>
      </c>
      <c r="C71" s="402"/>
      <c r="D71" s="402"/>
      <c r="E71" s="402"/>
      <c r="F71" s="402"/>
      <c r="G71" s="402"/>
      <c r="H71" s="912">
        <f t="shared" si="0"/>
        <v>0</v>
      </c>
    </row>
    <row r="72" spans="1:8" s="408" customFormat="1" ht="12" customHeight="1" thickBot="1" x14ac:dyDescent="0.3">
      <c r="A72" s="363" t="s">
        <v>179</v>
      </c>
      <c r="B72" s="411" t="s">
        <v>180</v>
      </c>
      <c r="C72" s="402"/>
      <c r="D72" s="402"/>
      <c r="E72" s="402"/>
      <c r="F72" s="402"/>
      <c r="G72" s="402"/>
      <c r="H72" s="912">
        <f t="shared" si="0"/>
        <v>0</v>
      </c>
    </row>
    <row r="73" spans="1:8" s="408" customFormat="1" ht="12" customHeight="1" thickBot="1" x14ac:dyDescent="0.3">
      <c r="A73" s="422" t="s">
        <v>181</v>
      </c>
      <c r="B73" s="388" t="s">
        <v>182</v>
      </c>
      <c r="C73" s="398">
        <f>+C74+C75</f>
        <v>0</v>
      </c>
      <c r="D73" s="398">
        <f>+D74+D75</f>
        <v>721266</v>
      </c>
      <c r="E73" s="398">
        <f>+E74+E75</f>
        <v>721266</v>
      </c>
      <c r="F73" s="398">
        <f>+F74+F75</f>
        <v>721266</v>
      </c>
      <c r="G73" s="398">
        <f>+G74+G75</f>
        <v>721266</v>
      </c>
      <c r="H73" s="912">
        <f t="shared" ref="H73:H136" si="1">G73-F73</f>
        <v>0</v>
      </c>
    </row>
    <row r="74" spans="1:8" s="408" customFormat="1" ht="12" customHeight="1" x14ac:dyDescent="0.25">
      <c r="A74" s="362" t="s">
        <v>183</v>
      </c>
      <c r="B74" s="409" t="s">
        <v>184</v>
      </c>
      <c r="C74" s="402"/>
      <c r="D74" s="402">
        <v>721266</v>
      </c>
      <c r="E74" s="402">
        <v>721266</v>
      </c>
      <c r="F74" s="402">
        <v>721266</v>
      </c>
      <c r="G74" s="402">
        <v>721266</v>
      </c>
      <c r="H74" s="912">
        <f t="shared" si="1"/>
        <v>0</v>
      </c>
    </row>
    <row r="75" spans="1:8" s="408" customFormat="1" ht="12" customHeight="1" thickBot="1" x14ac:dyDescent="0.3">
      <c r="A75" s="363" t="s">
        <v>185</v>
      </c>
      <c r="B75" s="411" t="s">
        <v>186</v>
      </c>
      <c r="C75" s="402"/>
      <c r="D75" s="402"/>
      <c r="E75" s="402"/>
      <c r="F75" s="402"/>
      <c r="G75" s="402"/>
      <c r="H75" s="912">
        <f t="shared" si="1"/>
        <v>0</v>
      </c>
    </row>
    <row r="76" spans="1:8" s="408" customFormat="1" ht="12" customHeight="1" thickBot="1" x14ac:dyDescent="0.3">
      <c r="A76" s="422" t="s">
        <v>187</v>
      </c>
      <c r="B76" s="388" t="s">
        <v>188</v>
      </c>
      <c r="C76" s="398">
        <f>+C77+C78+C79</f>
        <v>82886706</v>
      </c>
      <c r="D76" s="398">
        <f>+D77+D78+D79</f>
        <v>82886706</v>
      </c>
      <c r="E76" s="398">
        <f>+E77+E78+E79</f>
        <v>87543706</v>
      </c>
      <c r="F76" s="398">
        <f>+F77+F78+F79</f>
        <v>87543706</v>
      </c>
      <c r="G76" s="398">
        <f>+G77+G78+G79</f>
        <v>87543706</v>
      </c>
      <c r="H76" s="912">
        <f t="shared" si="1"/>
        <v>0</v>
      </c>
    </row>
    <row r="77" spans="1:8" s="408" customFormat="1" ht="12" customHeight="1" x14ac:dyDescent="0.25">
      <c r="A77" s="362" t="s">
        <v>189</v>
      </c>
      <c r="B77" s="409" t="s">
        <v>190</v>
      </c>
      <c r="C77" s="402"/>
      <c r="D77" s="402"/>
      <c r="E77" s="402"/>
      <c r="F77" s="402"/>
      <c r="G77" s="402"/>
      <c r="H77" s="912">
        <f t="shared" si="1"/>
        <v>0</v>
      </c>
    </row>
    <row r="78" spans="1:8" s="408" customFormat="1" ht="12" customHeight="1" x14ac:dyDescent="0.25">
      <c r="A78" s="361" t="s">
        <v>191</v>
      </c>
      <c r="B78" s="410" t="s">
        <v>192</v>
      </c>
      <c r="C78" s="402"/>
      <c r="D78" s="402"/>
      <c r="E78" s="402"/>
      <c r="F78" s="402"/>
      <c r="G78" s="402"/>
      <c r="H78" s="912">
        <f t="shared" si="1"/>
        <v>0</v>
      </c>
    </row>
    <row r="79" spans="1:8" s="408" customFormat="1" ht="12" customHeight="1" thickBot="1" x14ac:dyDescent="0.3">
      <c r="A79" s="363" t="s">
        <v>193</v>
      </c>
      <c r="B79" s="390" t="s">
        <v>1793</v>
      </c>
      <c r="C79" s="402">
        <v>82886706</v>
      </c>
      <c r="D79" s="402">
        <v>82886706</v>
      </c>
      <c r="E79" s="402">
        <f>D79+237000+4420000</f>
        <v>87543706</v>
      </c>
      <c r="F79" s="402">
        <f>E79</f>
        <v>87543706</v>
      </c>
      <c r="G79" s="402">
        <f>F79</f>
        <v>87543706</v>
      </c>
      <c r="H79" s="912">
        <f t="shared" si="1"/>
        <v>0</v>
      </c>
    </row>
    <row r="80" spans="1:8" s="408" customFormat="1" ht="12" customHeight="1" thickBot="1" x14ac:dyDescent="0.3">
      <c r="A80" s="422" t="s">
        <v>195</v>
      </c>
      <c r="B80" s="388" t="s">
        <v>196</v>
      </c>
      <c r="C80" s="398">
        <f>+C81+C82+C83+C84</f>
        <v>0</v>
      </c>
      <c r="D80" s="398">
        <f>+D81+D82+D83+D84</f>
        <v>0</v>
      </c>
      <c r="E80" s="398">
        <f>+E81+E82+E83+E84</f>
        <v>0</v>
      </c>
      <c r="F80" s="398">
        <f>+F81+F82+F83+F84</f>
        <v>0</v>
      </c>
      <c r="G80" s="398">
        <f>+G81+G82+G83+G84</f>
        <v>0</v>
      </c>
      <c r="H80" s="912">
        <f t="shared" si="1"/>
        <v>0</v>
      </c>
    </row>
    <row r="81" spans="1:8" s="408" customFormat="1" ht="12" customHeight="1" x14ac:dyDescent="0.25">
      <c r="A81" s="412" t="s">
        <v>197</v>
      </c>
      <c r="B81" s="409" t="s">
        <v>198</v>
      </c>
      <c r="C81" s="402"/>
      <c r="D81" s="402"/>
      <c r="E81" s="402"/>
      <c r="F81" s="402"/>
      <c r="G81" s="402"/>
      <c r="H81" s="912">
        <f t="shared" si="1"/>
        <v>0</v>
      </c>
    </row>
    <row r="82" spans="1:8" s="408" customFormat="1" ht="12" customHeight="1" x14ac:dyDescent="0.25">
      <c r="A82" s="413" t="s">
        <v>199</v>
      </c>
      <c r="B82" s="410" t="s">
        <v>200</v>
      </c>
      <c r="C82" s="402"/>
      <c r="D82" s="402"/>
      <c r="E82" s="402"/>
      <c r="F82" s="402"/>
      <c r="G82" s="402"/>
      <c r="H82" s="912">
        <f t="shared" si="1"/>
        <v>0</v>
      </c>
    </row>
    <row r="83" spans="1:8" s="408" customFormat="1" ht="12" customHeight="1" x14ac:dyDescent="0.25">
      <c r="A83" s="413" t="s">
        <v>201</v>
      </c>
      <c r="B83" s="410" t="s">
        <v>202</v>
      </c>
      <c r="C83" s="402"/>
      <c r="D83" s="402"/>
      <c r="E83" s="402"/>
      <c r="F83" s="402"/>
      <c r="G83" s="402"/>
      <c r="H83" s="912">
        <f t="shared" si="1"/>
        <v>0</v>
      </c>
    </row>
    <row r="84" spans="1:8" s="408" customFormat="1" ht="12" customHeight="1" thickBot="1" x14ac:dyDescent="0.3">
      <c r="A84" s="423" t="s">
        <v>203</v>
      </c>
      <c r="B84" s="390" t="s">
        <v>204</v>
      </c>
      <c r="C84" s="402"/>
      <c r="D84" s="402"/>
      <c r="E84" s="402"/>
      <c r="F84" s="402"/>
      <c r="G84" s="402"/>
      <c r="H84" s="912">
        <f t="shared" si="1"/>
        <v>0</v>
      </c>
    </row>
    <row r="85" spans="1:8" s="408" customFormat="1" ht="12" customHeight="1" thickBot="1" x14ac:dyDescent="0.3">
      <c r="A85" s="422" t="s">
        <v>205</v>
      </c>
      <c r="B85" s="388" t="s">
        <v>206</v>
      </c>
      <c r="C85" s="425"/>
      <c r="D85" s="425"/>
      <c r="E85" s="425"/>
      <c r="F85" s="425"/>
      <c r="G85" s="425"/>
      <c r="H85" s="912">
        <f t="shared" si="1"/>
        <v>0</v>
      </c>
    </row>
    <row r="86" spans="1:8" s="408" customFormat="1" ht="12" customHeight="1" thickBot="1" x14ac:dyDescent="0.3">
      <c r="A86" s="422" t="s">
        <v>207</v>
      </c>
      <c r="B86" s="345" t="s">
        <v>208</v>
      </c>
      <c r="C86" s="404">
        <f>+C64+C68+C73+C76+C80+C85</f>
        <v>82886706</v>
      </c>
      <c r="D86" s="404">
        <f>+D64+D68+D73+D76+D80+D85</f>
        <v>83607972</v>
      </c>
      <c r="E86" s="404">
        <f>+E64+E68+E73+E76+E80+E85</f>
        <v>88264972</v>
      </c>
      <c r="F86" s="404">
        <f>+F64+F68+F73+F76+F80+F85</f>
        <v>88264972</v>
      </c>
      <c r="G86" s="404">
        <f>+G64+G68+G73+G76+G80+G85</f>
        <v>88264972</v>
      </c>
      <c r="H86" s="912">
        <f t="shared" si="1"/>
        <v>0</v>
      </c>
    </row>
    <row r="87" spans="1:8" s="408" customFormat="1" ht="18" customHeight="1" thickBot="1" x14ac:dyDescent="0.3">
      <c r="A87" s="424" t="s">
        <v>209</v>
      </c>
      <c r="B87" s="348" t="s">
        <v>210</v>
      </c>
      <c r="C87" s="404">
        <f>+C63+C86</f>
        <v>84791706</v>
      </c>
      <c r="D87" s="404">
        <f>+D63+D86</f>
        <v>85512972</v>
      </c>
      <c r="E87" s="404">
        <f>+E63+E86</f>
        <v>90169972</v>
      </c>
      <c r="F87" s="404">
        <f>+F63+F86</f>
        <v>90169972</v>
      </c>
      <c r="G87" s="404">
        <f>+G63+G86</f>
        <v>90169972</v>
      </c>
      <c r="H87" s="912">
        <f t="shared" si="1"/>
        <v>0</v>
      </c>
    </row>
    <row r="88" spans="1:8" s="408" customFormat="1" ht="12" customHeight="1" x14ac:dyDescent="0.25">
      <c r="A88" s="343"/>
      <c r="B88" s="343"/>
      <c r="C88" s="344"/>
      <c r="D88" s="344"/>
      <c r="E88" s="344"/>
      <c r="G88" s="912"/>
      <c r="H88" s="912">
        <f t="shared" si="1"/>
        <v>0</v>
      </c>
    </row>
    <row r="89" spans="1:8" s="408" customFormat="1" ht="12" customHeight="1" thickBot="1" x14ac:dyDescent="0.3">
      <c r="A89" s="343"/>
      <c r="B89" s="343"/>
      <c r="C89" s="344"/>
      <c r="D89" s="344"/>
      <c r="E89" s="344"/>
      <c r="G89" s="912"/>
      <c r="H89" s="912">
        <f t="shared" si="1"/>
        <v>0</v>
      </c>
    </row>
    <row r="90" spans="1:8" ht="16.5" customHeight="1" x14ac:dyDescent="0.3">
      <c r="A90" s="1617" t="s">
        <v>211</v>
      </c>
      <c r="B90" s="1618"/>
      <c r="C90" s="1618"/>
      <c r="D90" s="1618"/>
      <c r="E90" s="1618"/>
      <c r="F90" s="1542"/>
      <c r="G90" s="1551"/>
      <c r="H90" s="912">
        <f t="shared" si="1"/>
        <v>0</v>
      </c>
    </row>
    <row r="91" spans="1:8" s="414" customFormat="1" ht="16.5" customHeight="1" thickBot="1" x14ac:dyDescent="0.35">
      <c r="A91" s="1409" t="s">
        <v>2128</v>
      </c>
      <c r="B91" s="43"/>
      <c r="C91" s="376"/>
      <c r="D91" s="376"/>
      <c r="E91" s="1554"/>
      <c r="F91" s="1554"/>
      <c r="G91" s="1555" t="s">
        <v>1690</v>
      </c>
      <c r="H91" s="912" t="e">
        <f t="shared" si="1"/>
        <v>#VALUE!</v>
      </c>
    </row>
    <row r="92" spans="1:8" s="414" customFormat="1" ht="16.5" customHeight="1" thickBot="1" x14ac:dyDescent="0.35">
      <c r="A92" s="1624" t="s">
        <v>41</v>
      </c>
      <c r="B92" s="1626" t="s">
        <v>213</v>
      </c>
      <c r="C92" s="1628" t="str">
        <f>+C5</f>
        <v>2019. évi</v>
      </c>
      <c r="D92" s="1629"/>
      <c r="E92" s="1629"/>
      <c r="F92" s="1629"/>
      <c r="G92" s="1630"/>
      <c r="H92" s="912">
        <f t="shared" si="1"/>
        <v>0</v>
      </c>
    </row>
    <row r="93" spans="1:8" ht="38.1" customHeight="1" thickBot="1" x14ac:dyDescent="0.35">
      <c r="A93" s="1625"/>
      <c r="B93" s="1627"/>
      <c r="C93" s="1538" t="s">
        <v>43</v>
      </c>
      <c r="D93" s="1538" t="s">
        <v>2175</v>
      </c>
      <c r="E93" s="1538" t="s">
        <v>2173</v>
      </c>
      <c r="F93" s="1541" t="s">
        <v>2174</v>
      </c>
      <c r="G93" s="1541" t="s">
        <v>2182</v>
      </c>
      <c r="H93" s="912" t="e">
        <f t="shared" si="1"/>
        <v>#VALUE!</v>
      </c>
    </row>
    <row r="94" spans="1:8" s="407" customFormat="1" ht="12" customHeight="1" thickBot="1" x14ac:dyDescent="0.3">
      <c r="A94" s="372" t="s">
        <v>46</v>
      </c>
      <c r="B94" s="373" t="s">
        <v>47</v>
      </c>
      <c r="C94" s="373" t="s">
        <v>48</v>
      </c>
      <c r="D94" s="373" t="s">
        <v>49</v>
      </c>
      <c r="E94" s="373" t="s">
        <v>50</v>
      </c>
      <c r="F94" s="373" t="s">
        <v>50</v>
      </c>
      <c r="G94" s="373" t="s">
        <v>294</v>
      </c>
      <c r="H94" s="912" t="e">
        <f t="shared" si="1"/>
        <v>#VALUE!</v>
      </c>
    </row>
    <row r="95" spans="1:8" ht="12" customHeight="1" thickBot="1" x14ac:dyDescent="0.35">
      <c r="A95" s="369" t="s">
        <v>51</v>
      </c>
      <c r="B95" s="371" t="s">
        <v>288</v>
      </c>
      <c r="C95" s="397">
        <f>SUM(C96:C100)</f>
        <v>78351206</v>
      </c>
      <c r="D95" s="397">
        <f>SUM(D96:D100)</f>
        <v>79072472</v>
      </c>
      <c r="E95" s="397">
        <f>SUM(E96:E100)</f>
        <v>83492472</v>
      </c>
      <c r="F95" s="397">
        <f>SUM(F96:F100)</f>
        <v>83492472</v>
      </c>
      <c r="G95" s="397">
        <f>SUM(G96:G100)</f>
        <v>82880222</v>
      </c>
      <c r="H95" s="912">
        <f t="shared" si="1"/>
        <v>-612250</v>
      </c>
    </row>
    <row r="96" spans="1:8" ht="12" customHeight="1" x14ac:dyDescent="0.3">
      <c r="A96" s="364" t="s">
        <v>53</v>
      </c>
      <c r="B96" s="357" t="s">
        <v>215</v>
      </c>
      <c r="C96" s="92">
        <v>32160680</v>
      </c>
      <c r="D96" s="92">
        <v>32160680</v>
      </c>
      <c r="E96" s="92">
        <v>32160680</v>
      </c>
      <c r="F96" s="92">
        <f>32160680+13250000</f>
        <v>45410680</v>
      </c>
      <c r="G96" s="92">
        <v>41514731</v>
      </c>
      <c r="H96" s="912">
        <f t="shared" si="1"/>
        <v>-3895949</v>
      </c>
    </row>
    <row r="97" spans="1:8" ht="12" customHeight="1" x14ac:dyDescent="0.3">
      <c r="A97" s="361" t="s">
        <v>55</v>
      </c>
      <c r="B97" s="355" t="s">
        <v>216</v>
      </c>
      <c r="C97" s="399">
        <v>8409876</v>
      </c>
      <c r="D97" s="399">
        <v>8409876</v>
      </c>
      <c r="E97" s="399">
        <v>8409876</v>
      </c>
      <c r="F97" s="399">
        <v>8409876</v>
      </c>
      <c r="G97" s="399">
        <v>9698259</v>
      </c>
      <c r="H97" s="912">
        <f t="shared" si="1"/>
        <v>1288383</v>
      </c>
    </row>
    <row r="98" spans="1:8" ht="12" customHeight="1" x14ac:dyDescent="0.3">
      <c r="A98" s="361" t="s">
        <v>57</v>
      </c>
      <c r="B98" s="355" t="s">
        <v>217</v>
      </c>
      <c r="C98" s="401">
        <v>37780650</v>
      </c>
      <c r="D98" s="401">
        <v>37804985</v>
      </c>
      <c r="E98" s="401">
        <f>D98+4420000</f>
        <v>42224985</v>
      </c>
      <c r="F98" s="401">
        <f>E98-13250000</f>
        <v>28974985</v>
      </c>
      <c r="G98" s="401">
        <v>30970301</v>
      </c>
      <c r="H98" s="912">
        <f t="shared" si="1"/>
        <v>1995316</v>
      </c>
    </row>
    <row r="99" spans="1:8" ht="12" customHeight="1" x14ac:dyDescent="0.3">
      <c r="A99" s="361" t="s">
        <v>59</v>
      </c>
      <c r="B99" s="358" t="s">
        <v>218</v>
      </c>
      <c r="C99" s="401"/>
      <c r="D99" s="401"/>
      <c r="E99" s="401"/>
      <c r="F99" s="401"/>
      <c r="G99" s="401"/>
      <c r="H99" s="912">
        <f t="shared" si="1"/>
        <v>0</v>
      </c>
    </row>
    <row r="100" spans="1:8" ht="12" customHeight="1" x14ac:dyDescent="0.3">
      <c r="A100" s="361" t="s">
        <v>219</v>
      </c>
      <c r="B100" s="366" t="s">
        <v>220</v>
      </c>
      <c r="C100" s="401"/>
      <c r="D100" s="401">
        <f>SUM(D101:D110)</f>
        <v>696931</v>
      </c>
      <c r="E100" s="401">
        <f>SUM(E101:E110)</f>
        <v>696931</v>
      </c>
      <c r="F100" s="401">
        <f>SUM(F101:F110)</f>
        <v>696931</v>
      </c>
      <c r="G100" s="401">
        <f>SUM(G101:G110)</f>
        <v>696931</v>
      </c>
      <c r="H100" s="912">
        <f t="shared" si="1"/>
        <v>0</v>
      </c>
    </row>
    <row r="101" spans="1:8" ht="12" customHeight="1" x14ac:dyDescent="0.3">
      <c r="A101" s="361" t="s">
        <v>63</v>
      </c>
      <c r="B101" s="355" t="s">
        <v>221</v>
      </c>
      <c r="C101" s="401"/>
      <c r="D101" s="401">
        <v>696931</v>
      </c>
      <c r="E101" s="401">
        <v>696931</v>
      </c>
      <c r="F101" s="401">
        <v>696931</v>
      </c>
      <c r="G101" s="401">
        <v>696931</v>
      </c>
      <c r="H101" s="912">
        <f t="shared" si="1"/>
        <v>0</v>
      </c>
    </row>
    <row r="102" spans="1:8" ht="12" customHeight="1" x14ac:dyDescent="0.3">
      <c r="A102" s="361" t="s">
        <v>222</v>
      </c>
      <c r="B102" s="377" t="s">
        <v>223</v>
      </c>
      <c r="C102" s="401"/>
      <c r="D102" s="401"/>
      <c r="E102" s="401"/>
      <c r="F102" s="401"/>
      <c r="G102" s="401"/>
      <c r="H102" s="912">
        <f t="shared" si="1"/>
        <v>0</v>
      </c>
    </row>
    <row r="103" spans="1:8" ht="12" customHeight="1" x14ac:dyDescent="0.3">
      <c r="A103" s="361" t="s">
        <v>224</v>
      </c>
      <c r="B103" s="378" t="s">
        <v>225</v>
      </c>
      <c r="C103" s="401"/>
      <c r="D103" s="401"/>
      <c r="E103" s="401"/>
      <c r="F103" s="401"/>
      <c r="G103" s="401"/>
      <c r="H103" s="912">
        <f t="shared" si="1"/>
        <v>0</v>
      </c>
    </row>
    <row r="104" spans="1:8" ht="12" customHeight="1" x14ac:dyDescent="0.3">
      <c r="A104" s="361" t="s">
        <v>226</v>
      </c>
      <c r="B104" s="378" t="s">
        <v>227</v>
      </c>
      <c r="C104" s="401"/>
      <c r="D104" s="401"/>
      <c r="E104" s="401"/>
      <c r="F104" s="401"/>
      <c r="G104" s="401"/>
      <c r="H104" s="912">
        <f t="shared" si="1"/>
        <v>0</v>
      </c>
    </row>
    <row r="105" spans="1:8" ht="12" customHeight="1" x14ac:dyDescent="0.3">
      <c r="A105" s="361" t="s">
        <v>228</v>
      </c>
      <c r="B105" s="377" t="s">
        <v>229</v>
      </c>
      <c r="C105" s="401"/>
      <c r="D105" s="401"/>
      <c r="E105" s="401"/>
      <c r="F105" s="401"/>
      <c r="G105" s="401"/>
      <c r="H105" s="912">
        <f t="shared" si="1"/>
        <v>0</v>
      </c>
    </row>
    <row r="106" spans="1:8" ht="12" customHeight="1" x14ac:dyDescent="0.3">
      <c r="A106" s="361" t="s">
        <v>230</v>
      </c>
      <c r="B106" s="377" t="s">
        <v>231</v>
      </c>
      <c r="C106" s="401"/>
      <c r="D106" s="401"/>
      <c r="E106" s="401"/>
      <c r="F106" s="401"/>
      <c r="G106" s="401"/>
      <c r="H106" s="912">
        <f t="shared" si="1"/>
        <v>0</v>
      </c>
    </row>
    <row r="107" spans="1:8" ht="12" customHeight="1" x14ac:dyDescent="0.3">
      <c r="A107" s="361" t="s">
        <v>232</v>
      </c>
      <c r="B107" s="378" t="s">
        <v>233</v>
      </c>
      <c r="C107" s="401"/>
      <c r="D107" s="401"/>
      <c r="E107" s="401"/>
      <c r="F107" s="401"/>
      <c r="G107" s="401"/>
      <c r="H107" s="912">
        <f t="shared" si="1"/>
        <v>0</v>
      </c>
    </row>
    <row r="108" spans="1:8" ht="12" customHeight="1" x14ac:dyDescent="0.3">
      <c r="A108" s="360" t="s">
        <v>234</v>
      </c>
      <c r="B108" s="379" t="s">
        <v>235</v>
      </c>
      <c r="C108" s="401"/>
      <c r="D108" s="401"/>
      <c r="E108" s="401"/>
      <c r="F108" s="401"/>
      <c r="G108" s="401"/>
      <c r="H108" s="912">
        <f t="shared" si="1"/>
        <v>0</v>
      </c>
    </row>
    <row r="109" spans="1:8" ht="12" customHeight="1" x14ac:dyDescent="0.3">
      <c r="A109" s="361" t="s">
        <v>236</v>
      </c>
      <c r="B109" s="379" t="s">
        <v>237</v>
      </c>
      <c r="C109" s="401"/>
      <c r="D109" s="401"/>
      <c r="E109" s="401"/>
      <c r="F109" s="401"/>
      <c r="G109" s="401"/>
      <c r="H109" s="912">
        <f t="shared" si="1"/>
        <v>0</v>
      </c>
    </row>
    <row r="110" spans="1:8" ht="12" customHeight="1" thickBot="1" x14ac:dyDescent="0.35">
      <c r="A110" s="365" t="s">
        <v>238</v>
      </c>
      <c r="B110" s="380" t="s">
        <v>239</v>
      </c>
      <c r="C110" s="93"/>
      <c r="D110" s="93"/>
      <c r="E110" s="93"/>
      <c r="F110" s="93"/>
      <c r="G110" s="93"/>
      <c r="H110" s="912">
        <f t="shared" si="1"/>
        <v>0</v>
      </c>
    </row>
    <row r="111" spans="1:8" ht="12" customHeight="1" thickBot="1" x14ac:dyDescent="0.35">
      <c r="A111" s="367" t="s">
        <v>65</v>
      </c>
      <c r="B111" s="370" t="s">
        <v>289</v>
      </c>
      <c r="C111" s="398">
        <f>+C112+C114+C116</f>
        <v>6440500</v>
      </c>
      <c r="D111" s="398">
        <f>+D112+D114+D116</f>
        <v>6440500</v>
      </c>
      <c r="E111" s="398">
        <f>+E112+E114+E116</f>
        <v>6677500</v>
      </c>
      <c r="F111" s="398">
        <f>+F112+F114+F116</f>
        <v>6677500</v>
      </c>
      <c r="G111" s="398">
        <f>+G112+G114+G116</f>
        <v>7289750</v>
      </c>
      <c r="H111" s="912">
        <f t="shared" si="1"/>
        <v>612250</v>
      </c>
    </row>
    <row r="112" spans="1:8" ht="12" customHeight="1" x14ac:dyDescent="0.3">
      <c r="A112" s="362" t="s">
        <v>67</v>
      </c>
      <c r="B112" s="355" t="s">
        <v>241</v>
      </c>
      <c r="C112" s="400">
        <v>6440500</v>
      </c>
      <c r="D112" s="400">
        <v>6440500</v>
      </c>
      <c r="E112" s="400">
        <f>D112+237000</f>
        <v>6677500</v>
      </c>
      <c r="F112" s="400">
        <f>E112</f>
        <v>6677500</v>
      </c>
      <c r="G112" s="400">
        <v>7289750</v>
      </c>
      <c r="H112" s="912">
        <f t="shared" si="1"/>
        <v>612250</v>
      </c>
    </row>
    <row r="113" spans="1:8" ht="12" customHeight="1" x14ac:dyDescent="0.3">
      <c r="A113" s="362" t="s">
        <v>69</v>
      </c>
      <c r="B113" s="359" t="s">
        <v>242</v>
      </c>
      <c r="C113" s="400"/>
      <c r="D113" s="400"/>
      <c r="E113" s="400"/>
      <c r="F113" s="400"/>
      <c r="G113" s="400"/>
      <c r="H113" s="912">
        <f t="shared" si="1"/>
        <v>0</v>
      </c>
    </row>
    <row r="114" spans="1:8" x14ac:dyDescent="0.3">
      <c r="A114" s="362" t="s">
        <v>71</v>
      </c>
      <c r="B114" s="359" t="s">
        <v>243</v>
      </c>
      <c r="C114" s="399"/>
      <c r="D114" s="399"/>
      <c r="E114" s="399"/>
      <c r="F114" s="399"/>
      <c r="G114" s="399"/>
      <c r="H114" s="912">
        <f t="shared" si="1"/>
        <v>0</v>
      </c>
    </row>
    <row r="115" spans="1:8" ht="12" customHeight="1" x14ac:dyDescent="0.3">
      <c r="A115" s="362" t="s">
        <v>73</v>
      </c>
      <c r="B115" s="359" t="s">
        <v>244</v>
      </c>
      <c r="C115" s="399"/>
      <c r="D115" s="399"/>
      <c r="E115" s="399"/>
      <c r="F115" s="399"/>
      <c r="G115" s="399"/>
      <c r="H115" s="912">
        <f t="shared" si="1"/>
        <v>0</v>
      </c>
    </row>
    <row r="116" spans="1:8" ht="12" customHeight="1" x14ac:dyDescent="0.3">
      <c r="A116" s="362" t="s">
        <v>75</v>
      </c>
      <c r="B116" s="390" t="s">
        <v>245</v>
      </c>
      <c r="C116" s="399"/>
      <c r="D116" s="399"/>
      <c r="E116" s="399"/>
      <c r="F116" s="399"/>
      <c r="G116" s="399"/>
      <c r="H116" s="912">
        <f t="shared" si="1"/>
        <v>0</v>
      </c>
    </row>
    <row r="117" spans="1:8" ht="21.75" customHeight="1" x14ac:dyDescent="0.3">
      <c r="A117" s="362" t="s">
        <v>77</v>
      </c>
      <c r="B117" s="389" t="s">
        <v>246</v>
      </c>
      <c r="C117" s="399"/>
      <c r="D117" s="399"/>
      <c r="E117" s="399"/>
      <c r="F117" s="399"/>
      <c r="G117" s="399"/>
      <c r="H117" s="912">
        <f t="shared" si="1"/>
        <v>0</v>
      </c>
    </row>
    <row r="118" spans="1:8" ht="24" customHeight="1" x14ac:dyDescent="0.3">
      <c r="A118" s="362" t="s">
        <v>247</v>
      </c>
      <c r="B118" s="405" t="s">
        <v>248</v>
      </c>
      <c r="C118" s="399"/>
      <c r="D118" s="399"/>
      <c r="E118" s="399"/>
      <c r="F118" s="399"/>
      <c r="G118" s="399"/>
      <c r="H118" s="912">
        <f t="shared" si="1"/>
        <v>0</v>
      </c>
    </row>
    <row r="119" spans="1:8" ht="12" customHeight="1" x14ac:dyDescent="0.3">
      <c r="A119" s="362" t="s">
        <v>249</v>
      </c>
      <c r="B119" s="378" t="s">
        <v>227</v>
      </c>
      <c r="C119" s="399"/>
      <c r="D119" s="399"/>
      <c r="E119" s="399"/>
      <c r="F119" s="399"/>
      <c r="G119" s="399"/>
      <c r="H119" s="912">
        <f t="shared" si="1"/>
        <v>0</v>
      </c>
    </row>
    <row r="120" spans="1:8" ht="12" customHeight="1" x14ac:dyDescent="0.3">
      <c r="A120" s="362" t="s">
        <v>250</v>
      </c>
      <c r="B120" s="378" t="s">
        <v>251</v>
      </c>
      <c r="C120" s="399"/>
      <c r="D120" s="399"/>
      <c r="E120" s="399"/>
      <c r="F120" s="399"/>
      <c r="G120" s="399"/>
      <c r="H120" s="912">
        <f t="shared" si="1"/>
        <v>0</v>
      </c>
    </row>
    <row r="121" spans="1:8" ht="12" customHeight="1" x14ac:dyDescent="0.3">
      <c r="A121" s="362" t="s">
        <v>252</v>
      </c>
      <c r="B121" s="378" t="s">
        <v>253</v>
      </c>
      <c r="C121" s="399"/>
      <c r="D121" s="399"/>
      <c r="E121" s="399"/>
      <c r="F121" s="399"/>
      <c r="G121" s="399"/>
      <c r="H121" s="912">
        <f t="shared" si="1"/>
        <v>0</v>
      </c>
    </row>
    <row r="122" spans="1:8" s="427" customFormat="1" ht="12" customHeight="1" x14ac:dyDescent="0.25">
      <c r="A122" s="362" t="s">
        <v>254</v>
      </c>
      <c r="B122" s="378" t="s">
        <v>233</v>
      </c>
      <c r="C122" s="399"/>
      <c r="D122" s="399"/>
      <c r="E122" s="399"/>
      <c r="F122" s="399"/>
      <c r="G122" s="399"/>
      <c r="H122" s="912">
        <f t="shared" si="1"/>
        <v>0</v>
      </c>
    </row>
    <row r="123" spans="1:8" ht="12" customHeight="1" x14ac:dyDescent="0.3">
      <c r="A123" s="362" t="s">
        <v>255</v>
      </c>
      <c r="B123" s="378" t="s">
        <v>256</v>
      </c>
      <c r="C123" s="399"/>
      <c r="D123" s="399"/>
      <c r="E123" s="399"/>
      <c r="F123" s="399"/>
      <c r="G123" s="399"/>
      <c r="H123" s="912">
        <f t="shared" si="1"/>
        <v>0</v>
      </c>
    </row>
    <row r="124" spans="1:8" ht="12" customHeight="1" thickBot="1" x14ac:dyDescent="0.35">
      <c r="A124" s="360" t="s">
        <v>257</v>
      </c>
      <c r="B124" s="378" t="s">
        <v>258</v>
      </c>
      <c r="C124" s="401"/>
      <c r="D124" s="401"/>
      <c r="E124" s="401"/>
      <c r="F124" s="401"/>
      <c r="G124" s="401"/>
      <c r="H124" s="912">
        <f t="shared" si="1"/>
        <v>0</v>
      </c>
    </row>
    <row r="125" spans="1:8" ht="12" customHeight="1" thickBot="1" x14ac:dyDescent="0.35">
      <c r="A125" s="367" t="s">
        <v>79</v>
      </c>
      <c r="B125" s="375" t="s">
        <v>259</v>
      </c>
      <c r="C125" s="398">
        <f>+C126+C127</f>
        <v>0</v>
      </c>
      <c r="D125" s="398">
        <f>+D126+D127</f>
        <v>0</v>
      </c>
      <c r="E125" s="398">
        <f>+E126+E127</f>
        <v>0</v>
      </c>
      <c r="F125" s="398">
        <f>+F126+F127</f>
        <v>0</v>
      </c>
      <c r="G125" s="398">
        <f>+G126+G127</f>
        <v>0</v>
      </c>
      <c r="H125" s="912">
        <f t="shared" si="1"/>
        <v>0</v>
      </c>
    </row>
    <row r="126" spans="1:8" ht="12" customHeight="1" x14ac:dyDescent="0.3">
      <c r="A126" s="362" t="s">
        <v>81</v>
      </c>
      <c r="B126" s="356" t="s">
        <v>260</v>
      </c>
      <c r="C126" s="400"/>
      <c r="D126" s="400"/>
      <c r="E126" s="400"/>
      <c r="F126" s="400"/>
      <c r="G126" s="400"/>
      <c r="H126" s="912">
        <f t="shared" si="1"/>
        <v>0</v>
      </c>
    </row>
    <row r="127" spans="1:8" ht="12" customHeight="1" thickBot="1" x14ac:dyDescent="0.35">
      <c r="A127" s="363" t="s">
        <v>83</v>
      </c>
      <c r="B127" s="359" t="s">
        <v>261</v>
      </c>
      <c r="C127" s="401"/>
      <c r="D127" s="401">
        <f>1500000-1500000</f>
        <v>0</v>
      </c>
      <c r="E127" s="401">
        <f>1500000-1500000</f>
        <v>0</v>
      </c>
      <c r="F127" s="401">
        <f>1500000-1500000</f>
        <v>0</v>
      </c>
      <c r="G127" s="401">
        <f>1500000-1500000</f>
        <v>0</v>
      </c>
      <c r="H127" s="912">
        <f t="shared" si="1"/>
        <v>0</v>
      </c>
    </row>
    <row r="128" spans="1:8" ht="12" customHeight="1" thickBot="1" x14ac:dyDescent="0.35">
      <c r="A128" s="367" t="s">
        <v>262</v>
      </c>
      <c r="B128" s="375" t="s">
        <v>263</v>
      </c>
      <c r="C128" s="398">
        <f>+C95+C111+C125</f>
        <v>84791706</v>
      </c>
      <c r="D128" s="398">
        <f>+D95+D111+D125</f>
        <v>85512972</v>
      </c>
      <c r="E128" s="398">
        <f>+E95+E111+E125</f>
        <v>90169972</v>
      </c>
      <c r="F128" s="398">
        <f>+F95+F111+F125</f>
        <v>90169972</v>
      </c>
      <c r="G128" s="398">
        <f>+G95+G111+G125</f>
        <v>90169972</v>
      </c>
      <c r="H128" s="912">
        <f t="shared" si="1"/>
        <v>0</v>
      </c>
    </row>
    <row r="129" spans="1:8" ht="12" customHeight="1" thickBot="1" x14ac:dyDescent="0.35">
      <c r="A129" s="367" t="s">
        <v>107</v>
      </c>
      <c r="B129" s="375" t="s">
        <v>264</v>
      </c>
      <c r="C129" s="398">
        <f>+C130+C131+C132</f>
        <v>0</v>
      </c>
      <c r="D129" s="398">
        <f>+D130+D131+D132</f>
        <v>0</v>
      </c>
      <c r="E129" s="398">
        <f>+E130+E131+E132</f>
        <v>0</v>
      </c>
      <c r="F129" s="398">
        <f>+F130+F131+F132</f>
        <v>0</v>
      </c>
      <c r="G129" s="398">
        <f>+G130+G131+G132</f>
        <v>0</v>
      </c>
      <c r="H129" s="912">
        <f t="shared" si="1"/>
        <v>0</v>
      </c>
    </row>
    <row r="130" spans="1:8" ht="12" customHeight="1" x14ac:dyDescent="0.3">
      <c r="A130" s="362" t="s">
        <v>109</v>
      </c>
      <c r="B130" s="356" t="s">
        <v>265</v>
      </c>
      <c r="C130" s="399"/>
      <c r="D130" s="399"/>
      <c r="E130" s="399"/>
      <c r="F130" s="399"/>
      <c r="G130" s="399"/>
      <c r="H130" s="912">
        <f t="shared" si="1"/>
        <v>0</v>
      </c>
    </row>
    <row r="131" spans="1:8" ht="12" customHeight="1" x14ac:dyDescent="0.3">
      <c r="A131" s="362" t="s">
        <v>111</v>
      </c>
      <c r="B131" s="356" t="s">
        <v>266</v>
      </c>
      <c r="C131" s="399"/>
      <c r="D131" s="399"/>
      <c r="E131" s="399"/>
      <c r="F131" s="399"/>
      <c r="G131" s="399"/>
      <c r="H131" s="912">
        <f t="shared" si="1"/>
        <v>0</v>
      </c>
    </row>
    <row r="132" spans="1:8" ht="12" customHeight="1" thickBot="1" x14ac:dyDescent="0.35">
      <c r="A132" s="360" t="s">
        <v>113</v>
      </c>
      <c r="B132" s="354" t="s">
        <v>267</v>
      </c>
      <c r="C132" s="399"/>
      <c r="D132" s="399"/>
      <c r="E132" s="399"/>
      <c r="F132" s="399"/>
      <c r="G132" s="399"/>
      <c r="H132" s="912">
        <f t="shared" si="1"/>
        <v>0</v>
      </c>
    </row>
    <row r="133" spans="1:8" ht="12" customHeight="1" thickBot="1" x14ac:dyDescent="0.35">
      <c r="A133" s="367" t="s">
        <v>129</v>
      </c>
      <c r="B133" s="375" t="s">
        <v>268</v>
      </c>
      <c r="C133" s="398">
        <f>+C134+C135+C137+C136</f>
        <v>0</v>
      </c>
      <c r="D133" s="398">
        <f>+D134+D135+D137+D136</f>
        <v>0</v>
      </c>
      <c r="E133" s="398">
        <f>+E134+E135+E137+E136</f>
        <v>0</v>
      </c>
      <c r="F133" s="398">
        <f>+F134+F135+F137+F136</f>
        <v>0</v>
      </c>
      <c r="G133" s="398">
        <f>+G134+G135+G137+G136</f>
        <v>0</v>
      </c>
      <c r="H133" s="912">
        <f t="shared" si="1"/>
        <v>0</v>
      </c>
    </row>
    <row r="134" spans="1:8" ht="12" customHeight="1" x14ac:dyDescent="0.3">
      <c r="A134" s="362" t="s">
        <v>131</v>
      </c>
      <c r="B134" s="356" t="s">
        <v>269</v>
      </c>
      <c r="C134" s="399"/>
      <c r="D134" s="399"/>
      <c r="E134" s="399"/>
      <c r="F134" s="399"/>
      <c r="G134" s="399"/>
      <c r="H134" s="912">
        <f t="shared" si="1"/>
        <v>0</v>
      </c>
    </row>
    <row r="135" spans="1:8" ht="12" customHeight="1" x14ac:dyDescent="0.3">
      <c r="A135" s="362" t="s">
        <v>133</v>
      </c>
      <c r="B135" s="356" t="s">
        <v>270</v>
      </c>
      <c r="C135" s="399"/>
      <c r="D135" s="399"/>
      <c r="E135" s="399"/>
      <c r="F135" s="399"/>
      <c r="G135" s="399"/>
      <c r="H135" s="912">
        <f t="shared" si="1"/>
        <v>0</v>
      </c>
    </row>
    <row r="136" spans="1:8" ht="12" customHeight="1" x14ac:dyDescent="0.3">
      <c r="A136" s="362" t="s">
        <v>135</v>
      </c>
      <c r="B136" s="356" t="s">
        <v>271</v>
      </c>
      <c r="C136" s="399"/>
      <c r="D136" s="399"/>
      <c r="E136" s="399"/>
      <c r="F136" s="399"/>
      <c r="G136" s="399"/>
      <c r="H136" s="912">
        <f t="shared" si="1"/>
        <v>0</v>
      </c>
    </row>
    <row r="137" spans="1:8" ht="12" customHeight="1" thickBot="1" x14ac:dyDescent="0.35">
      <c r="A137" s="360" t="s">
        <v>137</v>
      </c>
      <c r="B137" s="354" t="s">
        <v>272</v>
      </c>
      <c r="C137" s="399"/>
      <c r="D137" s="399"/>
      <c r="E137" s="399"/>
      <c r="F137" s="399"/>
      <c r="G137" s="399"/>
      <c r="H137" s="912">
        <f t="shared" ref="H137:H149" si="2">G137-F137</f>
        <v>0</v>
      </c>
    </row>
    <row r="138" spans="1:8" ht="12" customHeight="1" thickBot="1" x14ac:dyDescent="0.35">
      <c r="A138" s="367" t="s">
        <v>273</v>
      </c>
      <c r="B138" s="375" t="s">
        <v>274</v>
      </c>
      <c r="C138" s="404">
        <f>+C139+C140+C141+C142</f>
        <v>0</v>
      </c>
      <c r="D138" s="404">
        <f>+D139+D140+D141+D142</f>
        <v>0</v>
      </c>
      <c r="E138" s="404">
        <f>+E139+E140+E141+E142</f>
        <v>0</v>
      </c>
      <c r="F138" s="404">
        <f>+F139+F140+F141+F142</f>
        <v>0</v>
      </c>
      <c r="G138" s="404">
        <f>+G139+G140+G141+G142</f>
        <v>0</v>
      </c>
      <c r="H138" s="912">
        <f t="shared" si="2"/>
        <v>0</v>
      </c>
    </row>
    <row r="139" spans="1:8" ht="12" customHeight="1" x14ac:dyDescent="0.3">
      <c r="A139" s="362" t="s">
        <v>143</v>
      </c>
      <c r="B139" s="356" t="s">
        <v>275</v>
      </c>
      <c r="C139" s="399"/>
      <c r="D139" s="399"/>
      <c r="E139" s="399"/>
      <c r="F139" s="399"/>
      <c r="G139" s="399"/>
      <c r="H139" s="912">
        <f t="shared" si="2"/>
        <v>0</v>
      </c>
    </row>
    <row r="140" spans="1:8" ht="12" customHeight="1" x14ac:dyDescent="0.3">
      <c r="A140" s="362" t="s">
        <v>145</v>
      </c>
      <c r="B140" s="356" t="s">
        <v>276</v>
      </c>
      <c r="C140" s="399"/>
      <c r="D140" s="399"/>
      <c r="E140" s="399"/>
      <c r="F140" s="399"/>
      <c r="G140" s="399"/>
      <c r="H140" s="912">
        <f t="shared" si="2"/>
        <v>0</v>
      </c>
    </row>
    <row r="141" spans="1:8" ht="12" customHeight="1" x14ac:dyDescent="0.3">
      <c r="A141" s="362" t="s">
        <v>147</v>
      </c>
      <c r="B141" s="356" t="s">
        <v>277</v>
      </c>
      <c r="C141" s="399"/>
      <c r="D141" s="399"/>
      <c r="E141" s="399"/>
      <c r="F141" s="399"/>
      <c r="G141" s="399"/>
      <c r="H141" s="912">
        <f t="shared" si="2"/>
        <v>0</v>
      </c>
    </row>
    <row r="142" spans="1:8" ht="12" customHeight="1" thickBot="1" x14ac:dyDescent="0.35">
      <c r="A142" s="360" t="s">
        <v>149</v>
      </c>
      <c r="B142" s="354" t="s">
        <v>278</v>
      </c>
      <c r="C142" s="399"/>
      <c r="D142" s="399"/>
      <c r="E142" s="399"/>
      <c r="F142" s="399"/>
      <c r="G142" s="399"/>
      <c r="H142" s="912">
        <f t="shared" si="2"/>
        <v>0</v>
      </c>
    </row>
    <row r="143" spans="1:8" ht="15" customHeight="1" thickBot="1" x14ac:dyDescent="0.35">
      <c r="A143" s="367" t="s">
        <v>151</v>
      </c>
      <c r="B143" s="375" t="s">
        <v>279</v>
      </c>
      <c r="C143" s="94">
        <f>+C144+C145+C146+C147</f>
        <v>0</v>
      </c>
      <c r="D143" s="94">
        <f>+D144+D145+D146+D147</f>
        <v>0</v>
      </c>
      <c r="E143" s="94">
        <f>+E144+E145+E146+E147</f>
        <v>0</v>
      </c>
      <c r="F143" s="94">
        <f>+F144+F145+F146+F147</f>
        <v>0</v>
      </c>
      <c r="G143" s="94">
        <f>+G144+G145+G146+G147</f>
        <v>0</v>
      </c>
      <c r="H143" s="912">
        <f t="shared" si="2"/>
        <v>0</v>
      </c>
    </row>
    <row r="144" spans="1:8" s="408" customFormat="1" ht="12.9" customHeight="1" x14ac:dyDescent="0.25">
      <c r="A144" s="362" t="s">
        <v>153</v>
      </c>
      <c r="B144" s="356" t="s">
        <v>280</v>
      </c>
      <c r="C144" s="399"/>
      <c r="D144" s="399"/>
      <c r="E144" s="399"/>
      <c r="F144" s="399"/>
      <c r="G144" s="399"/>
      <c r="H144" s="912">
        <f t="shared" si="2"/>
        <v>0</v>
      </c>
    </row>
    <row r="145" spans="1:8" ht="12.75" customHeight="1" x14ac:dyDescent="0.3">
      <c r="A145" s="362" t="s">
        <v>155</v>
      </c>
      <c r="B145" s="356" t="s">
        <v>281</v>
      </c>
      <c r="C145" s="399"/>
      <c r="D145" s="399"/>
      <c r="E145" s="399"/>
      <c r="F145" s="399"/>
      <c r="G145" s="399"/>
      <c r="H145" s="912">
        <f t="shared" si="2"/>
        <v>0</v>
      </c>
    </row>
    <row r="146" spans="1:8" ht="12.75" customHeight="1" x14ac:dyDescent="0.3">
      <c r="A146" s="362" t="s">
        <v>157</v>
      </c>
      <c r="B146" s="356" t="s">
        <v>282</v>
      </c>
      <c r="C146" s="399"/>
      <c r="D146" s="399"/>
      <c r="E146" s="399"/>
      <c r="F146" s="399"/>
      <c r="G146" s="399"/>
      <c r="H146" s="912">
        <f t="shared" si="2"/>
        <v>0</v>
      </c>
    </row>
    <row r="147" spans="1:8" ht="12.75" customHeight="1" thickBot="1" x14ac:dyDescent="0.35">
      <c r="A147" s="362" t="s">
        <v>159</v>
      </c>
      <c r="B147" s="356" t="s">
        <v>283</v>
      </c>
      <c r="C147" s="399"/>
      <c r="D147" s="399"/>
      <c r="E147" s="399"/>
      <c r="F147" s="399"/>
      <c r="G147" s="399"/>
      <c r="H147" s="912">
        <f t="shared" si="2"/>
        <v>0</v>
      </c>
    </row>
    <row r="148" spans="1:8" ht="16.2" thickBot="1" x14ac:dyDescent="0.35">
      <c r="A148" s="367" t="s">
        <v>161</v>
      </c>
      <c r="B148" s="375" t="s">
        <v>284</v>
      </c>
      <c r="C148" s="349">
        <f>+C129+C133+C138+C143</f>
        <v>0</v>
      </c>
      <c r="D148" s="349">
        <f>+D129+D133+D138+D143</f>
        <v>0</v>
      </c>
      <c r="E148" s="349">
        <f>+E129+E133+E138+E143</f>
        <v>0</v>
      </c>
      <c r="F148" s="349">
        <f>+F129+F133+F138+F143</f>
        <v>0</v>
      </c>
      <c r="G148" s="349">
        <f>+G129+G133+G138+G143</f>
        <v>0</v>
      </c>
      <c r="H148" s="912">
        <f t="shared" si="2"/>
        <v>0</v>
      </c>
    </row>
    <row r="149" spans="1:8" ht="16.2" thickBot="1" x14ac:dyDescent="0.35">
      <c r="A149" s="391" t="s">
        <v>285</v>
      </c>
      <c r="B149" s="394" t="s">
        <v>286</v>
      </c>
      <c r="C149" s="349">
        <f>+C128+C148</f>
        <v>84791706</v>
      </c>
      <c r="D149" s="349">
        <f>+D128+D148</f>
        <v>85512972</v>
      </c>
      <c r="E149" s="349">
        <f>+E128+E148</f>
        <v>90169972</v>
      </c>
      <c r="F149" s="349">
        <f>+F128+F148</f>
        <v>90169972</v>
      </c>
      <c r="G149" s="349">
        <f>+G128+G148</f>
        <v>90169972</v>
      </c>
      <c r="H149" s="912">
        <f t="shared" si="2"/>
        <v>0</v>
      </c>
    </row>
    <row r="150" spans="1:8" x14ac:dyDescent="0.3">
      <c r="D150" s="811">
        <f>D87-D149</f>
        <v>0</v>
      </c>
      <c r="E150" s="811">
        <f>E87-E149</f>
        <v>0</v>
      </c>
      <c r="G150" s="812">
        <f>G87-G149</f>
        <v>0</v>
      </c>
    </row>
    <row r="151" spans="1:8" ht="7.5" customHeight="1" x14ac:dyDescent="0.3"/>
    <row r="153" spans="1:8" ht="12.75" customHeight="1" x14ac:dyDescent="0.3"/>
    <row r="154" spans="1:8" ht="12.75" customHeight="1" x14ac:dyDescent="0.3"/>
    <row r="155" spans="1:8" ht="12.75" customHeight="1" x14ac:dyDescent="0.3"/>
    <row r="156" spans="1:8" ht="12.75" customHeight="1" x14ac:dyDescent="0.3"/>
    <row r="157" spans="1:8" ht="12.75" customHeight="1" x14ac:dyDescent="0.3"/>
    <row r="158" spans="1:8" ht="12.75" customHeight="1" x14ac:dyDescent="0.3">
      <c r="A158" s="406"/>
      <c r="B158" s="406"/>
    </row>
    <row r="159" spans="1:8" ht="12.75" customHeight="1" x14ac:dyDescent="0.3">
      <c r="A159" s="406"/>
      <c r="B159" s="406"/>
    </row>
    <row r="160" spans="1:8" s="395" customFormat="1" ht="12.75" customHeight="1" x14ac:dyDescent="0.3">
      <c r="C160" s="396"/>
      <c r="D160" s="396"/>
      <c r="E160" s="396"/>
    </row>
  </sheetData>
  <mergeCells count="8">
    <mergeCell ref="A92:A93"/>
    <mergeCell ref="B92:B93"/>
    <mergeCell ref="A3:E3"/>
    <mergeCell ref="A5:A6"/>
    <mergeCell ref="B5:B6"/>
    <mergeCell ref="A90:E90"/>
    <mergeCell ref="C5:G5"/>
    <mergeCell ref="C92:G92"/>
  </mergeCells>
  <printOptions horizontalCentered="1"/>
  <pageMargins left="0.70866141732283472" right="0.70866141732283472" top="1.3385826771653544" bottom="0.94488188976377963" header="0.78740157480314965" footer="0.31496062992125984"/>
  <pageSetup paperSize="9" scale="62" orientation="portrait" r:id="rId1"/>
  <headerFooter>
    <oddHeader xml:space="preserve">&amp;C&amp;"Times New Roman CE,Félkövér"KÉK GÉZA MŰVELŐDÉSI HÁZ ÉS KÖNYVTÁR
ELEMI KÖLTSÉGVETÉSÉNEK TELJESÍTÉSE 
&amp;R21_22. melléklet a 2/2020. (II.28.) önk. rendelethez 
&amp;"Times New Roman CE,Félkövér dőlt"
</oddHeader>
  </headerFooter>
  <rowBreaks count="1" manualBreakCount="1">
    <brk id="89" max="6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S53"/>
  <sheetViews>
    <sheetView view="pageLayout" zoomScale="89" zoomScaleNormal="100" zoomScalePageLayoutView="89" workbookViewId="0">
      <selection activeCell="G2" sqref="G2:G3"/>
    </sheetView>
  </sheetViews>
  <sheetFormatPr defaultColWidth="9.33203125" defaultRowHeight="14.4" x14ac:dyDescent="0.3"/>
  <cols>
    <col min="1" max="1" width="9.33203125" style="831"/>
    <col min="2" max="2" width="48.6640625" style="831" customWidth="1"/>
    <col min="3" max="3" width="17.77734375" style="831" customWidth="1"/>
    <col min="4" max="4" width="18" style="831" customWidth="1"/>
    <col min="5" max="7" width="18.109375" style="831" customWidth="1"/>
    <col min="8" max="8" width="13.109375" style="831" customWidth="1"/>
    <col min="9" max="9" width="13.44140625" style="831" customWidth="1"/>
    <col min="10" max="10" width="9.33203125" style="831"/>
    <col min="11" max="11" width="15.77734375" style="831" customWidth="1"/>
    <col min="12" max="12" width="12.33203125" style="831" customWidth="1"/>
    <col min="13" max="13" width="17.77734375" style="831" customWidth="1"/>
    <col min="14" max="14" width="34.77734375" style="831" customWidth="1"/>
    <col min="15" max="16384" width="9.33203125" style="831"/>
  </cols>
  <sheetData>
    <row r="1" spans="1:19" ht="15" thickBot="1" x14ac:dyDescent="0.35">
      <c r="A1" s="828"/>
      <c r="B1" s="828"/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830" t="s">
        <v>1796</v>
      </c>
      <c r="O1" s="829"/>
      <c r="P1" s="829"/>
      <c r="Q1" s="829"/>
      <c r="R1" s="829"/>
      <c r="S1" s="829"/>
    </row>
    <row r="2" spans="1:19" ht="15.75" customHeight="1" thickBot="1" x14ac:dyDescent="0.35">
      <c r="A2" s="1659" t="s">
        <v>588</v>
      </c>
      <c r="B2" s="1660" t="s">
        <v>293</v>
      </c>
      <c r="C2" s="1659" t="s">
        <v>43</v>
      </c>
      <c r="D2" s="1657" t="s">
        <v>2175</v>
      </c>
      <c r="E2" s="1657" t="s">
        <v>2173</v>
      </c>
      <c r="F2" s="1657" t="s">
        <v>2174</v>
      </c>
      <c r="G2" s="1657" t="s">
        <v>2182</v>
      </c>
      <c r="H2" s="1661" t="s">
        <v>1797</v>
      </c>
      <c r="I2" s="1661"/>
      <c r="J2" s="1661"/>
      <c r="K2" s="1661"/>
      <c r="L2" s="1661"/>
      <c r="M2" s="1661"/>
      <c r="N2" s="1657" t="s">
        <v>1798</v>
      </c>
    </row>
    <row r="3" spans="1:19" ht="28.2" thickBot="1" x14ac:dyDescent="0.35">
      <c r="A3" s="1659"/>
      <c r="B3" s="1660"/>
      <c r="C3" s="1659"/>
      <c r="D3" s="1658"/>
      <c r="E3" s="1658"/>
      <c r="F3" s="1658"/>
      <c r="G3" s="1658"/>
      <c r="H3" s="927" t="s">
        <v>1799</v>
      </c>
      <c r="I3" s="927" t="s">
        <v>1859</v>
      </c>
      <c r="J3" s="927" t="s">
        <v>1800</v>
      </c>
      <c r="K3" s="927" t="s">
        <v>1801</v>
      </c>
      <c r="L3" s="832" t="s">
        <v>1802</v>
      </c>
      <c r="M3" s="927" t="s">
        <v>403</v>
      </c>
      <c r="N3" s="1658"/>
    </row>
    <row r="4" spans="1:19" ht="15" thickBot="1" x14ac:dyDescent="0.35">
      <c r="A4" s="965"/>
      <c r="B4" s="929" t="s">
        <v>1803</v>
      </c>
      <c r="C4" s="834">
        <f>SUM(C5:C24)</f>
        <v>103722145</v>
      </c>
      <c r="D4" s="834">
        <f>SUM(D5:D24)</f>
        <v>86684545</v>
      </c>
      <c r="E4" s="834">
        <f>SUM(E5:E25)</f>
        <v>94118455</v>
      </c>
      <c r="F4" s="834">
        <f>SUM(F5:F25)</f>
        <v>91993972</v>
      </c>
      <c r="G4" s="834">
        <f>SUM(G5:G25)</f>
        <v>67441294</v>
      </c>
      <c r="H4" s="834">
        <f>SUM(H5:H25)</f>
        <v>278000</v>
      </c>
      <c r="I4" s="1448"/>
      <c r="J4" s="834">
        <f>SUM(J5:J12)</f>
        <v>0</v>
      </c>
      <c r="K4" s="834">
        <f>SUM(K5:K12)</f>
        <v>13700000</v>
      </c>
      <c r="L4" s="834">
        <f>SUM(L5:L12)</f>
        <v>0</v>
      </c>
      <c r="M4" s="834">
        <f>SUM(M5:M24)</f>
        <v>53463294</v>
      </c>
      <c r="N4" s="834"/>
    </row>
    <row r="5" spans="1:19" ht="15" customHeight="1" x14ac:dyDescent="0.3">
      <c r="A5" s="917">
        <v>1</v>
      </c>
      <c r="B5" s="1567" t="s">
        <v>1842</v>
      </c>
      <c r="C5" s="1647">
        <v>20000000</v>
      </c>
      <c r="D5" s="1649">
        <v>20000000</v>
      </c>
      <c r="E5" s="1649">
        <v>20000000</v>
      </c>
      <c r="F5" s="1649">
        <v>20000000</v>
      </c>
      <c r="G5" s="1649"/>
      <c r="H5" s="1651"/>
      <c r="I5" s="1655"/>
      <c r="J5" s="1653"/>
      <c r="K5" s="1641"/>
      <c r="L5" s="1641"/>
      <c r="M5" s="1643"/>
      <c r="N5" s="1645" t="s">
        <v>421</v>
      </c>
    </row>
    <row r="6" spans="1:19" x14ac:dyDescent="0.3">
      <c r="A6" s="918">
        <v>2</v>
      </c>
      <c r="B6" s="1568"/>
      <c r="C6" s="1648"/>
      <c r="D6" s="1650"/>
      <c r="E6" s="1650"/>
      <c r="F6" s="1650"/>
      <c r="G6" s="1650"/>
      <c r="H6" s="1652"/>
      <c r="I6" s="1656"/>
      <c r="J6" s="1654"/>
      <c r="K6" s="1642"/>
      <c r="L6" s="1642"/>
      <c r="M6" s="1644"/>
      <c r="N6" s="1646"/>
    </row>
    <row r="7" spans="1:19" x14ac:dyDescent="0.3">
      <c r="A7" s="918">
        <v>3</v>
      </c>
      <c r="B7" s="928"/>
      <c r="C7" s="838">
        <f>3000000+1409400</f>
        <v>4409400</v>
      </c>
      <c r="D7" s="1431">
        <f>3000000+1409400</f>
        <v>4409400</v>
      </c>
      <c r="E7" s="1431">
        <f>3000000+1409400</f>
        <v>4409400</v>
      </c>
      <c r="F7" s="1431">
        <f>3000000+1409400</f>
        <v>4409400</v>
      </c>
      <c r="G7" s="1431"/>
      <c r="H7" s="1569"/>
      <c r="I7" s="840"/>
      <c r="J7" s="1570"/>
      <c r="K7" s="841"/>
      <c r="L7" s="842"/>
      <c r="M7" s="838"/>
      <c r="N7" s="843" t="s">
        <v>421</v>
      </c>
    </row>
    <row r="8" spans="1:19" x14ac:dyDescent="0.3">
      <c r="A8" s="918">
        <v>4</v>
      </c>
      <c r="B8" s="1424" t="s">
        <v>1843</v>
      </c>
      <c r="C8" s="1562">
        <v>10000000</v>
      </c>
      <c r="D8" s="1452">
        <v>5000000</v>
      </c>
      <c r="E8" s="1452">
        <v>5000000</v>
      </c>
      <c r="F8" s="1452">
        <v>5000000</v>
      </c>
      <c r="G8" s="1452">
        <v>5000000</v>
      </c>
      <c r="H8" s="1569"/>
      <c r="I8" s="840"/>
      <c r="J8" s="1570"/>
      <c r="K8" s="841"/>
      <c r="L8" s="842"/>
      <c r="M8" s="838">
        <v>5000000</v>
      </c>
      <c r="N8" s="843" t="s">
        <v>421</v>
      </c>
    </row>
    <row r="9" spans="1:19" x14ac:dyDescent="0.3">
      <c r="A9" s="918">
        <v>5</v>
      </c>
      <c r="B9" s="1424" t="s">
        <v>1844</v>
      </c>
      <c r="C9" s="1562">
        <v>20000000</v>
      </c>
      <c r="D9" s="1452">
        <v>10000000</v>
      </c>
      <c r="E9" s="1452">
        <v>5000000</v>
      </c>
      <c r="F9" s="1452">
        <v>5000000</v>
      </c>
      <c r="G9" s="1452">
        <v>5000000</v>
      </c>
      <c r="H9" s="1569"/>
      <c r="I9" s="840"/>
      <c r="J9" s="1570"/>
      <c r="K9" s="841"/>
      <c r="L9" s="842"/>
      <c r="M9" s="838">
        <v>5000000</v>
      </c>
      <c r="N9" s="843" t="s">
        <v>421</v>
      </c>
    </row>
    <row r="10" spans="1:19" x14ac:dyDescent="0.3">
      <c r="A10" s="918">
        <v>6</v>
      </c>
      <c r="B10" s="1424" t="s">
        <v>1845</v>
      </c>
      <c r="C10" s="1562">
        <v>25000000</v>
      </c>
      <c r="D10" s="1452">
        <v>25000000</v>
      </c>
      <c r="E10" s="1452">
        <v>25000000</v>
      </c>
      <c r="F10" s="1452">
        <v>25000000</v>
      </c>
      <c r="G10" s="1452">
        <v>25000000</v>
      </c>
      <c r="H10" s="1569"/>
      <c r="I10" s="840"/>
      <c r="J10" s="1570"/>
      <c r="K10" s="841">
        <v>12700000</v>
      </c>
      <c r="L10" s="842"/>
      <c r="M10" s="838">
        <v>12300000</v>
      </c>
      <c r="N10" s="843" t="s">
        <v>421</v>
      </c>
    </row>
    <row r="11" spans="1:19" x14ac:dyDescent="0.3">
      <c r="A11" s="918">
        <v>7</v>
      </c>
      <c r="B11" s="1424" t="s">
        <v>2148</v>
      </c>
      <c r="C11" s="1562">
        <v>2000000</v>
      </c>
      <c r="D11" s="1452">
        <v>2000000</v>
      </c>
      <c r="E11" s="1452">
        <f>D11+3534410</f>
        <v>5534410</v>
      </c>
      <c r="F11" s="1452">
        <f>E11</f>
        <v>5534410</v>
      </c>
      <c r="G11" s="1452">
        <f>F11</f>
        <v>5534410</v>
      </c>
      <c r="H11" s="1569"/>
      <c r="I11" s="840"/>
      <c r="J11" s="1570"/>
      <c r="K11" s="841">
        <v>1000000</v>
      </c>
      <c r="L11" s="842"/>
      <c r="M11" s="838">
        <v>4534410</v>
      </c>
      <c r="N11" s="843" t="s">
        <v>421</v>
      </c>
    </row>
    <row r="12" spans="1:19" x14ac:dyDescent="0.3">
      <c r="A12" s="918">
        <v>8</v>
      </c>
      <c r="B12" s="1424" t="s">
        <v>1846</v>
      </c>
      <c r="C12" s="1562">
        <v>2137945</v>
      </c>
      <c r="D12" s="1452">
        <v>2137945</v>
      </c>
      <c r="E12" s="1452">
        <v>2137945</v>
      </c>
      <c r="F12" s="1452">
        <f>2137945-2137945</f>
        <v>0</v>
      </c>
      <c r="G12" s="1452">
        <f>2137945-2137945</f>
        <v>0</v>
      </c>
      <c r="H12" s="1569"/>
      <c r="I12" s="840"/>
      <c r="J12" s="1570"/>
      <c r="K12" s="841"/>
      <c r="L12" s="842"/>
      <c r="M12" s="838">
        <v>0</v>
      </c>
      <c r="N12" s="843" t="s">
        <v>421</v>
      </c>
    </row>
    <row r="13" spans="1:19" x14ac:dyDescent="0.3">
      <c r="A13" s="918">
        <v>9</v>
      </c>
      <c r="B13" s="1424" t="s">
        <v>1847</v>
      </c>
      <c r="C13" s="838">
        <v>3000000</v>
      </c>
      <c r="D13" s="1431">
        <v>0</v>
      </c>
      <c r="E13" s="1431">
        <v>0</v>
      </c>
      <c r="F13" s="1431">
        <v>0</v>
      </c>
      <c r="G13" s="1431">
        <v>0</v>
      </c>
      <c r="H13" s="1569"/>
      <c r="I13" s="840"/>
      <c r="J13" s="1570"/>
      <c r="K13" s="841"/>
      <c r="L13" s="842"/>
      <c r="M13" s="838">
        <v>0</v>
      </c>
      <c r="N13" s="843" t="s">
        <v>421</v>
      </c>
    </row>
    <row r="14" spans="1:19" x14ac:dyDescent="0.3">
      <c r="A14" s="918">
        <v>10</v>
      </c>
      <c r="B14" s="1424" t="s">
        <v>1848</v>
      </c>
      <c r="C14" s="838">
        <v>3000000</v>
      </c>
      <c r="D14" s="1431">
        <v>0</v>
      </c>
      <c r="E14" s="1431">
        <v>0</v>
      </c>
      <c r="F14" s="1431">
        <v>0</v>
      </c>
      <c r="G14" s="1431">
        <v>0</v>
      </c>
      <c r="H14" s="1569"/>
      <c r="I14" s="840"/>
      <c r="J14" s="1570"/>
      <c r="K14" s="841"/>
      <c r="L14" s="842"/>
      <c r="M14" s="838">
        <v>0</v>
      </c>
      <c r="N14" s="843" t="s">
        <v>421</v>
      </c>
    </row>
    <row r="15" spans="1:19" x14ac:dyDescent="0.3">
      <c r="A15" s="918">
        <v>11</v>
      </c>
      <c r="B15" s="1429" t="s">
        <v>2146</v>
      </c>
      <c r="C15" s="838"/>
      <c r="D15" s="1431">
        <v>3962400</v>
      </c>
      <c r="E15" s="1431">
        <v>3962400</v>
      </c>
      <c r="F15" s="1431">
        <v>3962400</v>
      </c>
      <c r="G15" s="1431">
        <f>3962400-755528</f>
        <v>3206872</v>
      </c>
      <c r="H15" s="1569"/>
      <c r="I15" s="840"/>
      <c r="J15" s="1570"/>
      <c r="K15" s="841"/>
      <c r="L15" s="842"/>
      <c r="M15" s="838">
        <v>3206872</v>
      </c>
      <c r="N15" s="843" t="s">
        <v>421</v>
      </c>
    </row>
    <row r="16" spans="1:19" x14ac:dyDescent="0.3">
      <c r="A16" s="918">
        <v>12</v>
      </c>
      <c r="B16" s="1429" t="s">
        <v>2147</v>
      </c>
      <c r="C16" s="1562"/>
      <c r="D16" s="1452"/>
      <c r="E16" s="1452">
        <v>3600000</v>
      </c>
      <c r="F16" s="1452">
        <v>3600000</v>
      </c>
      <c r="G16" s="1452">
        <v>3600000</v>
      </c>
      <c r="H16" s="1569"/>
      <c r="I16" s="840"/>
      <c r="J16" s="1570"/>
      <c r="K16" s="841"/>
      <c r="L16" s="842"/>
      <c r="M16" s="838">
        <v>3600000</v>
      </c>
      <c r="N16" s="843" t="s">
        <v>421</v>
      </c>
    </row>
    <row r="17" spans="1:14" x14ac:dyDescent="0.3">
      <c r="A17" s="918">
        <v>13</v>
      </c>
      <c r="B17" s="1429" t="s">
        <v>2138</v>
      </c>
      <c r="C17" s="1562"/>
      <c r="D17" s="1452"/>
      <c r="E17" s="1452">
        <v>5062500</v>
      </c>
      <c r="F17" s="1452">
        <v>5062500</v>
      </c>
      <c r="G17" s="1452">
        <v>5062500</v>
      </c>
      <c r="H17" s="1569"/>
      <c r="I17" s="840"/>
      <c r="J17" s="1570"/>
      <c r="K17" s="841"/>
      <c r="L17" s="842"/>
      <c r="M17" s="838">
        <v>5062500</v>
      </c>
      <c r="N17" s="843" t="s">
        <v>421</v>
      </c>
    </row>
    <row r="18" spans="1:14" x14ac:dyDescent="0.3">
      <c r="A18" s="918">
        <v>14</v>
      </c>
      <c r="B18" s="1424" t="s">
        <v>1849</v>
      </c>
      <c r="C18" s="1562">
        <v>5473700</v>
      </c>
      <c r="D18" s="1452">
        <v>5473700</v>
      </c>
      <c r="E18" s="1452">
        <v>5473700</v>
      </c>
      <c r="F18" s="1452">
        <f>5473700+13462</f>
        <v>5487162</v>
      </c>
      <c r="G18" s="1452">
        <f>5473700+13462</f>
        <v>5487162</v>
      </c>
      <c r="H18" s="1569"/>
      <c r="I18" s="840"/>
      <c r="J18" s="1570"/>
      <c r="K18" s="841"/>
      <c r="L18" s="842"/>
      <c r="M18" s="838">
        <v>5487162</v>
      </c>
      <c r="N18" s="843" t="s">
        <v>1804</v>
      </c>
    </row>
    <row r="19" spans="1:14" x14ac:dyDescent="0.3">
      <c r="A19" s="918">
        <v>15</v>
      </c>
      <c r="B19" s="1424" t="s">
        <v>1850</v>
      </c>
      <c r="C19" s="1562">
        <v>1054100</v>
      </c>
      <c r="D19" s="1452">
        <v>1054100</v>
      </c>
      <c r="E19" s="1452">
        <v>1054100</v>
      </c>
      <c r="F19" s="1452">
        <v>1054100</v>
      </c>
      <c r="G19" s="1452">
        <v>1054100</v>
      </c>
      <c r="H19" s="1569"/>
      <c r="I19" s="840"/>
      <c r="J19" s="1570"/>
      <c r="K19" s="841"/>
      <c r="L19" s="842"/>
      <c r="M19" s="838">
        <v>1054100</v>
      </c>
      <c r="N19" s="843" t="s">
        <v>1856</v>
      </c>
    </row>
    <row r="20" spans="1:14" x14ac:dyDescent="0.3">
      <c r="A20" s="918">
        <v>16</v>
      </c>
      <c r="B20" s="1424" t="s">
        <v>1851</v>
      </c>
      <c r="C20" s="1562">
        <v>1206500</v>
      </c>
      <c r="D20" s="1452">
        <v>1206500</v>
      </c>
      <c r="E20" s="1452">
        <v>1206500</v>
      </c>
      <c r="F20" s="1452">
        <v>1206500</v>
      </c>
      <c r="G20" s="1452">
        <v>1206500</v>
      </c>
      <c r="H20" s="1569"/>
      <c r="I20" s="840"/>
      <c r="J20" s="1570"/>
      <c r="K20" s="841"/>
      <c r="L20" s="842"/>
      <c r="M20" s="838">
        <v>1206500</v>
      </c>
      <c r="N20" s="843" t="s">
        <v>1805</v>
      </c>
    </row>
    <row r="21" spans="1:14" x14ac:dyDescent="0.3">
      <c r="A21" s="918">
        <v>17</v>
      </c>
      <c r="B21" s="1424" t="s">
        <v>1852</v>
      </c>
      <c r="C21" s="1562">
        <v>4000000</v>
      </c>
      <c r="D21" s="1452">
        <v>4000000</v>
      </c>
      <c r="E21" s="1452">
        <v>4000000</v>
      </c>
      <c r="F21" s="1452">
        <v>4000000</v>
      </c>
      <c r="G21" s="1452">
        <v>4000000</v>
      </c>
      <c r="H21" s="1569"/>
      <c r="I21" s="840"/>
      <c r="J21" s="1570"/>
      <c r="K21" s="841"/>
      <c r="L21" s="842"/>
      <c r="M21" s="838">
        <v>4000000</v>
      </c>
      <c r="N21" s="843" t="s">
        <v>1806</v>
      </c>
    </row>
    <row r="22" spans="1:14" x14ac:dyDescent="0.3">
      <c r="A22" s="918">
        <v>18</v>
      </c>
      <c r="B22" s="1424" t="s">
        <v>1853</v>
      </c>
      <c r="C22" s="1562">
        <v>1500000</v>
      </c>
      <c r="D22" s="1452">
        <v>1500000</v>
      </c>
      <c r="E22" s="1452">
        <v>1500000</v>
      </c>
      <c r="F22" s="1452">
        <v>1500000</v>
      </c>
      <c r="G22" s="1452">
        <v>1500000</v>
      </c>
      <c r="H22" s="1569"/>
      <c r="I22" s="840"/>
      <c r="J22" s="1570"/>
      <c r="K22" s="841"/>
      <c r="L22" s="842"/>
      <c r="M22" s="838">
        <v>1500000</v>
      </c>
      <c r="N22" s="843" t="s">
        <v>1806</v>
      </c>
    </row>
    <row r="23" spans="1:14" x14ac:dyDescent="0.3">
      <c r="A23" s="918">
        <v>19</v>
      </c>
      <c r="B23" s="1424" t="s">
        <v>1854</v>
      </c>
      <c r="C23" s="1562">
        <v>300000</v>
      </c>
      <c r="D23" s="1452">
        <v>300000</v>
      </c>
      <c r="E23" s="1452">
        <v>300000</v>
      </c>
      <c r="F23" s="1452">
        <v>300000</v>
      </c>
      <c r="G23" s="1452">
        <v>300000</v>
      </c>
      <c r="H23" s="1569"/>
      <c r="I23" s="840"/>
      <c r="J23" s="1570"/>
      <c r="K23" s="841"/>
      <c r="L23" s="842"/>
      <c r="M23" s="838">
        <v>300000</v>
      </c>
      <c r="N23" s="843" t="s">
        <v>1806</v>
      </c>
    </row>
    <row r="24" spans="1:14" x14ac:dyDescent="0.3">
      <c r="A24" s="918">
        <v>20</v>
      </c>
      <c r="B24" s="1415" t="s">
        <v>1855</v>
      </c>
      <c r="C24" s="1562">
        <v>640500</v>
      </c>
      <c r="D24" s="1452">
        <v>640500</v>
      </c>
      <c r="E24" s="1452">
        <v>640500</v>
      </c>
      <c r="F24" s="1452">
        <v>640500</v>
      </c>
      <c r="G24" s="1452">
        <f>640500+571250</f>
        <v>1211750</v>
      </c>
      <c r="H24" s="1569"/>
      <c r="I24" s="840"/>
      <c r="J24" s="1570"/>
      <c r="K24" s="841"/>
      <c r="L24" s="842"/>
      <c r="M24" s="838">
        <v>1211750</v>
      </c>
      <c r="N24" s="843" t="s">
        <v>1806</v>
      </c>
    </row>
    <row r="25" spans="1:14" ht="15" thickBot="1" x14ac:dyDescent="0.35">
      <c r="A25" s="919">
        <v>21</v>
      </c>
      <c r="B25" s="1429" t="s">
        <v>2166</v>
      </c>
      <c r="C25" s="1563"/>
      <c r="D25" s="1564"/>
      <c r="E25" s="1565">
        <v>237000</v>
      </c>
      <c r="F25" s="1565">
        <v>237000</v>
      </c>
      <c r="G25" s="1565">
        <v>278000</v>
      </c>
      <c r="H25" s="1565">
        <v>278000</v>
      </c>
      <c r="I25" s="1573"/>
      <c r="J25" s="1571"/>
      <c r="K25" s="914"/>
      <c r="L25" s="915"/>
      <c r="M25" s="913"/>
      <c r="N25" s="916" t="s">
        <v>1806</v>
      </c>
    </row>
    <row r="26" spans="1:14" ht="15" thickBot="1" x14ac:dyDescent="0.35">
      <c r="A26" s="1574"/>
      <c r="B26" s="1447" t="s">
        <v>1807</v>
      </c>
      <c r="C26" s="1448">
        <f>SUM(C30:C31)</f>
        <v>46500000</v>
      </c>
      <c r="D26" s="1448">
        <f>SUM(D30:D32)</f>
        <v>77518890</v>
      </c>
      <c r="E26" s="1448">
        <f>SUM(E30:E32)</f>
        <v>77518890</v>
      </c>
      <c r="F26" s="1448">
        <f>SUM(F30:F32)</f>
        <v>77518890</v>
      </c>
      <c r="G26" s="1448">
        <f>SUM(G27:G32)</f>
        <v>122364144</v>
      </c>
      <c r="H26" s="1448"/>
      <c r="I26" s="1572"/>
      <c r="J26" s="1448"/>
      <c r="K26" s="1448"/>
      <c r="L26" s="1448"/>
      <c r="M26" s="1448">
        <f>SUM(M30:M32)</f>
        <v>97199216</v>
      </c>
      <c r="N26" s="1575"/>
    </row>
    <row r="27" spans="1:14" s="1566" customFormat="1" x14ac:dyDescent="0.3">
      <c r="A27" s="917">
        <v>1</v>
      </c>
      <c r="B27" s="1584" t="s">
        <v>2189</v>
      </c>
      <c r="C27" s="1582"/>
      <c r="D27" s="1588"/>
      <c r="E27" s="1582"/>
      <c r="F27" s="1588"/>
      <c r="G27" s="1582">
        <v>755528</v>
      </c>
      <c r="H27" s="1588"/>
      <c r="I27" s="1582"/>
      <c r="J27" s="1588"/>
      <c r="K27" s="1582"/>
      <c r="L27" s="1588"/>
      <c r="M27" s="1582">
        <v>755528</v>
      </c>
      <c r="N27" s="1590"/>
    </row>
    <row r="28" spans="1:14" s="1566" customFormat="1" x14ac:dyDescent="0.3">
      <c r="A28" s="918">
        <v>2</v>
      </c>
      <c r="B28" s="1585" t="s">
        <v>2190</v>
      </c>
      <c r="C28" s="1583"/>
      <c r="D28" s="1589"/>
      <c r="E28" s="1583"/>
      <c r="F28" s="1589"/>
      <c r="G28" s="1583">
        <v>4409400</v>
      </c>
      <c r="H28" s="1589"/>
      <c r="I28" s="1583"/>
      <c r="J28" s="1589"/>
      <c r="K28" s="1583"/>
      <c r="L28" s="1589"/>
      <c r="M28" s="1583">
        <v>4409400</v>
      </c>
      <c r="N28" s="1591"/>
    </row>
    <row r="29" spans="1:14" s="1566" customFormat="1" x14ac:dyDescent="0.3">
      <c r="A29" s="918">
        <v>3</v>
      </c>
      <c r="B29" s="1586" t="s">
        <v>2188</v>
      </c>
      <c r="C29" s="1583"/>
      <c r="D29" s="1589"/>
      <c r="E29" s="1583"/>
      <c r="F29" s="1589"/>
      <c r="G29" s="1583">
        <v>20000000</v>
      </c>
      <c r="H29" s="1589"/>
      <c r="I29" s="1583"/>
      <c r="J29" s="1589"/>
      <c r="K29" s="1583"/>
      <c r="L29" s="1589"/>
      <c r="M29" s="1583">
        <v>20000000</v>
      </c>
      <c r="N29" s="1591"/>
    </row>
    <row r="30" spans="1:14" x14ac:dyDescent="0.3">
      <c r="A30" s="918">
        <v>4</v>
      </c>
      <c r="B30" s="1585" t="s">
        <v>1857</v>
      </c>
      <c r="C30" s="838">
        <v>16500000</v>
      </c>
      <c r="D30" s="1449">
        <v>16500000</v>
      </c>
      <c r="E30" s="838">
        <v>16500000</v>
      </c>
      <c r="F30" s="1449">
        <v>16500000</v>
      </c>
      <c r="G30" s="838">
        <v>16500000</v>
      </c>
      <c r="H30" s="839"/>
      <c r="I30" s="840"/>
      <c r="J30" s="839"/>
      <c r="K30" s="842"/>
      <c r="L30" s="841"/>
      <c r="M30" s="838">
        <v>16500000</v>
      </c>
      <c r="N30" s="1592" t="s">
        <v>421</v>
      </c>
    </row>
    <row r="31" spans="1:14" x14ac:dyDescent="0.3">
      <c r="A31" s="918">
        <v>5</v>
      </c>
      <c r="B31" s="1585" t="s">
        <v>1858</v>
      </c>
      <c r="C31" s="838">
        <v>30000000</v>
      </c>
      <c r="D31" s="1449">
        <v>30000000</v>
      </c>
      <c r="E31" s="838">
        <v>30000000</v>
      </c>
      <c r="F31" s="1449">
        <v>30000000</v>
      </c>
      <c r="G31" s="838">
        <f>30000000+19680326</f>
        <v>49680326</v>
      </c>
      <c r="H31" s="839"/>
      <c r="I31" s="1453"/>
      <c r="J31" s="839"/>
      <c r="K31" s="842"/>
      <c r="L31" s="841"/>
      <c r="M31" s="838">
        <v>49680326</v>
      </c>
      <c r="N31" s="1592" t="s">
        <v>421</v>
      </c>
    </row>
    <row r="32" spans="1:14" ht="15" thickBot="1" x14ac:dyDescent="0.35">
      <c r="A32" s="919">
        <v>6</v>
      </c>
      <c r="B32" s="1587" t="s">
        <v>2149</v>
      </c>
      <c r="C32" s="932"/>
      <c r="D32" s="1450">
        <v>31018890</v>
      </c>
      <c r="E32" s="932">
        <v>31018890</v>
      </c>
      <c r="F32" s="1450">
        <v>31018890</v>
      </c>
      <c r="G32" s="932">
        <v>31018890</v>
      </c>
      <c r="H32" s="1451"/>
      <c r="I32" s="934"/>
      <c r="J32" s="1451"/>
      <c r="K32" s="934"/>
      <c r="L32" s="933"/>
      <c r="M32" s="932">
        <v>31018890</v>
      </c>
      <c r="N32" s="1446" t="s">
        <v>421</v>
      </c>
    </row>
    <row r="33" spans="1:14" ht="15" thickBot="1" x14ac:dyDescent="0.35">
      <c r="A33" s="1574"/>
      <c r="B33" s="1593" t="s">
        <v>245</v>
      </c>
      <c r="C33" s="1594">
        <f>SUM(C34:C34)</f>
        <v>2500000</v>
      </c>
      <c r="D33" s="1594">
        <f>SUM(D34:D35)</f>
        <v>32783467</v>
      </c>
      <c r="E33" s="1594">
        <f>SUM(E34:E35)</f>
        <v>32783467</v>
      </c>
      <c r="F33" s="1594">
        <f>SUM(F34:F35)</f>
        <v>33382967</v>
      </c>
      <c r="G33" s="1594">
        <f>SUM(G34:G35)</f>
        <v>11803449</v>
      </c>
      <c r="H33" s="1572"/>
      <c r="I33" s="1595"/>
      <c r="J33" s="1572"/>
      <c r="K33" s="1572"/>
      <c r="L33" s="1572"/>
      <c r="M33" s="1572">
        <f>SUM(M34:M35)</f>
        <v>11803449</v>
      </c>
      <c r="N33" s="916"/>
    </row>
    <row r="34" spans="1:14" x14ac:dyDescent="0.3">
      <c r="A34" s="1576">
        <v>1</v>
      </c>
      <c r="B34" s="1600" t="s">
        <v>1808</v>
      </c>
      <c r="C34" s="1601">
        <v>2500000</v>
      </c>
      <c r="D34" s="1601">
        <v>2500000</v>
      </c>
      <c r="E34" s="1601">
        <v>2500000</v>
      </c>
      <c r="F34" s="1601">
        <v>3099500</v>
      </c>
      <c r="G34" s="1601">
        <v>3099500</v>
      </c>
      <c r="H34" s="1602"/>
      <c r="I34" s="1602"/>
      <c r="J34" s="1603"/>
      <c r="K34" s="1602"/>
      <c r="L34" s="1602"/>
      <c r="M34" s="1601">
        <v>3099500</v>
      </c>
      <c r="N34" s="1604" t="s">
        <v>421</v>
      </c>
    </row>
    <row r="35" spans="1:14" ht="15" thickBot="1" x14ac:dyDescent="0.35">
      <c r="A35" s="1577">
        <v>2</v>
      </c>
      <c r="B35" s="1605" t="s">
        <v>2145</v>
      </c>
      <c r="C35" s="1578"/>
      <c r="D35" s="1606">
        <v>30283467</v>
      </c>
      <c r="E35" s="1578">
        <f>D35</f>
        <v>30283467</v>
      </c>
      <c r="F35" s="1578">
        <v>30283467</v>
      </c>
      <c r="G35" s="1578">
        <v>8703949</v>
      </c>
      <c r="H35" s="1580"/>
      <c r="I35" s="1580"/>
      <c r="J35" s="1579"/>
      <c r="K35" s="1580"/>
      <c r="L35" s="1580"/>
      <c r="M35" s="1578">
        <v>8703949</v>
      </c>
      <c r="N35" s="1581" t="s">
        <v>421</v>
      </c>
    </row>
    <row r="36" spans="1:14" ht="15" thickBot="1" x14ac:dyDescent="0.35">
      <c r="A36" s="1596"/>
      <c r="B36" s="1597" t="s">
        <v>1809</v>
      </c>
      <c r="C36" s="1598">
        <f>C4+C26+C33</f>
        <v>152722145</v>
      </c>
      <c r="D36" s="1598">
        <f>D4+D26+D33</f>
        <v>196986902</v>
      </c>
      <c r="E36" s="1598">
        <f>E33+E26+E4</f>
        <v>204420812</v>
      </c>
      <c r="F36" s="1598">
        <f>F33+F26+F4</f>
        <v>202895829</v>
      </c>
      <c r="G36" s="1598">
        <f>G33+G26+G4</f>
        <v>201608887</v>
      </c>
      <c r="H36" s="1598">
        <f>H33+H26+H4</f>
        <v>278000</v>
      </c>
      <c r="I36" s="1599">
        <f>SUM(I5:I34)</f>
        <v>0</v>
      </c>
      <c r="J36" s="1598">
        <f>J33+J26+J4</f>
        <v>0</v>
      </c>
      <c r="K36" s="1598">
        <f>K33+K26+K4</f>
        <v>13700000</v>
      </c>
      <c r="L36" s="1598">
        <f>L33+L26+L4</f>
        <v>0</v>
      </c>
      <c r="M36" s="1598">
        <f>M33+M26+M4</f>
        <v>162465959</v>
      </c>
      <c r="N36" s="1598"/>
    </row>
    <row r="40" spans="1:14" x14ac:dyDescent="0.3">
      <c r="B40" s="1430"/>
      <c r="C40" s="961"/>
      <c r="D40" s="961"/>
      <c r="E40" s="961"/>
      <c r="F40" s="961"/>
      <c r="G40" s="961"/>
      <c r="H40" s="961"/>
    </row>
    <row r="41" spans="1:14" x14ac:dyDescent="0.3">
      <c r="B41" s="1430"/>
      <c r="C41" s="961"/>
      <c r="D41" s="961"/>
      <c r="E41" s="961"/>
      <c r="F41" s="961"/>
      <c r="G41" s="961"/>
    </row>
    <row r="43" spans="1:14" x14ac:dyDescent="0.3">
      <c r="B43" s="1430"/>
      <c r="C43" s="968"/>
      <c r="D43" s="968"/>
      <c r="E43" s="968"/>
      <c r="F43" s="968"/>
      <c r="G43" s="968"/>
    </row>
    <row r="51" ht="31.5" customHeight="1" x14ac:dyDescent="0.3"/>
    <row r="52" ht="31.5" customHeight="1" x14ac:dyDescent="0.3"/>
    <row r="53" ht="31.5" customHeight="1" x14ac:dyDescent="0.3"/>
  </sheetData>
  <mergeCells count="21">
    <mergeCell ref="N2:N3"/>
    <mergeCell ref="A2:A3"/>
    <mergeCell ref="B2:B3"/>
    <mergeCell ref="C2:C3"/>
    <mergeCell ref="E2:E3"/>
    <mergeCell ref="H2:M2"/>
    <mergeCell ref="D2:D3"/>
    <mergeCell ref="F2:F3"/>
    <mergeCell ref="G2:G3"/>
    <mergeCell ref="L5:L6"/>
    <mergeCell ref="M5:M6"/>
    <mergeCell ref="N5:N6"/>
    <mergeCell ref="C5:C6"/>
    <mergeCell ref="E5:E6"/>
    <mergeCell ref="H5:H6"/>
    <mergeCell ref="J5:J6"/>
    <mergeCell ref="K5:K6"/>
    <mergeCell ref="D5:D6"/>
    <mergeCell ref="F5:F6"/>
    <mergeCell ref="G5:G6"/>
    <mergeCell ref="I5:I6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headerFooter>
    <oddHeader xml:space="preserve">&amp;C&amp;"Times New Roman CE,Félkövér"&amp;14
Felhalmozási kiadások&amp;R&amp;"Times New Roman CE,Dőlt"25. melléklet a 2/2020. (II.28.) önkormányzati rendelethez
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67</vt:i4>
      </vt:variant>
      <vt:variant>
        <vt:lpstr>Névvel ellátott tartományok</vt:lpstr>
      </vt:variant>
      <vt:variant>
        <vt:i4>36</vt:i4>
      </vt:variant>
    </vt:vector>
  </HeadingPairs>
  <TitlesOfParts>
    <vt:vector size="103" baseType="lpstr">
      <vt:lpstr>ÖSSZEFÜGGÉSEK</vt:lpstr>
      <vt:lpstr>1_2_Mindösszesen</vt:lpstr>
      <vt:lpstr>3_Mérleg szerinti</vt:lpstr>
      <vt:lpstr>4_Önkormányzat</vt:lpstr>
      <vt:lpstr>5_Hivatal</vt:lpstr>
      <vt:lpstr>6_Óvoda</vt:lpstr>
      <vt:lpstr>7_Bölcsöde</vt:lpstr>
      <vt:lpstr>8_KGMH</vt:lpstr>
      <vt:lpstr>9_Felhalmozás</vt:lpstr>
      <vt:lpstr>10_Létszám</vt:lpstr>
      <vt:lpstr>21_ kötelező önként</vt:lpstr>
      <vt:lpstr>11_Környezetvédelmi Alap</vt:lpstr>
      <vt:lpstr>12_Tartalék</vt:lpstr>
      <vt:lpstr>13_Önkormányzat COFOG</vt:lpstr>
      <vt:lpstr>14_PH COFOG</vt:lpstr>
      <vt:lpstr>15_Óvoda COFOG</vt:lpstr>
      <vt:lpstr>16_Bölcsöde COFOG</vt:lpstr>
      <vt:lpstr>17_KGMH COFOG</vt:lpstr>
      <vt:lpstr>18_ Közvetett támogatások</vt:lpstr>
      <vt:lpstr>19_Előirányzat felhasználás</vt:lpstr>
      <vt:lpstr>20_Gördülő</vt:lpstr>
      <vt:lpstr>ELLENŐRZÉS-1.sz.2.1.sz.2.2.sz.</vt:lpstr>
      <vt:lpstr>5.sz.mell</vt:lpstr>
      <vt:lpstr>6.sz.mell</vt:lpstr>
      <vt:lpstr>7a.sz.mell</vt:lpstr>
      <vt:lpstr>7b.sz.mell</vt:lpstr>
      <vt:lpstr>8.sz.mell</vt:lpstr>
      <vt:lpstr>9.sz.mell</vt:lpstr>
      <vt:lpstr>5. sz. mell. </vt:lpstr>
      <vt:lpstr>6.1. sz. mell</vt:lpstr>
      <vt:lpstr>6.2. sz. mell</vt:lpstr>
      <vt:lpstr>6.3. sz. mell</vt:lpstr>
      <vt:lpstr>6.4. sz. mell</vt:lpstr>
      <vt:lpstr>7.1. sz. mell</vt:lpstr>
      <vt:lpstr>7.2. sz. mell</vt:lpstr>
      <vt:lpstr>7.3. sz. mell</vt:lpstr>
      <vt:lpstr>7.4. sz. mell</vt:lpstr>
      <vt:lpstr>8.1. sz. mell.</vt:lpstr>
      <vt:lpstr>8.1.1. sz. mell.</vt:lpstr>
      <vt:lpstr>8.1.2. sz. mell.</vt:lpstr>
      <vt:lpstr>8.1.3. sz. mell.</vt:lpstr>
      <vt:lpstr>8.2. sz. mell.</vt:lpstr>
      <vt:lpstr>8.2.1. sz. mell.</vt:lpstr>
      <vt:lpstr>8.2.2. sz. mell.</vt:lpstr>
      <vt:lpstr>8.2.3. sz. mell.</vt:lpstr>
      <vt:lpstr>8.3. sz. mell.</vt:lpstr>
      <vt:lpstr>8.3.1. sz. mell.</vt:lpstr>
      <vt:lpstr>8.3.2. sz. mell. </vt:lpstr>
      <vt:lpstr>8.3.3. sz. mell.</vt:lpstr>
      <vt:lpstr>10.sz.mell</vt:lpstr>
      <vt:lpstr>pénzmaradvány</vt:lpstr>
      <vt:lpstr>1.tájékoztató</vt:lpstr>
      <vt:lpstr>2. tájékoztató tábla</vt:lpstr>
      <vt:lpstr>3. tájékoztató tábla</vt:lpstr>
      <vt:lpstr>4. tájékoztató tábla</vt:lpstr>
      <vt:lpstr>5. tájékoztató tábla</vt:lpstr>
      <vt:lpstr>6. tájékoztató tábla</vt:lpstr>
      <vt:lpstr>Működési bev.és kiad.mérlege</vt:lpstr>
      <vt:lpstr>Felhalm. bev.és kiad.mérlege</vt:lpstr>
      <vt:lpstr>vagyonkimutatás.források</vt:lpstr>
      <vt:lpstr>vagyonkimutatás.eszközök</vt:lpstr>
      <vt:lpstr>7.3. tájékoztató tábla</vt:lpstr>
      <vt:lpstr>7.4. tájékoztató tábla</vt:lpstr>
      <vt:lpstr>8. tájékoztató tábla</vt:lpstr>
      <vt:lpstr>pénzeszközök változása</vt:lpstr>
      <vt:lpstr>10. Teljesített kiadások_COFOG</vt:lpstr>
      <vt:lpstr>11. Teljesített bevételek_COFOG</vt:lpstr>
      <vt:lpstr>_DiósiZsuzsanna</vt:lpstr>
      <vt:lpstr>'7.3. tájékoztató tábla'!_ftn1</vt:lpstr>
      <vt:lpstr>'7.3. tájékoztató tábla'!_ftnref1</vt:lpstr>
      <vt:lpstr>'6.1. sz. mell'!Nyomtatási_cím</vt:lpstr>
      <vt:lpstr>'6.2. sz. mell'!Nyomtatási_cím</vt:lpstr>
      <vt:lpstr>'6.3. sz. mell'!Nyomtatási_cím</vt:lpstr>
      <vt:lpstr>'6.4. sz. mell'!Nyomtatási_cím</vt:lpstr>
      <vt:lpstr>'7.1. sz. mell'!Nyomtatási_cím</vt:lpstr>
      <vt:lpstr>'7.2. sz. mell'!Nyomtatási_cím</vt:lpstr>
      <vt:lpstr>'7.3. sz. mell'!Nyomtatási_cím</vt:lpstr>
      <vt:lpstr>'7.4. sz. mell'!Nyomtatási_cím</vt:lpstr>
      <vt:lpstr>'8.1. sz. mell.'!Nyomtatási_cím</vt:lpstr>
      <vt:lpstr>'8.1.1. sz. mell.'!Nyomtatási_cím</vt:lpstr>
      <vt:lpstr>'8.1.2. sz. mell.'!Nyomtatási_cím</vt:lpstr>
      <vt:lpstr>'8.1.3. sz. mell.'!Nyomtatási_cím</vt:lpstr>
      <vt:lpstr>'8.2. sz. mell.'!Nyomtatási_cím</vt:lpstr>
      <vt:lpstr>'8.2.1. sz. mell.'!Nyomtatási_cím</vt:lpstr>
      <vt:lpstr>'8.2.2. sz. mell.'!Nyomtatási_cím</vt:lpstr>
      <vt:lpstr>'8.2.3. sz. mell.'!Nyomtatási_cím</vt:lpstr>
      <vt:lpstr>'8.3. sz. mell.'!Nyomtatási_cím</vt:lpstr>
      <vt:lpstr>'8.3.1. sz. mell.'!Nyomtatási_cím</vt:lpstr>
      <vt:lpstr>'8.3.2. sz. mell. '!Nyomtatási_cím</vt:lpstr>
      <vt:lpstr>'8.3.3. sz. mell.'!Nyomtatási_cím</vt:lpstr>
      <vt:lpstr>vagyonkimutatás.eszközök!Nyomtatási_cím</vt:lpstr>
      <vt:lpstr>'1.tájékoztató'!Nyomtatási_terület</vt:lpstr>
      <vt:lpstr>'1_2_Mindösszesen'!Nyomtatási_terület</vt:lpstr>
      <vt:lpstr>'13_Önkormányzat COFOG'!Nyomtatási_terület</vt:lpstr>
      <vt:lpstr>'20_Gördülő'!Nyomtatási_terület</vt:lpstr>
      <vt:lpstr>'3_Mérleg szerinti'!Nyomtatási_terület</vt:lpstr>
      <vt:lpstr>'4_Önkormányzat'!Nyomtatási_terület</vt:lpstr>
      <vt:lpstr>'5_Hivatal'!Nyomtatási_terület</vt:lpstr>
      <vt:lpstr>'6_Óvoda'!Nyomtatási_terület</vt:lpstr>
      <vt:lpstr>'7_Bölcsöde'!Nyomtatási_terület</vt:lpstr>
      <vt:lpstr>'8_KGMH'!Nyomtatási_terület</vt:lpstr>
      <vt:lpstr>'Működési bev.és kiad.mérlege'!Nyomtatási_terület</vt:lpstr>
      <vt:lpstr>'5.sz.mell'!OLE_LINK1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Makranczi László</dc:creator>
  <cp:keywords/>
  <dc:description/>
  <cp:lastModifiedBy>tarsoly.bernadett</cp:lastModifiedBy>
  <cp:revision/>
  <cp:lastPrinted>2020-02-28T09:40:14Z</cp:lastPrinted>
  <dcterms:created xsi:type="dcterms:W3CDTF">1999-10-30T10:30:45Z</dcterms:created>
  <dcterms:modified xsi:type="dcterms:W3CDTF">2020-02-28T09:40:55Z</dcterms:modified>
  <cp:category/>
  <cp:contentStatus/>
</cp:coreProperties>
</file>