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45" windowWidth="15195" windowHeight="8370" tabRatio="903" activeTab="5"/>
  </bookViews>
  <sheets>
    <sheet name="Címrend" sheetId="1" r:id="rId1"/>
    <sheet name="1. melléklet" sheetId="2" r:id="rId2"/>
    <sheet name="2. melléklet" sheetId="3" r:id="rId3"/>
    <sheet name="3. melléklet" sheetId="4" r:id="rId4"/>
    <sheet name="4. melléklet" sheetId="5" r:id="rId5"/>
    <sheet name="5. melléklet" sheetId="6" r:id="rId6"/>
    <sheet name="6. melléklet" sheetId="7" r:id="rId7"/>
  </sheets>
  <definedNames>
    <definedName name="_xlnm.Print_Titles" localSheetId="2">'2. melléklet'!$1:$5</definedName>
    <definedName name="_xlnm.Print_Titles" localSheetId="3">'3. melléklet'!$A:$A</definedName>
    <definedName name="_xlnm.Print_Titles" localSheetId="5">'5. melléklet'!$2:$3</definedName>
  </definedNames>
  <calcPr calcMode="manual" fullCalcOnLoad="1"/>
</workbook>
</file>

<file path=xl/sharedStrings.xml><?xml version="1.0" encoding="utf-8"?>
<sst xmlns="http://schemas.openxmlformats.org/spreadsheetml/2006/main" count="579" uniqueCount="305">
  <si>
    <t>Jogcím</t>
  </si>
  <si>
    <t>I.</t>
  </si>
  <si>
    <t>II.</t>
  </si>
  <si>
    <t>Intézmény</t>
  </si>
  <si>
    <t>Összesen:</t>
  </si>
  <si>
    <t xml:space="preserve">          (E Ft)</t>
  </si>
  <si>
    <t>1.</t>
  </si>
  <si>
    <t>2.</t>
  </si>
  <si>
    <t>3.</t>
  </si>
  <si>
    <t>4.</t>
  </si>
  <si>
    <t>5.</t>
  </si>
  <si>
    <t xml:space="preserve">II. </t>
  </si>
  <si>
    <t>III.</t>
  </si>
  <si>
    <t>Rehabilitációs kölcsön visszatérülése</t>
  </si>
  <si>
    <t>Lakástámogatás visszatérítés (bérlakás-számla)</t>
  </si>
  <si>
    <t>Munkáltatói támogatás</t>
  </si>
  <si>
    <t>IV.</t>
  </si>
  <si>
    <t>MINDÖSSZESEN:</t>
  </si>
  <si>
    <t>Dologi kiadások</t>
  </si>
  <si>
    <t xml:space="preserve">Eredeti ei. </t>
  </si>
  <si>
    <t xml:space="preserve">Eredeti  ei. </t>
  </si>
  <si>
    <t xml:space="preserve">szakmai </t>
  </si>
  <si>
    <t>technikai</t>
  </si>
  <si>
    <t>összesen</t>
  </si>
  <si>
    <t>Közműv. intézm. összesen:</t>
  </si>
  <si>
    <t>Intézmények összesen:</t>
  </si>
  <si>
    <t>Felújítás</t>
  </si>
  <si>
    <t>6.</t>
  </si>
  <si>
    <t>7.</t>
  </si>
  <si>
    <t>Közvilágítás fejlesztési keretösszeg</t>
  </si>
  <si>
    <t>8.</t>
  </si>
  <si>
    <t>Tervezési keretösszeg</t>
  </si>
  <si>
    <t>11.</t>
  </si>
  <si>
    <t>12.</t>
  </si>
  <si>
    <t xml:space="preserve">Kőszeg Város Önkormányzatának bevételei és kiadásai </t>
  </si>
  <si>
    <t>Bevételi előirányzatok (e Ft-ban)</t>
  </si>
  <si>
    <t>Kiemelt előirányzatok</t>
  </si>
  <si>
    <t>BEVÉTELI ELŐIRÁNYZAT MINDÖSSZESEN:</t>
  </si>
  <si>
    <t>Kiadási előirányzatok (e Ft-ban)</t>
  </si>
  <si>
    <t>Személyi juttatások</t>
  </si>
  <si>
    <t>Munkaadókat terhelő járulékok</t>
  </si>
  <si>
    <t>Ellátottak pénzbeli juttatásai</t>
  </si>
  <si>
    <t>KIADÁSI ELŐIRÁNYZAT MINDÖSSZESEN:</t>
  </si>
  <si>
    <t>Kőszeg Város Önkormányzatának címrendje</t>
  </si>
  <si>
    <t>Cím</t>
  </si>
  <si>
    <t>Alcím</t>
  </si>
  <si>
    <t>Jurisics-vár Művelődési Központ és Várszínház</t>
  </si>
  <si>
    <t>Hulladékgazdálkodási társulási beruházásokhoz átadás</t>
  </si>
  <si>
    <t>Kőszeg Város Önkormányzata</t>
  </si>
  <si>
    <t>Önkormányzat és intézményei összesen</t>
  </si>
  <si>
    <t>közfogl</t>
  </si>
  <si>
    <t>5. Kőszeg Város Önkormányzata</t>
  </si>
  <si>
    <t>I. Önkormányzat és intézményei összesen</t>
  </si>
  <si>
    <t>1. a) Önkormányzati hivatal működésének támogatása</t>
  </si>
  <si>
    <t>1. b) Település-üzemeltetéshez kapcsolódó feladatellátás támogatása</t>
  </si>
  <si>
    <t>A helyi önkormányzatok általános müködésének és ágazati feladatainak támogatása összesen:</t>
  </si>
  <si>
    <t>1. Chernel K. Városi Könyvtár</t>
  </si>
  <si>
    <t>2 Jurisics-vár Műv.Központ és Várszínház</t>
  </si>
  <si>
    <t xml:space="preserve">4. Kőszegi Közös Önkormányzati Hivatal </t>
  </si>
  <si>
    <t>13.</t>
  </si>
  <si>
    <t>14.</t>
  </si>
  <si>
    <t xml:space="preserve">1. </t>
  </si>
  <si>
    <t xml:space="preserve">Kőszegi Közös Önkormányzati Hivatal </t>
  </si>
  <si>
    <t>I.) Települési önkromáynzatok működésének támogatása</t>
  </si>
  <si>
    <t>II.) Települési önkormányzatok egyes köznevelési feladatainak támogatása</t>
  </si>
  <si>
    <t>III.) Települési önkormányzatok szociális és gyermekjóléti feladatainak támogatása</t>
  </si>
  <si>
    <t>1. e) Települési önkormányzatok muzeális intézményi feladatainak támogatása</t>
  </si>
  <si>
    <t>-ebből: munkaszervezeti feladatok</t>
  </si>
  <si>
    <t>15.</t>
  </si>
  <si>
    <t>16.</t>
  </si>
  <si>
    <t>9.</t>
  </si>
  <si>
    <t>10.</t>
  </si>
  <si>
    <t>17.</t>
  </si>
  <si>
    <t>Kötelező feladatok</t>
  </si>
  <si>
    <t>Önként vállalt feladatok</t>
  </si>
  <si>
    <t>Államigazgatási feladatok</t>
  </si>
  <si>
    <t>Az előirányzatok megoszlása feladatjelleg alapján</t>
  </si>
  <si>
    <t>18.</t>
  </si>
  <si>
    <t>19.</t>
  </si>
  <si>
    <t>Egészségház építés pályázati támogatása</t>
  </si>
  <si>
    <t>Újvárosi Óvoda fejlesztési hozzájárulás</t>
  </si>
  <si>
    <t>Városrehabilitációs kölcsön</t>
  </si>
  <si>
    <t>Vis maior pályázat támogatása</t>
  </si>
  <si>
    <t>Nepomuki Szent János kápolna felújítás támogatása</t>
  </si>
  <si>
    <t>Szociális Gondozási Központ fejlesztési hozzájárulás</t>
  </si>
  <si>
    <t>Vis maior káresemény helyreállítási munkái</t>
  </si>
  <si>
    <t>Fejlesztési tartalék</t>
  </si>
  <si>
    <t xml:space="preserve">Jurisics vár turisztikai fejlesztése pályázati támogatás </t>
  </si>
  <si>
    <t>Önként vállalt feladatok összesen:</t>
  </si>
  <si>
    <t>ebből:</t>
  </si>
  <si>
    <t>Kötelező feladatok összesen:</t>
  </si>
  <si>
    <t>2. Óvodaműködtetési támogatás</t>
  </si>
  <si>
    <t>V.) Beszámítás összege (levonva előző jogcímeken)</t>
  </si>
  <si>
    <t>2. Nem közművel gyűjtött háztartási szennyvíz ártalmatlanítása</t>
  </si>
  <si>
    <t>5. b) Gyermekétkeztetés támogatása: üzemeltetési támogatás</t>
  </si>
  <si>
    <t>5. a) Gyermekétkeztetés támogatása: elismerhető dolgozók bértámogatása</t>
  </si>
  <si>
    <t>IV.) Települési önkormányzatok kulturális feledatainak támogatása</t>
  </si>
  <si>
    <t>Chernel Kálmán Városi Könyvtár</t>
  </si>
  <si>
    <t xml:space="preserve">         bc) Köztemető fenntartásának támogatása</t>
  </si>
  <si>
    <t xml:space="preserve">         bb) Közvilágítás fenntartásának támogatása</t>
  </si>
  <si>
    <t xml:space="preserve">         ba) Zöldterület gazdálkodással kapcsolatos feladatok</t>
  </si>
  <si>
    <t>1. d) Nyilvános könyvtári ellátási és közművelődési feladatok támogatása</t>
  </si>
  <si>
    <t>Beruházás</t>
  </si>
  <si>
    <t>Felhalmozási célú átvett pénzeszközök</t>
  </si>
  <si>
    <t>Kőszeg Város Önkormányzatának bevételei 2015. évben</t>
  </si>
  <si>
    <t>Kőszeg Város Önkormányzatának kiadásai 2015. évben</t>
  </si>
  <si>
    <t>Bérlakás törlesztések</t>
  </si>
  <si>
    <t>Vagyonhasznosító bevétele</t>
  </si>
  <si>
    <t>Bezerédy u. 3. (40 lakás) biztosítási kártérítése</t>
  </si>
  <si>
    <t>Rendkívüli támogatás maradványa (egészségházhoz)</t>
  </si>
  <si>
    <t>Egészségház pályázati támogatás maradványa</t>
  </si>
  <si>
    <t>Vár projekt pályázati támogatás maradványa</t>
  </si>
  <si>
    <t>Kraft projekt pályázati támogatás maradványa</t>
  </si>
  <si>
    <t>2015. évi felhalmozási  kiadások (E Ft)</t>
  </si>
  <si>
    <t>Központi Óvoda Bölcsőde fejlesztési hozzájárulás</t>
  </si>
  <si>
    <t>Központi Óvoda Felsővárosi Tagóvodája fejlesztési hozzájárulás</t>
  </si>
  <si>
    <t>Központi Óvoda fejlesztési hozzájárulás</t>
  </si>
  <si>
    <t>Újvárosi Óvoda Kőszegfalvi Tagóvodája fejlesztési hozzájárulás</t>
  </si>
  <si>
    <t>KSK pálya nézőtér felújítás támogatása</t>
  </si>
  <si>
    <t>Szent Jakab templom ablak felújításhoz átadás</t>
  </si>
  <si>
    <t>Kőszegfalvi Szent Lénárd templom tető felújítás</t>
  </si>
  <si>
    <t>Hivatal épület tetőfelújítása (Jurisics tér 6-8.) pályázati önerő</t>
  </si>
  <si>
    <t>Vízi-közmű hálózaton végzett felújítási munkák</t>
  </si>
  <si>
    <t>Központi Óvoda hátsó épületrész villamos hálózat felújítása</t>
  </si>
  <si>
    <t>Államtól átvett ingatlanok állagmegóvó felújítása (pályázati önerő)</t>
  </si>
  <si>
    <t>Új temető területvásárlás</t>
  </si>
  <si>
    <t>Jurisics vár turisztikai fejlesztése (2014-ről áthúzódó kifizetések)</t>
  </si>
  <si>
    <t>Egészségház tervezés és kivitelezés (eszközbeszerzések I. és II. ütem)</t>
  </si>
  <si>
    <t>Rohonci u. (Tamás árok) gyaloghíd építése (2014-ről áthúzódó kifizetések)</t>
  </si>
  <si>
    <t>Balog iskola szennyvízelvezető rendszer részleges cseréje</t>
  </si>
  <si>
    <t>Képviselő-testületi munkához informatikai eszközök beszerzése</t>
  </si>
  <si>
    <t>ÖBB tulajdonában lévő volt vasúti pályatest megvásárlása (I. ütem)</t>
  </si>
  <si>
    <t>Kártalanítás 54/2014. (III.27.) KT határozat</t>
  </si>
  <si>
    <t>Autó vásárlás építéshatóság</t>
  </si>
  <si>
    <t>Kőszegfalvi sportpálya bejárati kapu cseréje</t>
  </si>
  <si>
    <t>Egészségház kerékpárút kiépítése I. ütem</t>
  </si>
  <si>
    <t>Írottkő utcai parkoló építés (2014-ről áthúzódó kifizetések)</t>
  </si>
  <si>
    <t>Liszt F. u. 30. épület bontása</t>
  </si>
  <si>
    <t>Vasivíz Zrt-től átvett vagyon értékeltetése</t>
  </si>
  <si>
    <t>Kőszegfalvi lakóparkhoz vezető út kisajátítása</t>
  </si>
  <si>
    <t>Kőszegfalvi árkok kiépítése (tervezés, engedélyezés, területszerzés)</t>
  </si>
  <si>
    <t xml:space="preserve">912 és 913 hrsz. Ingatlanok megvásárlása </t>
  </si>
  <si>
    <t xml:space="preserve">KRAFT projekt megvalósítása </t>
  </si>
  <si>
    <t>20.</t>
  </si>
  <si>
    <t>21.</t>
  </si>
  <si>
    <t>Kisértékű tárgyi eszköz beszerzések (Chernel K. Városi Könyvtár)</t>
  </si>
  <si>
    <t>Érdekeltségnövelő pályázat saját erő (Jurisics-vár Műv. Központ és Várszínház)</t>
  </si>
  <si>
    <t>Kisértékű tárgyi eszköz beszerzések (Kőszegi Városi Múzeum)</t>
  </si>
  <si>
    <t>Kisértékű tárgyi eszköz beszerzések (Kőszegi Közös Önkormányzati Hivatal)</t>
  </si>
  <si>
    <t>Posztó utca parkoló kialakítás</t>
  </si>
  <si>
    <t>Látogatóközpont előtt autóbuszöböl kivitelezése</t>
  </si>
  <si>
    <t>Vonal alatti tételek (nem kerültek beépítésre)</t>
  </si>
  <si>
    <t>Bérlakás értékesítési bevétel</t>
  </si>
  <si>
    <t>Tájékoztató tábla felállítása Kőszegfalván</t>
  </si>
  <si>
    <t>Tekepálya épület és pálya felújítás</t>
  </si>
  <si>
    <t>Síugró sánc öltöző felújítás</t>
  </si>
  <si>
    <t>Útfelújítási keretösszeg (Ambró Gy. U. 2 M Ft, stb)</t>
  </si>
  <si>
    <t>Bezerédy u. 3. (40 lakás) tetőfelújítás (2014-ről áthúzódó kifizetések)</t>
  </si>
  <si>
    <t>Fejlesztési kiadások-fejlesztési bevételek egyenlege:</t>
  </si>
  <si>
    <t>Koronaőrző bunker világítás felújítás</t>
  </si>
  <si>
    <t xml:space="preserve">         </t>
  </si>
  <si>
    <t>Kőszeg Város Önkormányzatának központilag szabályozott bevételei 2015. évben</t>
  </si>
  <si>
    <t>Kőszegi Városi Múzeum</t>
  </si>
  <si>
    <t>Előző évi maradvány</t>
  </si>
  <si>
    <t>Finanszírozási bevételek összesen:</t>
  </si>
  <si>
    <t>Költségvetési bevételek összesen:</t>
  </si>
  <si>
    <t>Működési célú támogatások áht-n belülről</t>
  </si>
  <si>
    <t>Közhatalmi bevételek</t>
  </si>
  <si>
    <t>Működési bevételek</t>
  </si>
  <si>
    <t>Felhalmozási bevételek</t>
  </si>
  <si>
    <t>Működési célú átvett pénzeszközök</t>
  </si>
  <si>
    <t>BEVÉTELEK ÖSSZESEN</t>
  </si>
  <si>
    <t>Felhalmozási c. támogatások áht-n belülről</t>
  </si>
  <si>
    <t>Beruházások</t>
  </si>
  <si>
    <t>Felújítások</t>
  </si>
  <si>
    <t>Egyéb felhalmozási c. kiadások</t>
  </si>
  <si>
    <t>Irányító szervi támogatás bevétele</t>
  </si>
  <si>
    <t xml:space="preserve">Finanszírozási kiadások </t>
  </si>
  <si>
    <t>KIADÁSOK ÖSSZESEN</t>
  </si>
  <si>
    <t>Költségvetési létszámkeret (fő)</t>
  </si>
  <si>
    <t>Egyéb működési c. kiadások összesen:</t>
  </si>
  <si>
    <t xml:space="preserve">Működési c. tartalékok </t>
  </si>
  <si>
    <t xml:space="preserve">Felhalmozási c. tartalékok </t>
  </si>
  <si>
    <t xml:space="preserve">3. Kőszegi Városi Múzeum </t>
  </si>
  <si>
    <t>Egyéb műk c támogatások, elvonások, befizetések</t>
  </si>
  <si>
    <t>Irányító szervi (adott-kapott) támogatással nettósítva:</t>
  </si>
  <si>
    <t>Egyéb felhalm c támogatások, kölcsönök áht-n belülre és kívülre</t>
  </si>
  <si>
    <t xml:space="preserve">A helyi önkormányzatok általános müködésének és ágazati feladatainak támogatása (2014. évi C. törvény 2. melléklete szerint)  </t>
  </si>
  <si>
    <t>Központi támogatások összesen (2014. évi C. törvény 2. és 3. melléklete szerint):</t>
  </si>
  <si>
    <t xml:space="preserve">         bd) Közutak fenntartásának támogatása</t>
  </si>
  <si>
    <t xml:space="preserve">1. c) Egyéb kötelező önkormányzati feladatok támogatása </t>
  </si>
  <si>
    <t>1. d)  Lakott külterülettel kapcsolatos feladatok támogatása</t>
  </si>
  <si>
    <t xml:space="preserve">1. e)  Üdülőhelyi feladatok  támgoatása </t>
  </si>
  <si>
    <t xml:space="preserve">             1. Óvodapedagógusok, és az óvodapedagógusok nevelő munkáját közvetlenül segítők bértámogatása</t>
  </si>
  <si>
    <t>4.  Köznevelési intézmények működtetéséhez kapcsolódó támogatás</t>
  </si>
  <si>
    <t>5.  Pedagógus II. kategóriába sorolt óvodapedagógusok kiegészítő támogatása</t>
  </si>
  <si>
    <t>1. Pénzbeli szociális ellátások kiegészítése</t>
  </si>
  <si>
    <t>2. Települési önkormányzatok szociális feladatainak egyéb támogatása</t>
  </si>
  <si>
    <t>3. Egyes szociális és gyermekjóléti feladatok támogatása</t>
  </si>
  <si>
    <t>4.  Telpülési önkormányzatok által biztosított egyes szociális szakosított ellátások támogatása: (Idősek otthona)</t>
  </si>
  <si>
    <t xml:space="preserve">          2015. évi felhalmozási célú bevételek </t>
  </si>
  <si>
    <t>Felhalmozási bevételek (saját bevételek)</t>
  </si>
  <si>
    <t>Vasivíz vízdíj használati díjak</t>
  </si>
  <si>
    <t>Felhalmozási célú támogatások államháztartáson belülről</t>
  </si>
  <si>
    <t>Egyéb felhalmozási célú átvett pénzeszközök</t>
  </si>
  <si>
    <t>Egyéb felhalmozási c visszatérítendő támogatások, kölcsönök</t>
  </si>
  <si>
    <t>FELHALMOZÁSI C. KÖLTSÉGVETÉSI BEVÉTELEK ÖSSZESEN:</t>
  </si>
  <si>
    <t>Előző évi maradvány felhalmozási c felhasználása</t>
  </si>
  <si>
    <t>FINANSZÍROZÁSI BEVÉTELEK ÖSSZESEN:</t>
  </si>
  <si>
    <t>Egyéb felhalmozási célú kiadások</t>
  </si>
  <si>
    <t>Felhalmozási célú visszatérítendő támogatások, kölcsönök nyújtása</t>
  </si>
  <si>
    <t>Egyéb felhalmozási célú támogatások államháztartáson belülre</t>
  </si>
  <si>
    <t>Egyéb felhalmozási célú támogatások államháztartáson kívülre</t>
  </si>
  <si>
    <t>Tartalékok</t>
  </si>
  <si>
    <t>FELHALMOZÁSI C. KÖLTSÉGVETÉSI KIADÁSOK ÖSSZESEN:</t>
  </si>
  <si>
    <t>FINANSZÍROZÁSI KIADÁSOK ÖSSZESEN:</t>
  </si>
  <si>
    <t>Hiteltörlesztések</t>
  </si>
  <si>
    <t>Finanszírozási kiadások:</t>
  </si>
  <si>
    <t>2015. évi eredeti előirányzat</t>
  </si>
  <si>
    <t xml:space="preserve">                - ebből felhalmozási célú állami támogatás </t>
  </si>
  <si>
    <t xml:space="preserve">     -  ebből egyéb felhalmozási c visszatérítendő támogatások, kölcsönök</t>
  </si>
  <si>
    <t xml:space="preserve">KÖLTSÉGVETÉSI BEVÉTELEK ÖSSZESEN: </t>
  </si>
  <si>
    <t>Működési célú költségvetési bevételek összesen:</t>
  </si>
  <si>
    <t>Felhalmozási célú költségvetési bevételek összesen:</t>
  </si>
  <si>
    <t xml:space="preserve">               -ebből működési célú maradvány</t>
  </si>
  <si>
    <t xml:space="preserve">               -ebből fejlesztési célú maradvány</t>
  </si>
  <si>
    <t xml:space="preserve">FINANSZÍROZÁSI BEVÉTELEK ÖSSZESEN: </t>
  </si>
  <si>
    <t xml:space="preserve">               -ebből elvonások, befizetések</t>
  </si>
  <si>
    <t>Működési célú költségvetési kiadások összesen:</t>
  </si>
  <si>
    <t>Felhalmozási célú költségvetési kiadások  összesen:</t>
  </si>
  <si>
    <t xml:space="preserve">KÖLTSÉGVETÉSI KIADÁSOK ÖSSZESEN: </t>
  </si>
  <si>
    <t xml:space="preserve">FINANSZÍROZÁSI CÉLÚ KIADÁSOK ÖSSZESEN: </t>
  </si>
  <si>
    <t xml:space="preserve">  - ebből állami támogatás önkormányzati feladatokhoz</t>
  </si>
  <si>
    <t xml:space="preserve">     -  ebből egyéb felhalmozási célú átvett pénzeszközök</t>
  </si>
  <si>
    <t>Működési célú támogatások álamháztartáson belülről</t>
  </si>
  <si>
    <t xml:space="preserve">Egyéb működési célú kiadások </t>
  </si>
  <si>
    <t xml:space="preserve">               -ebből tartalékok</t>
  </si>
  <si>
    <t>KIMUTATÁS</t>
  </si>
  <si>
    <t>Az európai uniós támogatással megvalósuló programok, projektek bevételeiről és kiadásairól, valamint az önkormányzaton kívüli ilyen projektekhez való hozzájárulásról 2014. évben</t>
  </si>
  <si>
    <t xml:space="preserve">I. </t>
  </si>
  <si>
    <t>Jurisics Vár turisztikai hasznosítása:</t>
  </si>
  <si>
    <t>Bevételek (források)</t>
  </si>
  <si>
    <t>Európai Unios forrás</t>
  </si>
  <si>
    <t>Kormányzati támogatás</t>
  </si>
  <si>
    <t>Egyéb támogatás</t>
  </si>
  <si>
    <t>Önkormányzat saját forrásaiból</t>
  </si>
  <si>
    <t>Kiadások:</t>
  </si>
  <si>
    <t>Egyéb kiadás</t>
  </si>
  <si>
    <t>ÁROP szervezetfejlesztési pályázat</t>
  </si>
  <si>
    <t>Foglalkoztatási paktum II. pályázat</t>
  </si>
  <si>
    <t xml:space="preserve"> </t>
  </si>
  <si>
    <t>Vár Kő-Közmű pályázat</t>
  </si>
  <si>
    <t>Kőszeg Város Önkormányzata 2015. évi költségvetésében európai uniós forrásból megvalósítandó projektek, fejlesztések:</t>
  </si>
  <si>
    <t>2015.</t>
  </si>
  <si>
    <t>ÁROP II. esélyegyenlőségi pályázat</t>
  </si>
  <si>
    <t>Erasmus+ pályázat</t>
  </si>
  <si>
    <t>*</t>
  </si>
  <si>
    <t>Várkör - Rajnis u. - Pék u. gyalogátkelőhely kialakítása</t>
  </si>
  <si>
    <t>Balog iskola tornacsarnok védőborítás (rendezvények céljára)</t>
  </si>
  <si>
    <t xml:space="preserve">Kőszegfalvi Klub fűtés korszerűsítés </t>
  </si>
  <si>
    <t>Petőfi tér részleges útfelújítás</t>
  </si>
  <si>
    <t>* A vonal alatt felsorolt felújítások, beruházások a források rendelkezésre állása esetén kerülhetnek megvalósításra, a felsorolás nem jelent automatikus sorrendet, mivel elindításukhoz egyedi döntés szükséges.</t>
  </si>
  <si>
    <t>2015.06.30. módosított előirányzat</t>
  </si>
  <si>
    <t>Támogatás összege 2015. 06.30.             (Ft)</t>
  </si>
  <si>
    <t>Támogatás összege 2015. 01. 01.                                         (Ft)</t>
  </si>
  <si>
    <t>"</t>
  </si>
  <si>
    <t>Módosított ei. 06.30.</t>
  </si>
  <si>
    <t xml:space="preserve">Változás </t>
  </si>
  <si>
    <t>Változás</t>
  </si>
  <si>
    <t>6. A 2014. évről áthúzódó bérkompenzáció támogatása</t>
  </si>
  <si>
    <t>6. Szociális ágazati pótlék</t>
  </si>
  <si>
    <t>i) A települési önkormányzatok könyvtári célú érdekeltségnövelő támogatása</t>
  </si>
  <si>
    <t xml:space="preserve">A helyi önkormányzatok kiegészítő támogatásai  (2014. évi C. törvény 3. melléklete szerint)  </t>
  </si>
  <si>
    <t xml:space="preserve">A helyi önkormányzatok kiegészítő támogatásai összesen: </t>
  </si>
  <si>
    <t>I. Helyi önkormányzatok működési célú költségvetési támogatásai</t>
  </si>
  <si>
    <t>II. Helyi önkormányzatok felhalmozási célú költségvetési támogatásai</t>
  </si>
  <si>
    <t>III.  Önkormányzati fejezeti tartalék</t>
  </si>
  <si>
    <t xml:space="preserve">4. A települési önkormányzatok rendkívüli támogatása </t>
  </si>
  <si>
    <t xml:space="preserve">2015. évi bérkompenzáció </t>
  </si>
  <si>
    <t>3. Gyermekszegénység elleni program keretében nyári étkeztetés biztosítása</t>
  </si>
  <si>
    <t>22.</t>
  </si>
  <si>
    <t>ÁROP 1.A.3 pályázat informatikai eszközök</t>
  </si>
  <si>
    <t>Lóránt Gy. U. vízellátás tervezése</t>
  </si>
  <si>
    <t>23.</t>
  </si>
  <si>
    <t>Hagyománőrző játékok (Jurisics-vár Műv. Központ és Várszínház)</t>
  </si>
  <si>
    <t xml:space="preserve">Jurisich Miklós Gimnázium kollégium fürdőfelújítás 112/2015(V.28.) sz határozat alapján </t>
  </si>
  <si>
    <t xml:space="preserve"> "1. melléklet a 3/2015. (II.13.) önkormányzati rendelethez</t>
  </si>
  <si>
    <t>"2. melléklet a 3/2015. (II.13.) önkormányzati rendelethez</t>
  </si>
  <si>
    <t>"3. melléklet a  3/2015. (II.13.) önkormányzati rendelethez</t>
  </si>
  <si>
    <t>"4. melléklet a  3/2015. (II.13.) önkormányzati rendelethez</t>
  </si>
  <si>
    <t>"5. melléklet a 3/2015. (II. 13.) önkormányzati rendelethez</t>
  </si>
  <si>
    <t>"7. melléklet a 3/2015. (II. 13.) önkormányzati rendelethez</t>
  </si>
  <si>
    <t xml:space="preserve"> - ebből egyéb működési célú támogatás áht-n belülről</t>
  </si>
  <si>
    <t xml:space="preserve">               -ebből működési célú támogatások áht-n belülre</t>
  </si>
  <si>
    <t xml:space="preserve">               -ebből működési célú támogatások áht-n kívülre</t>
  </si>
  <si>
    <t xml:space="preserve">               -ebből felhalmozási c visszatérítendő tám., kölcsönök nyújtása</t>
  </si>
  <si>
    <t xml:space="preserve">               -ebből egyéb felhalmozási célú tám áht-n belülre</t>
  </si>
  <si>
    <t xml:space="preserve">               -ebből egyéb felhalmozási célú tám áht-n kívülre</t>
  </si>
  <si>
    <t>2015. évben</t>
  </si>
  <si>
    <t xml:space="preserve"> 1. melléklet a 17/2015. (VIII. 28.) önkormányzati rendelethez</t>
  </si>
  <si>
    <t xml:space="preserve"> 2. melléklet a 17/2015. (VIII. 28.) önkormányzati rendelethez</t>
  </si>
  <si>
    <t>3. melléklet a 17/2015. (VIII. 28.) önkormányzati rendelethez</t>
  </si>
  <si>
    <t>4. melléklet a 17/2015. (VIII. 28.) önkormányzati rendelethez</t>
  </si>
  <si>
    <t>5. melléklet a 17/2015. (VIII. 28.) önkormányzati rendelethez</t>
  </si>
  <si>
    <t>6. melléklet a 17/2015. (VIII. 28.) önkormányzati rendelethez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</si>
</sst>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.000"/>
    <numFmt numFmtId="166" formatCode="#,##0.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00000"/>
    <numFmt numFmtId="172" formatCode="#,##0.00000000000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[$-40E]yyyy\.\ mmmm\ d\."/>
    <numFmt numFmtId="182" formatCode="#,##0_ ;[Red]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#,##0.0000"/>
    <numFmt numFmtId="187" formatCode="#,##0.0000000"/>
    <numFmt numFmtId="188" formatCode="0.0"/>
    <numFmt numFmtId="189" formatCode="#,##0.00000"/>
    <numFmt numFmtId="190" formatCode="0.0000000"/>
    <numFmt numFmtId="191" formatCode="0.000000"/>
    <numFmt numFmtId="192" formatCode="0.00000"/>
    <numFmt numFmtId="193" formatCode="0.0000"/>
    <numFmt numFmtId="194" formatCode="0.00000000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sz val="8"/>
      <name val="Arial CE"/>
      <family val="0"/>
    </font>
    <font>
      <b/>
      <sz val="12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i/>
      <sz val="10"/>
      <name val="Times New Roman CE"/>
      <family val="0"/>
    </font>
    <font>
      <b/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35" fillId="3" borderId="0" applyNumberFormat="0" applyBorder="0" applyAlignment="0" applyProtection="0"/>
    <xf numFmtId="0" fontId="23" fillId="7" borderId="1" applyNumberFormat="0" applyAlignment="0" applyProtection="0"/>
    <xf numFmtId="0" fontId="37" fillId="20" borderId="1" applyNumberFormat="0" applyAlignment="0" applyProtection="0"/>
    <xf numFmtId="0" fontId="28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3" fillId="7" borderId="1" applyNumberFormat="0" applyAlignment="0" applyProtection="0"/>
    <xf numFmtId="0" fontId="0" fillId="22" borderId="7" applyNumberFormat="0" applyFont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31" fillId="4" borderId="0" applyNumberFormat="0" applyBorder="0" applyAlignment="0" applyProtection="0"/>
    <xf numFmtId="0" fontId="32" fillId="20" borderId="8" applyNumberFormat="0" applyAlignment="0" applyProtection="0"/>
    <xf numFmtId="0" fontId="30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2" borderId="7" applyNumberFormat="0" applyFont="0" applyAlignment="0" applyProtection="0"/>
    <xf numFmtId="0" fontId="32" fillId="20" borderId="8" applyNumberFormat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 applyFill="1" applyAlignment="1">
      <alignment horizontal="center"/>
    </xf>
    <xf numFmtId="3" fontId="18" fillId="0" borderId="10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0" fontId="19" fillId="0" borderId="0" xfId="0" applyFont="1" applyAlignment="1">
      <alignment horizontal="left"/>
    </xf>
    <xf numFmtId="4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center"/>
    </xf>
    <xf numFmtId="3" fontId="18" fillId="0" borderId="0" xfId="0" applyNumberFormat="1" applyFont="1" applyFill="1" applyAlignment="1">
      <alignment/>
    </xf>
    <xf numFmtId="0" fontId="4" fillId="0" borderId="0" xfId="0" applyFont="1" applyAlignment="1">
      <alignment wrapText="1"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4" fillId="4" borderId="0" xfId="0" applyFont="1" applyFill="1" applyBorder="1" applyAlignment="1">
      <alignment/>
    </xf>
    <xf numFmtId="3" fontId="4" fillId="4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/>
    </xf>
    <xf numFmtId="3" fontId="4" fillId="3" borderId="0" xfId="0" applyNumberFormat="1" applyFont="1" applyFill="1" applyBorder="1" applyAlignment="1">
      <alignment horizontal="right"/>
    </xf>
    <xf numFmtId="0" fontId="4" fillId="4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3" fontId="4" fillId="3" borderId="0" xfId="0" applyNumberFormat="1" applyFont="1" applyFill="1" applyAlignment="1">
      <alignment vertical="center"/>
    </xf>
    <xf numFmtId="3" fontId="4" fillId="4" borderId="0" xfId="0" applyNumberFormat="1" applyFont="1" applyFill="1" applyAlignment="1">
      <alignment vertical="center"/>
    </xf>
    <xf numFmtId="0" fontId="4" fillId="4" borderId="0" xfId="0" applyFont="1" applyFill="1" applyAlignment="1">
      <alignment vertical="top"/>
    </xf>
    <xf numFmtId="3" fontId="4" fillId="4" borderId="0" xfId="0" applyNumberFormat="1" applyFont="1" applyFill="1" applyAlignment="1">
      <alignment/>
    </xf>
    <xf numFmtId="3" fontId="4" fillId="3" borderId="0" xfId="0" applyNumberFormat="1" applyFont="1" applyFill="1" applyAlignment="1">
      <alignment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94" applyFont="1" applyFill="1" applyAlignment="1">
      <alignment horizontal="left" vertical="top"/>
      <protection/>
    </xf>
    <xf numFmtId="0" fontId="11" fillId="0" borderId="0" xfId="0" applyFont="1" applyAlignment="1">
      <alignment/>
    </xf>
    <xf numFmtId="0" fontId="5" fillId="4" borderId="0" xfId="0" applyFont="1" applyFill="1" applyAlignment="1">
      <alignment/>
    </xf>
    <xf numFmtId="3" fontId="5" fillId="4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3" fontId="5" fillId="3" borderId="0" xfId="0" applyNumberFormat="1" applyFont="1" applyFill="1" applyAlignment="1">
      <alignment/>
    </xf>
    <xf numFmtId="3" fontId="4" fillId="3" borderId="0" xfId="0" applyNumberFormat="1" applyFont="1" applyFill="1" applyAlignment="1">
      <alignment horizontal="right"/>
    </xf>
    <xf numFmtId="0" fontId="4" fillId="4" borderId="0" xfId="94" applyFont="1" applyFill="1" applyAlignment="1">
      <alignment horizontal="left" vertical="top"/>
      <protection/>
    </xf>
    <xf numFmtId="0" fontId="4" fillId="4" borderId="0" xfId="94" applyFont="1" applyFill="1" applyBorder="1" applyAlignment="1">
      <alignment wrapText="1"/>
      <protection/>
    </xf>
    <xf numFmtId="3" fontId="4" fillId="4" borderId="0" xfId="94" applyNumberFormat="1" applyFont="1" applyFill="1" applyBorder="1" applyAlignment="1">
      <alignment horizontal="right"/>
      <protection/>
    </xf>
    <xf numFmtId="0" fontId="4" fillId="3" borderId="0" xfId="94" applyFont="1" applyFill="1" applyAlignment="1">
      <alignment horizontal="left" vertical="top"/>
      <protection/>
    </xf>
    <xf numFmtId="3" fontId="4" fillId="4" borderId="0" xfId="0" applyNumberFormat="1" applyFont="1" applyFill="1" applyAlignment="1">
      <alignment horizontal="right"/>
    </xf>
    <xf numFmtId="0" fontId="4" fillId="3" borderId="0" xfId="94" applyFont="1" applyFill="1" applyAlignment="1">
      <alignment horizontal="left"/>
      <protection/>
    </xf>
    <xf numFmtId="0" fontId="4" fillId="3" borderId="0" xfId="94" applyFont="1" applyFill="1" applyBorder="1" applyAlignment="1">
      <alignment/>
      <protection/>
    </xf>
    <xf numFmtId="3" fontId="4" fillId="3" borderId="0" xfId="94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left" wrapText="1"/>
    </xf>
    <xf numFmtId="3" fontId="4" fillId="0" borderId="0" xfId="93" applyNumberFormat="1" applyFont="1" applyFill="1" applyAlignment="1">
      <alignment vertical="top"/>
      <protection/>
    </xf>
    <xf numFmtId="0" fontId="4" fillId="0" borderId="0" xfId="93" applyFont="1" applyFill="1" applyAlignment="1">
      <alignment vertical="top"/>
      <protection/>
    </xf>
    <xf numFmtId="0" fontId="3" fillId="0" borderId="0" xfId="95" applyFont="1" applyFill="1" applyBorder="1">
      <alignment/>
      <protection/>
    </xf>
    <xf numFmtId="3" fontId="4" fillId="0" borderId="0" xfId="93" applyNumberFormat="1" applyFont="1" applyFill="1">
      <alignment/>
      <protection/>
    </xf>
    <xf numFmtId="0" fontId="4" fillId="0" borderId="0" xfId="93" applyFont="1" applyFill="1">
      <alignment/>
      <protection/>
    </xf>
    <xf numFmtId="0" fontId="3" fillId="0" borderId="0" xfId="93" applyFont="1" applyFill="1">
      <alignment/>
      <protection/>
    </xf>
    <xf numFmtId="3" fontId="20" fillId="0" borderId="0" xfId="93" applyNumberFormat="1" applyFont="1" applyFill="1" applyAlignment="1">
      <alignment horizontal="center" wrapText="1"/>
      <protection/>
    </xf>
    <xf numFmtId="0" fontId="13" fillId="0" borderId="0" xfId="93" applyFont="1" applyFill="1">
      <alignment/>
      <protection/>
    </xf>
    <xf numFmtId="0" fontId="5" fillId="0" borderId="0" xfId="93" applyFont="1" applyFill="1">
      <alignment/>
      <protection/>
    </xf>
    <xf numFmtId="3" fontId="5" fillId="0" borderId="0" xfId="93" applyNumberFormat="1" applyFont="1" applyFill="1">
      <alignment/>
      <protection/>
    </xf>
    <xf numFmtId="0" fontId="6" fillId="0" borderId="0" xfId="93" applyFont="1" applyFill="1">
      <alignment/>
      <protection/>
    </xf>
    <xf numFmtId="0" fontId="7" fillId="20" borderId="0" xfId="93" applyFont="1" applyFill="1" applyBorder="1" applyAlignment="1">
      <alignment horizontal="left"/>
      <protection/>
    </xf>
    <xf numFmtId="3" fontId="4" fillId="20" borderId="0" xfId="93" applyNumberFormat="1" applyFont="1" applyFill="1" applyBorder="1">
      <alignment/>
      <protection/>
    </xf>
    <xf numFmtId="0" fontId="6" fillId="0" borderId="0" xfId="93" applyFont="1" applyFill="1" applyBorder="1" applyAlignment="1">
      <alignment horizontal="left" wrapText="1" indent="3"/>
      <protection/>
    </xf>
    <xf numFmtId="0" fontId="6" fillId="0" borderId="0" xfId="93" applyFont="1" applyFill="1" applyBorder="1" applyAlignment="1">
      <alignment horizontal="left" indent="3"/>
      <protection/>
    </xf>
    <xf numFmtId="0" fontId="4" fillId="0" borderId="0" xfId="93" applyFont="1" applyFill="1" applyBorder="1" applyAlignment="1">
      <alignment horizontal="left" wrapText="1" indent="3"/>
      <protection/>
    </xf>
    <xf numFmtId="0" fontId="4" fillId="0" borderId="0" xfId="93" applyFont="1" applyFill="1" applyBorder="1" applyAlignment="1">
      <alignment horizontal="left" indent="3"/>
      <protection/>
    </xf>
    <xf numFmtId="0" fontId="5" fillId="20" borderId="0" xfId="93" applyFont="1" applyFill="1" applyBorder="1" applyAlignment="1">
      <alignment wrapText="1"/>
      <protection/>
    </xf>
    <xf numFmtId="3" fontId="4" fillId="20" borderId="0" xfId="93" applyNumberFormat="1" applyFont="1" applyFill="1">
      <alignment/>
      <protection/>
    </xf>
    <xf numFmtId="0" fontId="6" fillId="0" borderId="0" xfId="93" applyFont="1" applyFill="1" applyBorder="1" applyAlignment="1">
      <alignment wrapText="1"/>
      <protection/>
    </xf>
    <xf numFmtId="2" fontId="6" fillId="0" borderId="0" xfId="93" applyNumberFormat="1" applyFont="1" applyFill="1" applyBorder="1" applyAlignment="1">
      <alignment horizontal="left" wrapText="1" indent="3"/>
      <protection/>
    </xf>
    <xf numFmtId="0" fontId="4" fillId="0" borderId="0" xfId="93" applyFont="1" applyFill="1" applyBorder="1">
      <alignment/>
      <protection/>
    </xf>
    <xf numFmtId="0" fontId="16" fillId="0" borderId="0" xfId="93" applyFont="1" applyFill="1" applyBorder="1" applyAlignment="1">
      <alignment wrapText="1"/>
      <protection/>
    </xf>
    <xf numFmtId="0" fontId="8" fillId="0" borderId="0" xfId="93" applyFont="1" applyFill="1">
      <alignment/>
      <protection/>
    </xf>
    <xf numFmtId="0" fontId="7" fillId="0" borderId="0" xfId="93" applyFont="1" applyFill="1" applyAlignment="1">
      <alignment horizontal="right"/>
      <protection/>
    </xf>
    <xf numFmtId="0" fontId="8" fillId="0" borderId="0" xfId="93" applyFont="1" applyFill="1" applyAlignment="1">
      <alignment horizontal="right"/>
      <protection/>
    </xf>
    <xf numFmtId="0" fontId="16" fillId="0" borderId="0" xfId="93" applyFont="1" applyFill="1">
      <alignment/>
      <protection/>
    </xf>
    <xf numFmtId="0" fontId="38" fillId="0" borderId="0" xfId="93" applyFont="1" applyFill="1">
      <alignment/>
      <protection/>
    </xf>
    <xf numFmtId="0" fontId="5" fillId="0" borderId="0" xfId="93" applyFont="1" applyFill="1" applyAlignment="1">
      <alignment/>
      <protection/>
    </xf>
    <xf numFmtId="0" fontId="16" fillId="23" borderId="0" xfId="93" applyFont="1" applyFill="1" applyBorder="1">
      <alignment/>
      <protection/>
    </xf>
    <xf numFmtId="3" fontId="16" fillId="23" borderId="0" xfId="93" applyNumberFormat="1" applyFont="1" applyFill="1">
      <alignment/>
      <protection/>
    </xf>
    <xf numFmtId="0" fontId="16" fillId="23" borderId="0" xfId="93" applyFont="1" applyFill="1" applyBorder="1" applyAlignment="1">
      <alignment wrapText="1"/>
      <protection/>
    </xf>
    <xf numFmtId="3" fontId="16" fillId="23" borderId="0" xfId="93" applyNumberFormat="1" applyFont="1" applyFill="1" applyBorder="1" applyAlignment="1">
      <alignment wrapText="1"/>
      <protection/>
    </xf>
    <xf numFmtId="0" fontId="13" fillId="4" borderId="0" xfId="93" applyFont="1" applyFill="1">
      <alignment/>
      <protection/>
    </xf>
    <xf numFmtId="3" fontId="13" fillId="4" borderId="0" xfId="93" applyNumberFormat="1" applyFont="1" applyFill="1">
      <alignment/>
      <protection/>
    </xf>
    <xf numFmtId="0" fontId="18" fillId="0" borderId="15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5" fillId="0" borderId="0" xfId="93" applyFont="1" applyFill="1" applyBorder="1" applyAlignment="1">
      <alignment horizontal="left" wrapText="1"/>
      <protection/>
    </xf>
    <xf numFmtId="0" fontId="13" fillId="0" borderId="0" xfId="0" applyFont="1" applyFill="1" applyBorder="1" applyAlignment="1">
      <alignment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vertical="top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wrapText="1"/>
    </xf>
    <xf numFmtId="3" fontId="18" fillId="0" borderId="18" xfId="0" applyNumberFormat="1" applyFont="1" applyFill="1" applyBorder="1" applyAlignment="1">
      <alignment/>
    </xf>
    <xf numFmtId="0" fontId="19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3" fontId="18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3" fontId="19" fillId="0" borderId="25" xfId="0" applyNumberFormat="1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8" fillId="0" borderId="15" xfId="0" applyFont="1" applyFill="1" applyBorder="1" applyAlignment="1">
      <alignment wrapText="1"/>
    </xf>
    <xf numFmtId="0" fontId="18" fillId="0" borderId="26" xfId="0" applyFont="1" applyFill="1" applyBorder="1" applyAlignment="1">
      <alignment/>
    </xf>
    <xf numFmtId="0" fontId="39" fillId="0" borderId="20" xfId="0" applyFont="1" applyFill="1" applyBorder="1" applyAlignment="1">
      <alignment/>
    </xf>
    <xf numFmtId="3" fontId="39" fillId="0" borderId="11" xfId="0" applyNumberFormat="1" applyFont="1" applyFill="1" applyBorder="1" applyAlignment="1">
      <alignment/>
    </xf>
    <xf numFmtId="3" fontId="39" fillId="0" borderId="12" xfId="0" applyNumberFormat="1" applyFont="1" applyFill="1" applyBorder="1" applyAlignment="1">
      <alignment/>
    </xf>
    <xf numFmtId="0" fontId="39" fillId="0" borderId="27" xfId="0" applyFont="1" applyFill="1" applyBorder="1" applyAlignment="1">
      <alignment/>
    </xf>
    <xf numFmtId="3" fontId="39" fillId="0" borderId="22" xfId="0" applyNumberFormat="1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/>
    </xf>
    <xf numFmtId="0" fontId="19" fillId="0" borderId="24" xfId="0" applyFont="1" applyFill="1" applyBorder="1" applyAlignment="1">
      <alignment wrapText="1"/>
    </xf>
    <xf numFmtId="0" fontId="39" fillId="0" borderId="20" xfId="0" applyFont="1" applyFill="1" applyBorder="1" applyAlignment="1">
      <alignment horizontal="left" wrapText="1" indent="2"/>
    </xf>
    <xf numFmtId="0" fontId="39" fillId="0" borderId="20" xfId="0" applyFont="1" applyFill="1" applyBorder="1" applyAlignment="1">
      <alignment horizontal="left" indent="2"/>
    </xf>
    <xf numFmtId="3" fontId="4" fillId="4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3" fontId="19" fillId="0" borderId="0" xfId="0" applyNumberFormat="1" applyFont="1" applyAlignment="1">
      <alignment horizontal="center"/>
    </xf>
    <xf numFmtId="0" fontId="3" fillId="0" borderId="0" xfId="0" applyFont="1" applyAlignment="1">
      <alignment horizontal="right" vertical="top"/>
    </xf>
    <xf numFmtId="0" fontId="17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3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19" fillId="0" borderId="0" xfId="0" applyFont="1" applyAlignment="1">
      <alignment wrapText="1"/>
    </xf>
    <xf numFmtId="0" fontId="4" fillId="4" borderId="0" xfId="0" applyFont="1" applyFill="1" applyAlignment="1">
      <alignment/>
    </xf>
    <xf numFmtId="0" fontId="5" fillId="0" borderId="0" xfId="93" applyFont="1" applyFill="1" applyAlignment="1">
      <alignment horizontal="center"/>
      <protection/>
    </xf>
    <xf numFmtId="0" fontId="19" fillId="0" borderId="2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3" fontId="14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4" fillId="4" borderId="0" xfId="0" applyFont="1" applyFill="1" applyBorder="1" applyAlignment="1">
      <alignment vertical="top"/>
    </xf>
    <xf numFmtId="0" fontId="4" fillId="4" borderId="0" xfId="0" applyFont="1" applyFill="1" applyBorder="1" applyAlignment="1">
      <alignment wrapText="1"/>
    </xf>
    <xf numFmtId="3" fontId="4" fillId="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3" fillId="4" borderId="0" xfId="0" applyFont="1" applyFill="1" applyAlignment="1">
      <alignment horizontal="center"/>
    </xf>
    <xf numFmtId="3" fontId="4" fillId="4" borderId="0" xfId="0" applyNumberFormat="1" applyFont="1" applyFill="1" applyBorder="1" applyAlignment="1">
      <alignment/>
    </xf>
    <xf numFmtId="0" fontId="4" fillId="4" borderId="0" xfId="0" applyFont="1" applyFill="1" applyAlignment="1">
      <alignment horizontal="right"/>
    </xf>
    <xf numFmtId="3" fontId="4" fillId="3" borderId="0" xfId="0" applyNumberFormat="1" applyFont="1" applyFill="1" applyBorder="1" applyAlignment="1">
      <alignment/>
    </xf>
    <xf numFmtId="0" fontId="5" fillId="0" borderId="0" xfId="93" applyFont="1" applyFill="1" applyBorder="1" applyAlignment="1">
      <alignment wrapText="1"/>
      <protection/>
    </xf>
    <xf numFmtId="0" fontId="5" fillId="0" borderId="0" xfId="93" applyFont="1" applyFill="1" applyBorder="1" applyAlignment="1">
      <alignment horizontal="right" wrapText="1"/>
      <protection/>
    </xf>
    <xf numFmtId="0" fontId="4" fillId="0" borderId="0" xfId="93" applyFont="1" applyFill="1" applyBorder="1" applyAlignment="1">
      <alignment horizontal="left" wrapText="1"/>
      <protection/>
    </xf>
    <xf numFmtId="3" fontId="4" fillId="0" borderId="0" xfId="93" applyNumberFormat="1" applyFont="1" applyFill="1" applyBorder="1" applyAlignment="1">
      <alignment horizontal="right" wrapText="1"/>
      <protection/>
    </xf>
    <xf numFmtId="0" fontId="3" fillId="0" borderId="0" xfId="95" applyFont="1" applyFill="1" applyBorder="1" applyAlignment="1">
      <alignment horizontal="left"/>
      <protection/>
    </xf>
    <xf numFmtId="0" fontId="39" fillId="0" borderId="20" xfId="0" applyFont="1" applyFill="1" applyBorder="1" applyAlignment="1">
      <alignment wrapText="1"/>
    </xf>
    <xf numFmtId="3" fontId="4" fillId="3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93" applyFont="1" applyFill="1" applyAlignment="1">
      <alignment horizontal="center"/>
      <protection/>
    </xf>
    <xf numFmtId="0" fontId="5" fillId="0" borderId="0" xfId="93" applyFont="1" applyFill="1" applyBorder="1" applyAlignment="1">
      <alignment horizontal="left" wrapText="1"/>
      <protection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17" fillId="0" borderId="0" xfId="0" applyFont="1" applyAlignment="1">
      <alignment horizontal="left" wrapText="1"/>
    </xf>
  </cellXfs>
  <cellStyles count="9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Followed Hyperlink" xfId="90"/>
    <cellStyle name="Neutral" xfId="91"/>
    <cellStyle name="Normál 2" xfId="92"/>
    <cellStyle name="Normál_2013. költségvetés mell" xfId="93"/>
    <cellStyle name="Normál_melléklet összesen_2012. koncepció kiegészítő táblázatok" xfId="94"/>
    <cellStyle name="Normál_R_2MELL" xfId="95"/>
    <cellStyle name="Note" xfId="96"/>
    <cellStyle name="Output" xfId="97"/>
    <cellStyle name="Összesen" xfId="98"/>
    <cellStyle name="Currency" xfId="99"/>
    <cellStyle name="Currency [0]" xfId="100"/>
    <cellStyle name="Rossz" xfId="101"/>
    <cellStyle name="Semleges" xfId="102"/>
    <cellStyle name="Számítás" xfId="103"/>
    <cellStyle name="Percent" xfId="104"/>
    <cellStyle name="Title" xfId="105"/>
    <cellStyle name="Total" xfId="106"/>
    <cellStyle name="Warning Text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3"/>
  <sheetViews>
    <sheetView workbookViewId="0" topLeftCell="A1">
      <selection activeCell="G7" sqref="G7"/>
    </sheetView>
  </sheetViews>
  <sheetFormatPr defaultColWidth="9.00390625" defaultRowHeight="12.75"/>
  <cols>
    <col min="1" max="1" width="12.00390625" style="26" customWidth="1"/>
    <col min="2" max="2" width="12.25390625" style="26" customWidth="1"/>
    <col min="3" max="3" width="6.00390625" style="24" customWidth="1"/>
    <col min="4" max="4" width="37.125" style="24" customWidth="1"/>
    <col min="5" max="16384" width="9.125" style="24" customWidth="1"/>
  </cols>
  <sheetData>
    <row r="1" ht="18.75" customHeight="1"/>
    <row r="2" spans="1:8" ht="15.75">
      <c r="A2" s="203" t="s">
        <v>43</v>
      </c>
      <c r="B2" s="203"/>
      <c r="C2" s="203"/>
      <c r="D2" s="203"/>
      <c r="E2" s="203"/>
      <c r="F2" s="203"/>
      <c r="G2" s="31"/>
      <c r="H2" s="31"/>
    </row>
    <row r="3" spans="1:6" ht="12.75">
      <c r="A3" s="30"/>
      <c r="B3" s="30"/>
      <c r="C3" s="28"/>
      <c r="D3" s="28"/>
      <c r="E3" s="28"/>
      <c r="F3" s="28"/>
    </row>
    <row r="4" spans="1:6" ht="27.75" customHeight="1">
      <c r="A4" s="30"/>
      <c r="B4" s="30"/>
      <c r="C4" s="28"/>
      <c r="D4" s="28"/>
      <c r="E4" s="28"/>
      <c r="F4" s="28"/>
    </row>
    <row r="5" spans="1:6" ht="12.75">
      <c r="A5" s="32" t="s">
        <v>44</v>
      </c>
      <c r="B5" s="32"/>
      <c r="C5" s="28"/>
      <c r="D5" s="28"/>
      <c r="E5" s="28"/>
      <c r="F5" s="28"/>
    </row>
    <row r="6" spans="1:6" ht="12.75">
      <c r="A6" s="32"/>
      <c r="B6" s="32" t="s">
        <v>45</v>
      </c>
      <c r="C6" s="28"/>
      <c r="D6" s="28"/>
      <c r="E6" s="28"/>
      <c r="F6" s="28"/>
    </row>
    <row r="7" spans="1:6" ht="25.5" customHeight="1">
      <c r="A7" s="32"/>
      <c r="B7" s="32" t="s">
        <v>6</v>
      </c>
      <c r="C7" s="33"/>
      <c r="D7" s="34" t="s">
        <v>97</v>
      </c>
      <c r="E7" s="28"/>
      <c r="F7" s="28"/>
    </row>
    <row r="8" spans="1:6" ht="25.5" customHeight="1">
      <c r="A8" s="32"/>
      <c r="B8" s="32" t="s">
        <v>7</v>
      </c>
      <c r="C8" s="33"/>
      <c r="D8" s="43" t="s">
        <v>46</v>
      </c>
      <c r="E8" s="28"/>
      <c r="F8" s="28"/>
    </row>
    <row r="9" spans="1:6" ht="25.5" customHeight="1">
      <c r="A9" s="32"/>
      <c r="B9" s="32" t="s">
        <v>8</v>
      </c>
      <c r="C9" s="33"/>
      <c r="D9" s="26" t="s">
        <v>162</v>
      </c>
      <c r="E9" s="28"/>
      <c r="F9" s="28"/>
    </row>
    <row r="10" spans="1:6" ht="25.5" customHeight="1">
      <c r="A10" s="32"/>
      <c r="B10" s="32" t="s">
        <v>9</v>
      </c>
      <c r="C10" s="33"/>
      <c r="D10" s="43" t="s">
        <v>62</v>
      </c>
      <c r="E10" s="28"/>
      <c r="F10" s="28"/>
    </row>
    <row r="11" spans="1:6" ht="25.5" customHeight="1">
      <c r="A11" s="32"/>
      <c r="B11" s="32" t="s">
        <v>10</v>
      </c>
      <c r="C11" s="33"/>
      <c r="D11" s="43" t="s">
        <v>48</v>
      </c>
      <c r="E11" s="28"/>
      <c r="F11" s="28"/>
    </row>
    <row r="12" spans="1:6" ht="25.5" customHeight="1">
      <c r="A12" s="32" t="s">
        <v>1</v>
      </c>
      <c r="B12" s="30"/>
      <c r="C12" s="28"/>
      <c r="D12" s="34" t="s">
        <v>49</v>
      </c>
      <c r="E12" s="28"/>
      <c r="F12" s="28"/>
    </row>
    <row r="13" spans="1:6" ht="12.75">
      <c r="A13" s="30"/>
      <c r="B13" s="30"/>
      <c r="C13" s="28"/>
      <c r="D13" s="28"/>
      <c r="E13" s="28"/>
      <c r="F13" s="28"/>
    </row>
    <row r="14" spans="1:6" ht="12.75">
      <c r="A14" s="30"/>
      <c r="B14" s="30"/>
      <c r="C14" s="28"/>
      <c r="D14" s="28"/>
      <c r="E14" s="28"/>
      <c r="F14" s="28"/>
    </row>
    <row r="15" spans="1:6" ht="12.75">
      <c r="A15" s="30"/>
      <c r="B15" s="30"/>
      <c r="C15" s="28"/>
      <c r="D15" s="28"/>
      <c r="E15" s="28"/>
      <c r="F15" s="28"/>
    </row>
    <row r="16" spans="1:6" ht="12.75">
      <c r="A16" s="30"/>
      <c r="B16" s="30"/>
      <c r="C16" s="28"/>
      <c r="D16" s="28"/>
      <c r="E16" s="28"/>
      <c r="F16" s="28"/>
    </row>
    <row r="17" spans="1:6" ht="12.75">
      <c r="A17" s="30"/>
      <c r="B17" s="30"/>
      <c r="C17" s="28"/>
      <c r="D17" s="28"/>
      <c r="E17" s="28"/>
      <c r="F17" s="28"/>
    </row>
    <row r="18" spans="1:6" ht="12.75">
      <c r="A18" s="30"/>
      <c r="B18" s="30"/>
      <c r="C18" s="28"/>
      <c r="D18" s="28"/>
      <c r="E18" s="28"/>
      <c r="F18" s="28"/>
    </row>
    <row r="19" spans="1:6" ht="12.75">
      <c r="A19" s="30"/>
      <c r="B19" s="30"/>
      <c r="C19" s="28"/>
      <c r="D19" s="28"/>
      <c r="E19" s="28"/>
      <c r="F19" s="28"/>
    </row>
    <row r="20" spans="1:6" ht="12.75">
      <c r="A20" s="30"/>
      <c r="B20" s="30"/>
      <c r="C20" s="28"/>
      <c r="D20" s="28"/>
      <c r="E20" s="28"/>
      <c r="F20" s="28"/>
    </row>
    <row r="21" spans="1:6" ht="12.75">
      <c r="A21" s="30"/>
      <c r="B21" s="30"/>
      <c r="C21" s="28"/>
      <c r="D21" s="28"/>
      <c r="E21" s="28"/>
      <c r="F21" s="28"/>
    </row>
    <row r="22" spans="1:6" ht="12.75">
      <c r="A22" s="30"/>
      <c r="B22" s="30"/>
      <c r="C22" s="28"/>
      <c r="D22" s="28"/>
      <c r="E22" s="28"/>
      <c r="F22" s="28"/>
    </row>
    <row r="23" spans="1:6" ht="12.75">
      <c r="A23" s="30"/>
      <c r="B23" s="30"/>
      <c r="C23" s="28"/>
      <c r="D23" s="28"/>
      <c r="E23" s="28"/>
      <c r="F23" s="28"/>
    </row>
    <row r="24" spans="1:6" ht="12.75">
      <c r="A24" s="30"/>
      <c r="B24" s="30"/>
      <c r="C24" s="28"/>
      <c r="D24" s="28"/>
      <c r="E24" s="28"/>
      <c r="F24" s="28"/>
    </row>
    <row r="25" spans="1:6" ht="12.75">
      <c r="A25" s="30"/>
      <c r="B25" s="30"/>
      <c r="C25" s="28"/>
      <c r="D25" s="28"/>
      <c r="E25" s="28"/>
      <c r="F25" s="28"/>
    </row>
    <row r="26" spans="1:6" ht="12.75">
      <c r="A26" s="30"/>
      <c r="B26" s="30"/>
      <c r="C26" s="28"/>
      <c r="D26" s="28"/>
      <c r="E26" s="28"/>
      <c r="F26" s="28"/>
    </row>
    <row r="27" spans="1:6" ht="12.75">
      <c r="A27" s="30"/>
      <c r="B27" s="30"/>
      <c r="C27" s="28"/>
      <c r="D27" s="28"/>
      <c r="E27" s="28"/>
      <c r="F27" s="28"/>
    </row>
    <row r="28" spans="1:6" ht="12.75">
      <c r="A28" s="30"/>
      <c r="B28" s="30"/>
      <c r="C28" s="28"/>
      <c r="D28" s="28"/>
      <c r="E28" s="28"/>
      <c r="F28" s="28"/>
    </row>
    <row r="29" spans="1:6" ht="12.75">
      <c r="A29" s="30"/>
      <c r="B29" s="30"/>
      <c r="C29" s="28"/>
      <c r="D29" s="28"/>
      <c r="E29" s="28"/>
      <c r="F29" s="28"/>
    </row>
    <row r="30" spans="1:6" ht="12.75">
      <c r="A30" s="30"/>
      <c r="B30" s="30"/>
      <c r="C30" s="28"/>
      <c r="D30" s="28"/>
      <c r="E30" s="28"/>
      <c r="F30" s="28"/>
    </row>
    <row r="31" spans="1:6" ht="12.75">
      <c r="A31" s="30"/>
      <c r="B31" s="30"/>
      <c r="C31" s="28"/>
      <c r="D31" s="28"/>
      <c r="E31" s="28"/>
      <c r="F31" s="28"/>
    </row>
    <row r="32" spans="1:6" ht="12.75">
      <c r="A32" s="30"/>
      <c r="B32" s="30"/>
      <c r="C32" s="28"/>
      <c r="D32" s="28"/>
      <c r="E32" s="28"/>
      <c r="F32" s="28"/>
    </row>
    <row r="33" spans="1:6" ht="12.75">
      <c r="A33" s="30"/>
      <c r="B33" s="30"/>
      <c r="C33" s="28"/>
      <c r="D33" s="28"/>
      <c r="E33" s="28"/>
      <c r="F33" s="28"/>
    </row>
    <row r="34" spans="1:6" ht="12.75">
      <c r="A34" s="30"/>
      <c r="B34" s="30"/>
      <c r="C34" s="28"/>
      <c r="D34" s="28"/>
      <c r="E34" s="28"/>
      <c r="F34" s="28"/>
    </row>
    <row r="35" spans="1:6" ht="12.75">
      <c r="A35" s="30"/>
      <c r="B35" s="30"/>
      <c r="C35" s="28"/>
      <c r="D35" s="28"/>
      <c r="E35" s="28"/>
      <c r="F35" s="28"/>
    </row>
    <row r="36" spans="1:6" ht="12.75">
      <c r="A36" s="30"/>
      <c r="B36" s="30"/>
      <c r="C36" s="28"/>
      <c r="D36" s="28"/>
      <c r="E36" s="28"/>
      <c r="F36" s="28"/>
    </row>
    <row r="37" spans="1:6" ht="12.75">
      <c r="A37" s="30"/>
      <c r="B37" s="30"/>
      <c r="C37" s="28"/>
      <c r="D37" s="28"/>
      <c r="E37" s="28"/>
      <c r="F37" s="28"/>
    </row>
    <row r="38" spans="1:6" ht="12.75">
      <c r="A38" s="30"/>
      <c r="B38" s="30"/>
      <c r="C38" s="28"/>
      <c r="D38" s="28"/>
      <c r="E38" s="28"/>
      <c r="F38" s="28"/>
    </row>
    <row r="39" spans="1:6" ht="12.75">
      <c r="A39" s="30"/>
      <c r="B39" s="30"/>
      <c r="C39" s="28"/>
      <c r="D39" s="28"/>
      <c r="E39" s="28"/>
      <c r="F39" s="28"/>
    </row>
    <row r="40" spans="1:6" ht="12.75">
      <c r="A40" s="30"/>
      <c r="B40" s="30"/>
      <c r="C40" s="28"/>
      <c r="D40" s="28"/>
      <c r="E40" s="28"/>
      <c r="F40" s="28"/>
    </row>
    <row r="41" spans="1:6" ht="12.75">
      <c r="A41" s="30"/>
      <c r="B41" s="30"/>
      <c r="C41" s="28"/>
      <c r="D41" s="28"/>
      <c r="E41" s="28"/>
      <c r="F41" s="28"/>
    </row>
    <row r="42" spans="1:6" ht="12.75">
      <c r="A42" s="30"/>
      <c r="B42" s="30"/>
      <c r="C42" s="28"/>
      <c r="D42" s="28"/>
      <c r="E42" s="28"/>
      <c r="F42" s="28"/>
    </row>
    <row r="43" spans="1:6" ht="12.75">
      <c r="A43" s="30"/>
      <c r="B43" s="30"/>
      <c r="C43" s="28"/>
      <c r="D43" s="28"/>
      <c r="E43" s="28"/>
      <c r="F43" s="28"/>
    </row>
    <row r="44" spans="1:6" ht="12.75">
      <c r="A44" s="30"/>
      <c r="B44" s="30"/>
      <c r="C44" s="28"/>
      <c r="D44" s="28"/>
      <c r="E44" s="28"/>
      <c r="F44" s="28"/>
    </row>
    <row r="45" spans="1:6" ht="12.75">
      <c r="A45" s="30"/>
      <c r="B45" s="30"/>
      <c r="C45" s="28"/>
      <c r="D45" s="28"/>
      <c r="E45" s="28"/>
      <c r="F45" s="28"/>
    </row>
    <row r="46" spans="1:6" ht="12.75">
      <c r="A46" s="30"/>
      <c r="B46" s="30"/>
      <c r="C46" s="28"/>
      <c r="D46" s="28"/>
      <c r="E46" s="28"/>
      <c r="F46" s="28"/>
    </row>
    <row r="47" spans="1:6" ht="12.75">
      <c r="A47" s="30"/>
      <c r="B47" s="30"/>
      <c r="C47" s="28"/>
      <c r="D47" s="28"/>
      <c r="E47" s="28"/>
      <c r="F47" s="28"/>
    </row>
    <row r="48" spans="1:6" ht="12.75">
      <c r="A48" s="30"/>
      <c r="B48" s="30"/>
      <c r="C48" s="28"/>
      <c r="D48" s="28"/>
      <c r="E48" s="28"/>
      <c r="F48" s="28"/>
    </row>
    <row r="49" spans="1:6" ht="12.75">
      <c r="A49" s="30"/>
      <c r="B49" s="30"/>
      <c r="C49" s="28"/>
      <c r="D49" s="28"/>
      <c r="E49" s="28"/>
      <c r="F49" s="28"/>
    </row>
    <row r="50" spans="1:6" ht="12.75">
      <c r="A50" s="30"/>
      <c r="B50" s="30"/>
      <c r="C50" s="28"/>
      <c r="D50" s="28"/>
      <c r="E50" s="28"/>
      <c r="F50" s="28"/>
    </row>
    <row r="51" spans="1:6" ht="12.75">
      <c r="A51" s="30"/>
      <c r="B51" s="30"/>
      <c r="C51" s="28"/>
      <c r="D51" s="28"/>
      <c r="E51" s="28"/>
      <c r="F51" s="28"/>
    </row>
    <row r="52" spans="1:6" ht="12.75">
      <c r="A52" s="30"/>
      <c r="B52" s="30"/>
      <c r="C52" s="28"/>
      <c r="D52" s="28"/>
      <c r="E52" s="28"/>
      <c r="F52" s="28"/>
    </row>
    <row r="53" spans="1:6" ht="12.75">
      <c r="A53" s="30"/>
      <c r="B53" s="30"/>
      <c r="C53" s="28"/>
      <c r="D53" s="28"/>
      <c r="E53" s="28"/>
      <c r="F53" s="28"/>
    </row>
    <row r="54" spans="1:6" ht="12.75">
      <c r="A54" s="30"/>
      <c r="B54" s="30"/>
      <c r="C54" s="28"/>
      <c r="D54" s="28"/>
      <c r="E54" s="28"/>
      <c r="F54" s="28"/>
    </row>
    <row r="55" spans="1:6" ht="12.75">
      <c r="A55" s="30"/>
      <c r="B55" s="30"/>
      <c r="C55" s="28"/>
      <c r="D55" s="28"/>
      <c r="E55" s="28"/>
      <c r="F55" s="28"/>
    </row>
    <row r="56" spans="1:6" ht="12.75">
      <c r="A56" s="30"/>
      <c r="B56" s="30"/>
      <c r="C56" s="28"/>
      <c r="D56" s="28"/>
      <c r="E56" s="28"/>
      <c r="F56" s="28"/>
    </row>
    <row r="57" spans="1:6" ht="12.75">
      <c r="A57" s="30"/>
      <c r="B57" s="30"/>
      <c r="C57" s="28"/>
      <c r="D57" s="28"/>
      <c r="E57" s="28"/>
      <c r="F57" s="28"/>
    </row>
    <row r="58" spans="1:6" ht="12.75">
      <c r="A58" s="30"/>
      <c r="B58" s="30"/>
      <c r="C58" s="28"/>
      <c r="D58" s="28"/>
      <c r="E58" s="28"/>
      <c r="F58" s="28"/>
    </row>
    <row r="59" spans="1:6" ht="12.75">
      <c r="A59" s="30"/>
      <c r="B59" s="30"/>
      <c r="C59" s="28"/>
      <c r="D59" s="28"/>
      <c r="E59" s="28"/>
      <c r="F59" s="28"/>
    </row>
    <row r="60" spans="1:6" ht="12.75">
      <c r="A60" s="30"/>
      <c r="B60" s="30"/>
      <c r="C60" s="28"/>
      <c r="D60" s="28"/>
      <c r="E60" s="28"/>
      <c r="F60" s="28"/>
    </row>
    <row r="61" spans="1:6" ht="12.75">
      <c r="A61" s="30"/>
      <c r="B61" s="30"/>
      <c r="C61" s="28"/>
      <c r="D61" s="28"/>
      <c r="E61" s="28"/>
      <c r="F61" s="28"/>
    </row>
    <row r="62" spans="1:6" ht="12.75">
      <c r="A62" s="30"/>
      <c r="B62" s="30"/>
      <c r="C62" s="28"/>
      <c r="D62" s="28"/>
      <c r="E62" s="28"/>
      <c r="F62" s="28"/>
    </row>
    <row r="63" spans="1:6" ht="12.75">
      <c r="A63" s="30"/>
      <c r="B63" s="30"/>
      <c r="C63" s="28"/>
      <c r="D63" s="28"/>
      <c r="E63" s="28"/>
      <c r="F63" s="28"/>
    </row>
    <row r="64" spans="1:6" ht="12.75">
      <c r="A64" s="30"/>
      <c r="B64" s="30"/>
      <c r="C64" s="28"/>
      <c r="D64" s="28"/>
      <c r="E64" s="28"/>
      <c r="F64" s="28"/>
    </row>
    <row r="65" spans="1:6" ht="12.75">
      <c r="A65" s="30"/>
      <c r="B65" s="30"/>
      <c r="C65" s="28"/>
      <c r="D65" s="28"/>
      <c r="E65" s="28"/>
      <c r="F65" s="28"/>
    </row>
    <row r="66" spans="1:6" ht="12.75">
      <c r="A66" s="30"/>
      <c r="B66" s="30"/>
      <c r="C66" s="28"/>
      <c r="D66" s="28"/>
      <c r="E66" s="28"/>
      <c r="F66" s="28"/>
    </row>
    <row r="67" spans="1:6" ht="12.75">
      <c r="A67" s="30"/>
      <c r="B67" s="30"/>
      <c r="C67" s="28"/>
      <c r="D67" s="28"/>
      <c r="E67" s="28"/>
      <c r="F67" s="28"/>
    </row>
    <row r="68" spans="1:6" ht="12.75">
      <c r="A68" s="30"/>
      <c r="B68" s="30"/>
      <c r="C68" s="28"/>
      <c r="D68" s="28"/>
      <c r="E68" s="28"/>
      <c r="F68" s="28"/>
    </row>
    <row r="69" spans="1:6" ht="12.75">
      <c r="A69" s="30"/>
      <c r="B69" s="30"/>
      <c r="C69" s="28"/>
      <c r="D69" s="28"/>
      <c r="E69" s="28"/>
      <c r="F69" s="28"/>
    </row>
    <row r="70" spans="1:6" ht="12.75">
      <c r="A70" s="30"/>
      <c r="B70" s="30"/>
      <c r="C70" s="28"/>
      <c r="D70" s="28"/>
      <c r="E70" s="28"/>
      <c r="F70" s="28"/>
    </row>
    <row r="71" spans="1:6" ht="12.75">
      <c r="A71" s="30"/>
      <c r="B71" s="30"/>
      <c r="C71" s="28"/>
      <c r="D71" s="28"/>
      <c r="E71" s="28"/>
      <c r="F71" s="28"/>
    </row>
    <row r="72" spans="1:6" ht="12.75">
      <c r="A72" s="30"/>
      <c r="B72" s="30"/>
      <c r="C72" s="28"/>
      <c r="D72" s="28"/>
      <c r="E72" s="28"/>
      <c r="F72" s="28"/>
    </row>
    <row r="73" spans="1:6" ht="12.75">
      <c r="A73" s="30"/>
      <c r="B73" s="30"/>
      <c r="C73" s="28"/>
      <c r="D73" s="28"/>
      <c r="E73" s="28"/>
      <c r="F73" s="28"/>
    </row>
  </sheetData>
  <sheetProtection/>
  <mergeCells count="1">
    <mergeCell ref="A2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SheetLayoutView="100" workbookViewId="0" topLeftCell="A1">
      <selection activeCell="G7" sqref="G7"/>
    </sheetView>
  </sheetViews>
  <sheetFormatPr defaultColWidth="9.00390625" defaultRowHeight="12.75"/>
  <cols>
    <col min="1" max="1" width="48.75390625" style="11" customWidth="1"/>
    <col min="2" max="2" width="13.125" style="11" customWidth="1"/>
    <col min="3" max="3" width="11.625" style="11" customWidth="1"/>
    <col min="4" max="4" width="10.625" style="11" customWidth="1"/>
    <col min="5" max="5" width="3.25390625" style="11" customWidth="1"/>
    <col min="6" max="16384" width="9.125" style="11" customWidth="1"/>
  </cols>
  <sheetData>
    <row r="1" ht="15.75">
      <c r="A1" s="196" t="s">
        <v>299</v>
      </c>
    </row>
    <row r="2" ht="15.75">
      <c r="A2" s="196" t="s">
        <v>286</v>
      </c>
    </row>
    <row r="3" spans="1:4" ht="15.75">
      <c r="A3" s="205" t="s">
        <v>34</v>
      </c>
      <c r="B3" s="205"/>
      <c r="C3" s="205"/>
      <c r="D3" s="205"/>
    </row>
    <row r="4" spans="1:4" ht="15.75">
      <c r="A4" s="205" t="s">
        <v>298</v>
      </c>
      <c r="B4" s="205"/>
      <c r="C4" s="205"/>
      <c r="D4" s="205"/>
    </row>
    <row r="5" spans="1:4" s="27" customFormat="1" ht="21" customHeight="1" thickBot="1">
      <c r="A5" s="204" t="s">
        <v>35</v>
      </c>
      <c r="B5" s="204"/>
      <c r="C5" s="204"/>
      <c r="D5" s="204"/>
    </row>
    <row r="6" spans="1:4" s="27" customFormat="1" ht="42" customHeight="1" thickBot="1">
      <c r="A6" s="138" t="s">
        <v>36</v>
      </c>
      <c r="B6" s="136" t="s">
        <v>218</v>
      </c>
      <c r="C6" s="174" t="s">
        <v>262</v>
      </c>
      <c r="D6" s="174" t="s">
        <v>268</v>
      </c>
    </row>
    <row r="7" spans="1:5" s="27" customFormat="1" ht="12.75">
      <c r="A7" s="119" t="s">
        <v>234</v>
      </c>
      <c r="B7" s="137">
        <f>B8+B9</f>
        <v>928546</v>
      </c>
      <c r="C7" s="137">
        <f>C8+C9</f>
        <v>965477</v>
      </c>
      <c r="D7" s="137">
        <f aca="true" t="shared" si="0" ref="D7:D26">C7-B7</f>
        <v>36931</v>
      </c>
      <c r="E7" s="37"/>
    </row>
    <row r="8" spans="1:4" s="27" customFormat="1" ht="12.75">
      <c r="A8" s="157" t="s">
        <v>232</v>
      </c>
      <c r="B8" s="149">
        <v>792094</v>
      </c>
      <c r="C8" s="149">
        <v>881424</v>
      </c>
      <c r="D8" s="149">
        <f t="shared" si="0"/>
        <v>89330</v>
      </c>
    </row>
    <row r="9" spans="1:4" s="27" customFormat="1" ht="12.75">
      <c r="A9" s="157" t="s">
        <v>292</v>
      </c>
      <c r="B9" s="149">
        <f>928546-792094</f>
        <v>136452</v>
      </c>
      <c r="C9" s="149">
        <f>965477-881424</f>
        <v>84053</v>
      </c>
      <c r="D9" s="149">
        <f t="shared" si="0"/>
        <v>-52399</v>
      </c>
    </row>
    <row r="10" spans="1:4" s="27" customFormat="1" ht="12.75">
      <c r="A10" s="139" t="s">
        <v>167</v>
      </c>
      <c r="B10" s="39">
        <v>394911</v>
      </c>
      <c r="C10" s="39">
        <v>382346</v>
      </c>
      <c r="D10" s="39">
        <f t="shared" si="0"/>
        <v>-12565</v>
      </c>
    </row>
    <row r="11" spans="1:4" s="27" customFormat="1" ht="12.75">
      <c r="A11" s="139" t="s">
        <v>168</v>
      </c>
      <c r="B11" s="39">
        <v>143270</v>
      </c>
      <c r="C11" s="39">
        <v>153039</v>
      </c>
      <c r="D11" s="39">
        <f t="shared" si="0"/>
        <v>9769</v>
      </c>
    </row>
    <row r="12" spans="1:4" s="27" customFormat="1" ht="13.5" thickBot="1">
      <c r="A12" s="142" t="s">
        <v>170</v>
      </c>
      <c r="B12" s="141">
        <v>11359</v>
      </c>
      <c r="C12" s="141">
        <v>11359</v>
      </c>
      <c r="D12" s="141">
        <f t="shared" si="0"/>
        <v>0</v>
      </c>
    </row>
    <row r="13" spans="1:4" s="29" customFormat="1" ht="13.5" thickBot="1">
      <c r="A13" s="143" t="s">
        <v>222</v>
      </c>
      <c r="B13" s="41">
        <f>B7+B10+B11+B12</f>
        <v>1478086</v>
      </c>
      <c r="C13" s="41">
        <f>C7+C10+C11+C12</f>
        <v>1512221</v>
      </c>
      <c r="D13" s="41">
        <f t="shared" si="0"/>
        <v>34135</v>
      </c>
    </row>
    <row r="14" spans="1:4" s="27" customFormat="1" ht="12.75">
      <c r="A14" s="119" t="s">
        <v>203</v>
      </c>
      <c r="B14" s="38">
        <v>17211</v>
      </c>
      <c r="C14" s="38">
        <v>55692</v>
      </c>
      <c r="D14" s="38">
        <f t="shared" si="0"/>
        <v>38481</v>
      </c>
    </row>
    <row r="15" spans="1:4" s="27" customFormat="1" ht="12.75">
      <c r="A15" s="148" t="s">
        <v>219</v>
      </c>
      <c r="B15" s="153"/>
      <c r="C15" s="153"/>
      <c r="D15" s="153">
        <f t="shared" si="0"/>
        <v>0</v>
      </c>
    </row>
    <row r="16" spans="1:4" s="27" customFormat="1" ht="12.75">
      <c r="A16" s="139" t="s">
        <v>169</v>
      </c>
      <c r="B16" s="39">
        <v>81349</v>
      </c>
      <c r="C16" s="39">
        <v>81349</v>
      </c>
      <c r="D16" s="39">
        <f t="shared" si="0"/>
        <v>0</v>
      </c>
    </row>
    <row r="17" spans="1:4" s="27" customFormat="1" ht="12.75">
      <c r="A17" s="139" t="s">
        <v>103</v>
      </c>
      <c r="B17" s="39">
        <f>SUM(B18:B19)</f>
        <v>65600</v>
      </c>
      <c r="C17" s="39">
        <f>SUM(C18:C19)</f>
        <v>17350</v>
      </c>
      <c r="D17" s="39">
        <f t="shared" si="0"/>
        <v>-48250</v>
      </c>
    </row>
    <row r="18" spans="1:4" s="27" customFormat="1" ht="25.5">
      <c r="A18" s="156" t="s">
        <v>220</v>
      </c>
      <c r="B18" s="149">
        <v>17350</v>
      </c>
      <c r="C18" s="149">
        <v>17350</v>
      </c>
      <c r="D18" s="149">
        <f t="shared" si="0"/>
        <v>0</v>
      </c>
    </row>
    <row r="19" spans="1:4" s="27" customFormat="1" ht="13.5" thickBot="1">
      <c r="A19" s="156" t="s">
        <v>233</v>
      </c>
      <c r="B19" s="152">
        <v>48250</v>
      </c>
      <c r="C19" s="152"/>
      <c r="D19" s="152">
        <f t="shared" si="0"/>
        <v>-48250</v>
      </c>
    </row>
    <row r="20" spans="1:4" s="29" customFormat="1" ht="14.25" customHeight="1" thickBot="1">
      <c r="A20" s="143" t="s">
        <v>223</v>
      </c>
      <c r="B20" s="41">
        <f>B17+B16+B14</f>
        <v>164160</v>
      </c>
      <c r="C20" s="41">
        <f>C17+C16+C14</f>
        <v>154391</v>
      </c>
      <c r="D20" s="41">
        <f t="shared" si="0"/>
        <v>-9769</v>
      </c>
    </row>
    <row r="21" spans="1:4" s="29" customFormat="1" ht="15.75" customHeight="1" thickBot="1">
      <c r="A21" s="145" t="s">
        <v>221</v>
      </c>
      <c r="B21" s="144">
        <f>B20+B13</f>
        <v>1642246</v>
      </c>
      <c r="C21" s="144">
        <f>C20+C13</f>
        <v>1666612</v>
      </c>
      <c r="D21" s="144">
        <f t="shared" si="0"/>
        <v>24366</v>
      </c>
    </row>
    <row r="22" spans="1:4" s="27" customFormat="1" ht="12.75">
      <c r="A22" s="146" t="s">
        <v>163</v>
      </c>
      <c r="B22" s="137">
        <f>SUM(B23:B24)</f>
        <v>250411</v>
      </c>
      <c r="C22" s="137">
        <f>SUM(C23:C24)</f>
        <v>320487</v>
      </c>
      <c r="D22" s="137">
        <f t="shared" si="0"/>
        <v>70076</v>
      </c>
    </row>
    <row r="23" spans="1:4" s="27" customFormat="1" ht="12.75">
      <c r="A23" s="148" t="s">
        <v>224</v>
      </c>
      <c r="B23" s="149">
        <f>250411-'1. melléklet'!B24</f>
        <v>98027</v>
      </c>
      <c r="C23" s="149">
        <f>307512-156697+951+387+10173+3197+862+200+54+1153+311</f>
        <v>168103</v>
      </c>
      <c r="D23" s="149">
        <f t="shared" si="0"/>
        <v>70076</v>
      </c>
    </row>
    <row r="24" spans="1:4" s="27" customFormat="1" ht="13.5" thickBot="1">
      <c r="A24" s="151" t="s">
        <v>225</v>
      </c>
      <c r="B24" s="150">
        <v>152384</v>
      </c>
      <c r="C24" s="150">
        <f>152384</f>
        <v>152384</v>
      </c>
      <c r="D24" s="150">
        <f t="shared" si="0"/>
        <v>0</v>
      </c>
    </row>
    <row r="25" spans="1:4" s="29" customFormat="1" ht="15.75" customHeight="1" thickBot="1">
      <c r="A25" s="143" t="s">
        <v>226</v>
      </c>
      <c r="B25" s="41">
        <f>SUM(B22)</f>
        <v>250411</v>
      </c>
      <c r="C25" s="41">
        <f>SUM(C22)</f>
        <v>320487</v>
      </c>
      <c r="D25" s="41">
        <f t="shared" si="0"/>
        <v>70076</v>
      </c>
    </row>
    <row r="26" spans="1:4" s="29" customFormat="1" ht="15.75" customHeight="1" thickBot="1">
      <c r="A26" s="140" t="s">
        <v>37</v>
      </c>
      <c r="B26" s="42">
        <f>B13+B20+B22</f>
        <v>1892657</v>
      </c>
      <c r="C26" s="42">
        <f>C13+C20+C22</f>
        <v>1987099</v>
      </c>
      <c r="D26" s="42">
        <f t="shared" si="0"/>
        <v>94442</v>
      </c>
    </row>
    <row r="27" s="27" customFormat="1" ht="12.75"/>
    <row r="28" spans="1:4" s="27" customFormat="1" ht="13.5" thickBot="1">
      <c r="A28" s="204" t="s">
        <v>38</v>
      </c>
      <c r="B28" s="204"/>
      <c r="C28" s="204"/>
      <c r="D28" s="204"/>
    </row>
    <row r="29" spans="1:4" s="27" customFormat="1" ht="39.75" customHeight="1" thickBot="1">
      <c r="A29" s="135" t="s">
        <v>36</v>
      </c>
      <c r="B29" s="174" t="s">
        <v>218</v>
      </c>
      <c r="C29" s="174" t="s">
        <v>262</v>
      </c>
      <c r="D29" s="174" t="s">
        <v>268</v>
      </c>
    </row>
    <row r="30" spans="1:4" s="27" customFormat="1" ht="12.75">
      <c r="A30" s="119" t="s">
        <v>39</v>
      </c>
      <c r="B30" s="38">
        <v>283334</v>
      </c>
      <c r="C30" s="38">
        <v>292196</v>
      </c>
      <c r="D30" s="38">
        <f aca="true" t="shared" si="1" ref="D30:D49">C30-B30</f>
        <v>8862</v>
      </c>
    </row>
    <row r="31" spans="1:4" s="27" customFormat="1" ht="12.75">
      <c r="A31" s="139" t="s">
        <v>40</v>
      </c>
      <c r="B31" s="39">
        <v>81535</v>
      </c>
      <c r="C31" s="39">
        <v>83516</v>
      </c>
      <c r="D31" s="39">
        <f t="shared" si="1"/>
        <v>1981</v>
      </c>
    </row>
    <row r="32" spans="1:4" s="27" customFormat="1" ht="12.75">
      <c r="A32" s="139" t="s">
        <v>18</v>
      </c>
      <c r="B32" s="39">
        <v>563395</v>
      </c>
      <c r="C32" s="39">
        <v>588967</v>
      </c>
      <c r="D32" s="39">
        <f t="shared" si="1"/>
        <v>25572</v>
      </c>
    </row>
    <row r="33" spans="1:4" s="27" customFormat="1" ht="12.75">
      <c r="A33" s="139" t="s">
        <v>41</v>
      </c>
      <c r="B33" s="39">
        <v>39605</v>
      </c>
      <c r="C33" s="39">
        <v>40400</v>
      </c>
      <c r="D33" s="39">
        <f t="shared" si="1"/>
        <v>795</v>
      </c>
    </row>
    <row r="34" spans="1:5" s="27" customFormat="1" ht="12.75">
      <c r="A34" s="139" t="s">
        <v>235</v>
      </c>
      <c r="B34" s="39">
        <f>SUM(B35:B38)</f>
        <v>608244</v>
      </c>
      <c r="C34" s="39">
        <f>SUM(C35:C38)</f>
        <v>629316</v>
      </c>
      <c r="D34" s="39">
        <f t="shared" si="1"/>
        <v>21072</v>
      </c>
      <c r="E34" s="49"/>
    </row>
    <row r="35" spans="1:5" s="27" customFormat="1" ht="12.75">
      <c r="A35" s="148" t="s">
        <v>227</v>
      </c>
      <c r="B35" s="149">
        <v>113976</v>
      </c>
      <c r="C35" s="149">
        <f>113976+8091</f>
        <v>122067</v>
      </c>
      <c r="D35" s="149">
        <f t="shared" si="1"/>
        <v>8091</v>
      </c>
      <c r="E35" s="49"/>
    </row>
    <row r="36" spans="1:5" s="27" customFormat="1" ht="12.75">
      <c r="A36" s="148" t="s">
        <v>293</v>
      </c>
      <c r="B36" s="149">
        <v>432376</v>
      </c>
      <c r="C36" s="149">
        <f>540+1161+436310+1800</f>
        <v>439811</v>
      </c>
      <c r="D36" s="149">
        <f t="shared" si="1"/>
        <v>7435</v>
      </c>
      <c r="E36" s="49"/>
    </row>
    <row r="37" spans="1:4" s="27" customFormat="1" ht="12.75">
      <c r="A37" s="148" t="s">
        <v>294</v>
      </c>
      <c r="B37" s="149">
        <v>29592</v>
      </c>
      <c r="C37" s="149">
        <f>29592</f>
        <v>29592</v>
      </c>
      <c r="D37" s="149">
        <f t="shared" si="1"/>
        <v>0</v>
      </c>
    </row>
    <row r="38" spans="1:4" s="27" customFormat="1" ht="13.5" thickBot="1">
      <c r="A38" s="148" t="s">
        <v>236</v>
      </c>
      <c r="B38" s="40">
        <v>32300</v>
      </c>
      <c r="C38" s="40">
        <v>37846</v>
      </c>
      <c r="D38" s="40">
        <f t="shared" si="1"/>
        <v>5546</v>
      </c>
    </row>
    <row r="39" spans="1:5" s="27" customFormat="1" ht="13.5" thickBot="1">
      <c r="A39" s="143" t="s">
        <v>228</v>
      </c>
      <c r="B39" s="41">
        <f>B30+B31+B32+B33+B34</f>
        <v>1576113</v>
      </c>
      <c r="C39" s="41">
        <f>C30+C31+C32+C33+C34</f>
        <v>1634395</v>
      </c>
      <c r="D39" s="41">
        <f t="shared" si="1"/>
        <v>58282</v>
      </c>
      <c r="E39" s="49"/>
    </row>
    <row r="40" spans="1:4" s="27" customFormat="1" ht="12.75">
      <c r="A40" s="119" t="s">
        <v>102</v>
      </c>
      <c r="B40" s="39">
        <v>247613</v>
      </c>
      <c r="C40" s="39">
        <v>141119</v>
      </c>
      <c r="D40" s="39">
        <f t="shared" si="1"/>
        <v>-106494</v>
      </c>
    </row>
    <row r="41" spans="1:4" s="27" customFormat="1" ht="12.75">
      <c r="A41" s="147" t="s">
        <v>26</v>
      </c>
      <c r="B41" s="38">
        <v>54047</v>
      </c>
      <c r="C41" s="38">
        <v>171562</v>
      </c>
      <c r="D41" s="38">
        <f t="shared" si="1"/>
        <v>117515</v>
      </c>
    </row>
    <row r="42" spans="1:4" s="27" customFormat="1" ht="12.75">
      <c r="A42" s="139" t="s">
        <v>209</v>
      </c>
      <c r="B42" s="39">
        <f>SUM(B43:B45)</f>
        <v>14884</v>
      </c>
      <c r="C42" s="39">
        <f>SUM(C43:C45)</f>
        <v>14884</v>
      </c>
      <c r="D42" s="39">
        <f t="shared" si="1"/>
        <v>0</v>
      </c>
    </row>
    <row r="43" spans="1:4" s="27" customFormat="1" ht="25.5">
      <c r="A43" s="197" t="s">
        <v>295</v>
      </c>
      <c r="B43" s="149">
        <v>2450</v>
      </c>
      <c r="C43" s="149">
        <v>2450</v>
      </c>
      <c r="D43" s="149">
        <f t="shared" si="1"/>
        <v>0</v>
      </c>
    </row>
    <row r="44" spans="1:4" s="27" customFormat="1" ht="12.75">
      <c r="A44" s="148" t="s">
        <v>296</v>
      </c>
      <c r="B44" s="149">
        <v>11334</v>
      </c>
      <c r="C44" s="149">
        <v>11334</v>
      </c>
      <c r="D44" s="149">
        <f t="shared" si="1"/>
        <v>0</v>
      </c>
    </row>
    <row r="45" spans="1:4" s="27" customFormat="1" ht="13.5" thickBot="1">
      <c r="A45" s="148" t="s">
        <v>297</v>
      </c>
      <c r="B45" s="150">
        <v>1100</v>
      </c>
      <c r="C45" s="150">
        <v>1100</v>
      </c>
      <c r="D45" s="150">
        <f t="shared" si="1"/>
        <v>0</v>
      </c>
    </row>
    <row r="46" spans="1:4" s="27" customFormat="1" ht="13.5" thickBot="1">
      <c r="A46" s="143" t="s">
        <v>229</v>
      </c>
      <c r="B46" s="41">
        <f>B40+B41+B42</f>
        <v>316544</v>
      </c>
      <c r="C46" s="41">
        <f>C40+C41+C42</f>
        <v>327565</v>
      </c>
      <c r="D46" s="41">
        <f t="shared" si="1"/>
        <v>11021</v>
      </c>
    </row>
    <row r="47" spans="1:4" s="29" customFormat="1" ht="15.75" customHeight="1" thickBot="1">
      <c r="A47" s="145" t="s">
        <v>230</v>
      </c>
      <c r="B47" s="144">
        <f>B46+B39</f>
        <v>1892657</v>
      </c>
      <c r="C47" s="144">
        <f>C46+C39</f>
        <v>1961960</v>
      </c>
      <c r="D47" s="144">
        <f t="shared" si="1"/>
        <v>69303</v>
      </c>
    </row>
    <row r="48" spans="1:4" s="27" customFormat="1" ht="15.75" customHeight="1" thickBot="1">
      <c r="A48" s="155" t="s">
        <v>231</v>
      </c>
      <c r="B48" s="154">
        <v>0</v>
      </c>
      <c r="C48" s="154">
        <v>25139</v>
      </c>
      <c r="D48" s="154">
        <f t="shared" si="1"/>
        <v>25139</v>
      </c>
    </row>
    <row r="49" spans="1:5" s="29" customFormat="1" ht="15.75" customHeight="1" thickBot="1">
      <c r="A49" s="140" t="s">
        <v>42</v>
      </c>
      <c r="B49" s="42">
        <f>B48+B47</f>
        <v>1892657</v>
      </c>
      <c r="C49" s="42">
        <f>C48+C47</f>
        <v>1987099</v>
      </c>
      <c r="D49" s="42">
        <f t="shared" si="1"/>
        <v>94442</v>
      </c>
      <c r="E49" s="29" t="s">
        <v>265</v>
      </c>
    </row>
    <row r="52" spans="1:4" ht="15.75">
      <c r="A52" s="12"/>
      <c r="B52" s="12"/>
      <c r="C52" s="12"/>
      <c r="D52" s="12"/>
    </row>
  </sheetData>
  <sheetProtection/>
  <mergeCells count="4">
    <mergeCell ref="A5:D5"/>
    <mergeCell ref="A28:D28"/>
    <mergeCell ref="A3:D3"/>
    <mergeCell ref="A4:D4"/>
  </mergeCells>
  <printOptions/>
  <pageMargins left="0.75" right="0.75" top="0.66" bottom="0.7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zoomScaleSheetLayoutView="100" workbookViewId="0" topLeftCell="A1">
      <selection activeCell="G7" sqref="G7"/>
    </sheetView>
  </sheetViews>
  <sheetFormatPr defaultColWidth="9.00390625" defaultRowHeight="12.75"/>
  <cols>
    <col min="1" max="1" width="2.875" style="88" customWidth="1"/>
    <col min="2" max="2" width="85.625" style="88" customWidth="1"/>
    <col min="3" max="3" width="14.75390625" style="87" customWidth="1"/>
    <col min="4" max="5" width="14.25390625" style="87" customWidth="1"/>
    <col min="6" max="6" width="10.875" style="88" customWidth="1"/>
    <col min="7" max="16384" width="9.125" style="88" customWidth="1"/>
  </cols>
  <sheetData>
    <row r="1" spans="1:5" s="85" customFormat="1" ht="15" customHeight="1">
      <c r="A1" s="86"/>
      <c r="B1" s="86" t="s">
        <v>300</v>
      </c>
      <c r="C1" s="84"/>
      <c r="D1" s="84"/>
      <c r="E1" s="84"/>
    </row>
    <row r="2" spans="1:5" s="85" customFormat="1" ht="15" customHeight="1">
      <c r="A2" s="86"/>
      <c r="B2" s="86" t="s">
        <v>287</v>
      </c>
      <c r="C2" s="84"/>
      <c r="D2" s="84"/>
      <c r="E2" s="84"/>
    </row>
    <row r="3" spans="1:5" s="85" customFormat="1" ht="15" customHeight="1">
      <c r="A3" s="86"/>
      <c r="B3" s="86"/>
      <c r="C3" s="84"/>
      <c r="D3" s="84"/>
      <c r="E3" s="84"/>
    </row>
    <row r="4" spans="1:5" ht="12.75">
      <c r="A4" s="206" t="s">
        <v>161</v>
      </c>
      <c r="B4" s="206"/>
      <c r="C4" s="206"/>
      <c r="D4" s="173"/>
      <c r="E4" s="173"/>
    </row>
    <row r="5" spans="2:5" s="89" customFormat="1" ht="34.5">
      <c r="B5" s="89" t="s">
        <v>0</v>
      </c>
      <c r="C5" s="90" t="s">
        <v>264</v>
      </c>
      <c r="D5" s="90" t="s">
        <v>263</v>
      </c>
      <c r="E5" s="90" t="s">
        <v>267</v>
      </c>
    </row>
    <row r="6" spans="1:6" s="92" customFormat="1" ht="12.75">
      <c r="A6" s="112" t="s">
        <v>187</v>
      </c>
      <c r="B6" s="112"/>
      <c r="C6" s="112"/>
      <c r="D6" s="112"/>
      <c r="E6" s="112"/>
      <c r="F6" s="112"/>
    </row>
    <row r="7" spans="2:5" s="94" customFormat="1" ht="12.75" customHeight="1">
      <c r="B7" s="95" t="s">
        <v>63</v>
      </c>
      <c r="C7" s="96">
        <f>C8+C9+C14+C17+C15+C16+C18</f>
        <v>272043541</v>
      </c>
      <c r="D7" s="96">
        <f>D8+D9+D14+D17+D15+D16+D18</f>
        <v>272991850</v>
      </c>
      <c r="E7" s="96">
        <f aca="true" t="shared" si="0" ref="E7:E36">D7-C7</f>
        <v>948309</v>
      </c>
    </row>
    <row r="8" spans="2:5" ht="12.75" customHeight="1">
      <c r="B8" s="97" t="s">
        <v>53</v>
      </c>
      <c r="C8" s="87">
        <v>161032800</v>
      </c>
      <c r="D8" s="87">
        <v>161032800</v>
      </c>
      <c r="E8" s="87">
        <f t="shared" si="0"/>
        <v>0</v>
      </c>
    </row>
    <row r="9" spans="2:5" ht="12.75" customHeight="1">
      <c r="B9" s="98" t="s">
        <v>54</v>
      </c>
      <c r="C9" s="87">
        <f>C10+C11+C12+C13</f>
        <v>83003600</v>
      </c>
      <c r="D9" s="87">
        <f>D10+D11+D12+D13</f>
        <v>83003600</v>
      </c>
      <c r="E9" s="87">
        <f t="shared" si="0"/>
        <v>0</v>
      </c>
    </row>
    <row r="10" spans="2:5" ht="12.75" customHeight="1">
      <c r="B10" s="99" t="s">
        <v>100</v>
      </c>
      <c r="C10" s="87">
        <v>13488588</v>
      </c>
      <c r="D10" s="87">
        <v>13488588</v>
      </c>
      <c r="E10" s="87">
        <f t="shared" si="0"/>
        <v>0</v>
      </c>
    </row>
    <row r="11" spans="2:5" ht="12.75" customHeight="1">
      <c r="B11" s="100" t="s">
        <v>99</v>
      </c>
      <c r="C11" s="87">
        <v>45200000</v>
      </c>
      <c r="D11" s="87">
        <v>45200000</v>
      </c>
      <c r="E11" s="87">
        <f t="shared" si="0"/>
        <v>0</v>
      </c>
    </row>
    <row r="12" spans="2:5" ht="12.75" customHeight="1">
      <c r="B12" s="100" t="s">
        <v>98</v>
      </c>
      <c r="C12" s="87">
        <v>3588312</v>
      </c>
      <c r="D12" s="87">
        <v>3588312</v>
      </c>
      <c r="E12" s="87">
        <f t="shared" si="0"/>
        <v>0</v>
      </c>
    </row>
    <row r="13" spans="2:5" ht="12.75" customHeight="1">
      <c r="B13" s="100" t="s">
        <v>189</v>
      </c>
      <c r="C13" s="87">
        <v>20726700</v>
      </c>
      <c r="D13" s="87">
        <v>20726700</v>
      </c>
      <c r="E13" s="87">
        <f t="shared" si="0"/>
        <v>0</v>
      </c>
    </row>
    <row r="14" spans="2:5" ht="12.75" customHeight="1">
      <c r="B14" s="97" t="s">
        <v>190</v>
      </c>
      <c r="C14" s="87">
        <v>11785641</v>
      </c>
      <c r="D14" s="87">
        <v>11785641</v>
      </c>
      <c r="E14" s="87">
        <f t="shared" si="0"/>
        <v>0</v>
      </c>
    </row>
    <row r="15" spans="2:5" ht="12.75" customHeight="1">
      <c r="B15" s="97" t="s">
        <v>191</v>
      </c>
      <c r="C15" s="87">
        <v>328950</v>
      </c>
      <c r="D15" s="87">
        <v>328950</v>
      </c>
      <c r="E15" s="87">
        <f t="shared" si="0"/>
        <v>0</v>
      </c>
    </row>
    <row r="16" spans="2:5" ht="12.75" customHeight="1">
      <c r="B16" s="97" t="s">
        <v>192</v>
      </c>
      <c r="C16" s="87">
        <v>15842550</v>
      </c>
      <c r="D16" s="87">
        <v>15842550</v>
      </c>
      <c r="E16" s="87">
        <f t="shared" si="0"/>
        <v>0</v>
      </c>
    </row>
    <row r="17" spans="2:5" ht="12.75" customHeight="1">
      <c r="B17" s="97" t="s">
        <v>93</v>
      </c>
      <c r="C17" s="87">
        <v>50000</v>
      </c>
      <c r="D17" s="87">
        <v>50000</v>
      </c>
      <c r="E17" s="87">
        <f t="shared" si="0"/>
        <v>0</v>
      </c>
    </row>
    <row r="18" spans="2:5" ht="12.75" customHeight="1">
      <c r="B18" s="97" t="s">
        <v>269</v>
      </c>
      <c r="D18" s="87">
        <v>948309</v>
      </c>
      <c r="E18" s="87">
        <f t="shared" si="0"/>
        <v>948309</v>
      </c>
    </row>
    <row r="19" spans="2:5" ht="12.75" customHeight="1">
      <c r="B19" s="101" t="s">
        <v>64</v>
      </c>
      <c r="C19" s="102">
        <f>C20+C21+C22+C23</f>
        <v>231169300</v>
      </c>
      <c r="D19" s="102">
        <f>D20+D21+D22+D23</f>
        <v>231169300</v>
      </c>
      <c r="E19" s="102">
        <f t="shared" si="0"/>
        <v>0</v>
      </c>
    </row>
    <row r="20" spans="2:5" ht="12.75" customHeight="1">
      <c r="B20" s="103" t="s">
        <v>193</v>
      </c>
      <c r="C20" s="87">
        <f>97710400+48578400+1228500+30000000+15000000</f>
        <v>192517300</v>
      </c>
      <c r="D20" s="87">
        <f>97710400+48578400+1228500+30000000+15000000</f>
        <v>192517300</v>
      </c>
      <c r="E20" s="87">
        <f t="shared" si="0"/>
        <v>0</v>
      </c>
    </row>
    <row r="21" spans="2:5" ht="12.75" customHeight="1">
      <c r="B21" s="104" t="s">
        <v>91</v>
      </c>
      <c r="C21" s="87">
        <f>18386667+9193333</f>
        <v>27580000</v>
      </c>
      <c r="D21" s="87">
        <f>18386667+9193333</f>
        <v>27580000</v>
      </c>
      <c r="E21" s="87">
        <f t="shared" si="0"/>
        <v>0</v>
      </c>
    </row>
    <row r="22" spans="2:5" ht="12.75" customHeight="1">
      <c r="B22" s="97" t="s">
        <v>194</v>
      </c>
      <c r="C22" s="87">
        <v>8960000</v>
      </c>
      <c r="D22" s="87">
        <v>8960000</v>
      </c>
      <c r="E22" s="87">
        <f t="shared" si="0"/>
        <v>0</v>
      </c>
    </row>
    <row r="23" spans="2:5" ht="12.75" customHeight="1">
      <c r="B23" s="97" t="s">
        <v>195</v>
      </c>
      <c r="C23" s="87">
        <v>2112000</v>
      </c>
      <c r="D23" s="87">
        <v>2112000</v>
      </c>
      <c r="E23" s="87">
        <f t="shared" si="0"/>
        <v>0</v>
      </c>
    </row>
    <row r="24" spans="2:5" ht="12.75" customHeight="1">
      <c r="B24" s="101" t="s">
        <v>65</v>
      </c>
      <c r="C24" s="102">
        <f>C25+C26+C27+C28+C29+C30+C31</f>
        <v>248031424</v>
      </c>
      <c r="D24" s="102">
        <f>D25+D26+D27+D28+D29+D30+D31</f>
        <v>251884728</v>
      </c>
      <c r="E24" s="102">
        <f t="shared" si="0"/>
        <v>3853304</v>
      </c>
    </row>
    <row r="25" spans="2:5" ht="12.75" customHeight="1">
      <c r="B25" s="97" t="s">
        <v>196</v>
      </c>
      <c r="C25" s="87">
        <v>9878000</v>
      </c>
      <c r="D25" s="87">
        <f>9878000+498000+297270</f>
        <v>10673270</v>
      </c>
      <c r="E25" s="87">
        <f t="shared" si="0"/>
        <v>795270</v>
      </c>
    </row>
    <row r="26" spans="2:5" ht="12.75" customHeight="1">
      <c r="B26" s="97" t="s">
        <v>197</v>
      </c>
      <c r="C26" s="87">
        <v>38632170</v>
      </c>
      <c r="D26" s="87">
        <v>38632170</v>
      </c>
      <c r="E26" s="87">
        <f t="shared" si="0"/>
        <v>0</v>
      </c>
    </row>
    <row r="27" spans="2:5" ht="12.75" customHeight="1">
      <c r="B27" s="97" t="s">
        <v>198</v>
      </c>
      <c r="C27" s="87">
        <f>9387900+100315797-C28</f>
        <v>84350377</v>
      </c>
      <c r="D27" s="87">
        <f>9387900+100315797-D28</f>
        <v>84350377</v>
      </c>
      <c r="E27" s="87">
        <f t="shared" si="0"/>
        <v>0</v>
      </c>
    </row>
    <row r="28" spans="2:5" ht="26.25" customHeight="1">
      <c r="B28" s="97" t="s">
        <v>199</v>
      </c>
      <c r="C28" s="87">
        <f>20848320+4505000</f>
        <v>25353320</v>
      </c>
      <c r="D28" s="87">
        <f>20848320+4505000</f>
        <v>25353320</v>
      </c>
      <c r="E28" s="87">
        <f t="shared" si="0"/>
        <v>0</v>
      </c>
    </row>
    <row r="29" spans="2:5" ht="12.75" customHeight="1">
      <c r="B29" s="97" t="s">
        <v>95</v>
      </c>
      <c r="C29" s="87">
        <v>53431680</v>
      </c>
      <c r="D29" s="87">
        <v>53431680</v>
      </c>
      <c r="E29" s="87">
        <f t="shared" si="0"/>
        <v>0</v>
      </c>
    </row>
    <row r="30" spans="2:5" ht="12.75" customHeight="1">
      <c r="B30" s="97" t="s">
        <v>94</v>
      </c>
      <c r="C30" s="87">
        <v>36385877</v>
      </c>
      <c r="D30" s="87">
        <v>36385877</v>
      </c>
      <c r="E30" s="87">
        <f t="shared" si="0"/>
        <v>0</v>
      </c>
    </row>
    <row r="31" spans="2:5" ht="12.75" customHeight="1">
      <c r="B31" s="97" t="s">
        <v>270</v>
      </c>
      <c r="D31" s="87">
        <f>1490989+1567045</f>
        <v>3058034</v>
      </c>
      <c r="E31" s="87">
        <f t="shared" si="0"/>
        <v>3058034</v>
      </c>
    </row>
    <row r="32" spans="2:5" ht="12.75" customHeight="1">
      <c r="B32" s="101" t="s">
        <v>96</v>
      </c>
      <c r="C32" s="102">
        <f>SUM(C33:C35)</f>
        <v>40849400</v>
      </c>
      <c r="D32" s="102">
        <f>SUM(D33:D35)</f>
        <v>41944102</v>
      </c>
      <c r="E32" s="102">
        <f t="shared" si="0"/>
        <v>1094702</v>
      </c>
    </row>
    <row r="33" spans="2:5" ht="12.75" customHeight="1">
      <c r="B33" s="97" t="s">
        <v>101</v>
      </c>
      <c r="C33" s="87">
        <f>6560700*2</f>
        <v>13121400</v>
      </c>
      <c r="D33" s="87">
        <f>6560700*2</f>
        <v>13121400</v>
      </c>
      <c r="E33" s="87">
        <f t="shared" si="0"/>
        <v>0</v>
      </c>
    </row>
    <row r="34" spans="2:5" ht="12.75" customHeight="1">
      <c r="B34" s="97" t="s">
        <v>66</v>
      </c>
      <c r="C34" s="87">
        <v>27728000</v>
      </c>
      <c r="D34" s="87">
        <v>27728000</v>
      </c>
      <c r="E34" s="87">
        <f t="shared" si="0"/>
        <v>0</v>
      </c>
    </row>
    <row r="35" spans="2:5" ht="12.75" customHeight="1">
      <c r="B35" s="97" t="s">
        <v>271</v>
      </c>
      <c r="D35" s="87">
        <v>1094702</v>
      </c>
      <c r="E35" s="87">
        <f t="shared" si="0"/>
        <v>1094702</v>
      </c>
    </row>
    <row r="36" spans="2:5" ht="20.25" customHeight="1">
      <c r="B36" s="101" t="s">
        <v>92</v>
      </c>
      <c r="C36" s="102">
        <v>-19291359</v>
      </c>
      <c r="D36" s="102">
        <v>-19291359</v>
      </c>
      <c r="E36" s="102">
        <f t="shared" si="0"/>
        <v>0</v>
      </c>
    </row>
    <row r="37" spans="2:5" s="110" customFormat="1" ht="16.5" customHeight="1">
      <c r="B37" s="113" t="s">
        <v>55</v>
      </c>
      <c r="C37" s="114">
        <f>C7+C19+C24+C32</f>
        <v>792093665</v>
      </c>
      <c r="D37" s="114">
        <f>D7+D19+D24+D32</f>
        <v>797989980</v>
      </c>
      <c r="E37" s="114">
        <f>E7+E19+E24+E32</f>
        <v>5896315</v>
      </c>
    </row>
    <row r="38" ht="17.25" customHeight="1">
      <c r="B38" s="105"/>
    </row>
    <row r="39" spans="1:6" ht="17.25" customHeight="1">
      <c r="A39" s="207" t="s">
        <v>272</v>
      </c>
      <c r="B39" s="207"/>
      <c r="C39" s="207"/>
      <c r="D39" s="207"/>
      <c r="E39" s="207"/>
      <c r="F39" s="207"/>
    </row>
    <row r="40" spans="1:6" ht="12.75">
      <c r="A40" s="124"/>
      <c r="B40" s="101" t="s">
        <v>274</v>
      </c>
      <c r="C40" s="102">
        <f>SUM(C41:C42)</f>
        <v>0</v>
      </c>
      <c r="D40" s="102">
        <f>SUM(D41:D42)</f>
        <v>6263421</v>
      </c>
      <c r="E40" s="102">
        <f>SUM(E41:E42)</f>
        <v>6263421</v>
      </c>
      <c r="F40" s="124"/>
    </row>
    <row r="41" spans="1:6" ht="12.75">
      <c r="A41" s="124"/>
      <c r="B41" s="97" t="s">
        <v>278</v>
      </c>
      <c r="C41" s="124"/>
      <c r="D41" s="195">
        <f>489068+950849+875284+900684+917448+917448</f>
        <v>5050781</v>
      </c>
      <c r="E41" s="87">
        <f>D41-C41</f>
        <v>5050781</v>
      </c>
      <c r="F41" s="124"/>
    </row>
    <row r="42" spans="1:6" ht="12.75">
      <c r="A42" s="124"/>
      <c r="B42" s="97" t="s">
        <v>279</v>
      </c>
      <c r="C42" s="124"/>
      <c r="D42" s="195">
        <v>1212640</v>
      </c>
      <c r="E42" s="87">
        <f>D42-C42</f>
        <v>1212640</v>
      </c>
      <c r="F42" s="124"/>
    </row>
    <row r="43" spans="1:6" ht="12.75">
      <c r="A43" s="124"/>
      <c r="B43" s="97"/>
      <c r="C43" s="124"/>
      <c r="D43" s="193"/>
      <c r="F43" s="124"/>
    </row>
    <row r="44" spans="1:6" ht="12.75">
      <c r="A44" s="124"/>
      <c r="B44" s="101" t="s">
        <v>275</v>
      </c>
      <c r="C44" s="102">
        <f>SUM(C45:C46)</f>
        <v>0</v>
      </c>
      <c r="D44" s="102">
        <f>SUM(D45:D46)</f>
        <v>0</v>
      </c>
      <c r="E44" s="102">
        <f>SUM(E45:E46)</f>
        <v>0</v>
      </c>
      <c r="F44" s="124"/>
    </row>
    <row r="45" spans="1:6" ht="12.75">
      <c r="A45" s="124"/>
      <c r="B45" s="192"/>
      <c r="E45" s="87">
        <f>D45-C45</f>
        <v>0</v>
      </c>
      <c r="F45" s="124"/>
    </row>
    <row r="46" spans="1:6" ht="12.75">
      <c r="A46" s="124"/>
      <c r="B46" s="124"/>
      <c r="C46" s="124"/>
      <c r="D46" s="124"/>
      <c r="E46" s="87">
        <f>D46-C46</f>
        <v>0</v>
      </c>
      <c r="F46" s="124"/>
    </row>
    <row r="47" spans="1:6" ht="12.75">
      <c r="A47" s="124"/>
      <c r="B47" s="101" t="s">
        <v>276</v>
      </c>
      <c r="C47" s="102">
        <f>SUM(C48:C49)</f>
        <v>77170335</v>
      </c>
      <c r="D47" s="102">
        <f>SUM(D48:D49)</f>
        <v>77170335</v>
      </c>
      <c r="E47" s="102">
        <f>SUM(E48:E49)</f>
        <v>0</v>
      </c>
      <c r="F47" s="124"/>
    </row>
    <row r="48" spans="1:6" ht="12.75">
      <c r="A48" s="194"/>
      <c r="B48" s="97" t="s">
        <v>277</v>
      </c>
      <c r="C48" s="195">
        <v>77170335</v>
      </c>
      <c r="D48" s="195">
        <v>77170335</v>
      </c>
      <c r="E48" s="87">
        <f>D48-C48</f>
        <v>0</v>
      </c>
      <c r="F48" s="194"/>
    </row>
    <row r="49" spans="1:6" ht="17.25" customHeight="1">
      <c r="A49" s="124"/>
      <c r="B49" s="124"/>
      <c r="C49" s="124"/>
      <c r="D49" s="124"/>
      <c r="E49" s="87">
        <f>D49-C49</f>
        <v>0</v>
      </c>
      <c r="F49" s="124"/>
    </row>
    <row r="50" spans="1:6" s="111" customFormat="1" ht="17.25" customHeight="1">
      <c r="A50" s="106"/>
      <c r="B50" s="115" t="s">
        <v>273</v>
      </c>
      <c r="C50" s="116">
        <f>C44+C40+C47</f>
        <v>77170335</v>
      </c>
      <c r="D50" s="116">
        <f>D44+D40+D47</f>
        <v>83433756</v>
      </c>
      <c r="E50" s="116">
        <f>E44+E40+E47</f>
        <v>6263421</v>
      </c>
      <c r="F50" s="106"/>
    </row>
    <row r="51" spans="1:6" ht="17.25" customHeight="1">
      <c r="A51" s="106"/>
      <c r="B51" s="106"/>
      <c r="C51" s="106"/>
      <c r="D51" s="106"/>
      <c r="E51" s="106"/>
      <c r="F51" s="106"/>
    </row>
    <row r="52" spans="1:6" s="91" customFormat="1" ht="18" customHeight="1">
      <c r="A52" s="117"/>
      <c r="B52" s="117" t="s">
        <v>188</v>
      </c>
      <c r="C52" s="118">
        <f>C50+C37</f>
        <v>869264000</v>
      </c>
      <c r="D52" s="118">
        <f>D50+D37</f>
        <v>881423736</v>
      </c>
      <c r="E52" s="118">
        <f>E50+E37</f>
        <v>12159736</v>
      </c>
      <c r="F52" s="91" t="s">
        <v>265</v>
      </c>
    </row>
    <row r="53" ht="12.75" customHeight="1"/>
    <row r="54" ht="12.75" customHeight="1">
      <c r="B54" s="107"/>
    </row>
    <row r="55" spans="2:5" s="92" customFormat="1" ht="12.75" customHeight="1">
      <c r="B55" s="108"/>
      <c r="C55" s="93"/>
      <c r="D55" s="93"/>
      <c r="E55" s="93"/>
    </row>
    <row r="56" spans="2:5" s="92" customFormat="1" ht="12.75" customHeight="1">
      <c r="B56" s="109"/>
      <c r="C56" s="93"/>
      <c r="D56" s="93"/>
      <c r="E56" s="93"/>
    </row>
    <row r="57" spans="2:5" s="92" customFormat="1" ht="12.75" customHeight="1">
      <c r="B57" s="108"/>
      <c r="C57" s="93"/>
      <c r="D57" s="93"/>
      <c r="E57" s="93"/>
    </row>
    <row r="58" ht="12.75" customHeight="1"/>
  </sheetData>
  <sheetProtection/>
  <mergeCells count="2">
    <mergeCell ref="A4:C4"/>
    <mergeCell ref="A39:F39"/>
  </mergeCells>
  <printOptions/>
  <pageMargins left="0.984251968503937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21"/>
  <sheetViews>
    <sheetView zoomScaleSheetLayoutView="100" workbookViewId="0" topLeftCell="A1">
      <pane xSplit="1" ySplit="5" topLeftCell="B6" activePane="bottomRight" state="frozen"/>
      <selection pane="topLeft" activeCell="G7" sqref="G7"/>
      <selection pane="topRight" activeCell="G7" sqref="G7"/>
      <selection pane="bottomLeft" activeCell="G7" sqref="G7"/>
      <selection pane="bottomRight" activeCell="G7" sqref="G7"/>
    </sheetView>
  </sheetViews>
  <sheetFormatPr defaultColWidth="9.00390625" defaultRowHeight="12.75"/>
  <cols>
    <col min="1" max="1" width="30.875" style="13" customWidth="1"/>
    <col min="2" max="2" width="9.625" style="13" customWidth="1"/>
    <col min="3" max="3" width="9.75390625" style="13" customWidth="1"/>
    <col min="4" max="4" width="8.00390625" style="13" bestFit="1" customWidth="1"/>
    <col min="5" max="5" width="8.75390625" style="13" bestFit="1" customWidth="1"/>
    <col min="6" max="6" width="9.625" style="13" customWidth="1"/>
    <col min="7" max="7" width="8.00390625" style="13" bestFit="1" customWidth="1"/>
    <col min="8" max="8" width="8.75390625" style="13" bestFit="1" customWidth="1"/>
    <col min="9" max="9" width="10.25390625" style="13" customWidth="1"/>
    <col min="10" max="10" width="8.00390625" style="13" bestFit="1" customWidth="1"/>
    <col min="11" max="11" width="8.75390625" style="13" bestFit="1" customWidth="1"/>
    <col min="12" max="12" width="9.75390625" style="13" customWidth="1"/>
    <col min="13" max="13" width="7.375" style="13" bestFit="1" customWidth="1"/>
    <col min="14" max="14" width="8.75390625" style="13" bestFit="1" customWidth="1"/>
    <col min="15" max="15" width="9.25390625" style="13" customWidth="1"/>
    <col min="16" max="16" width="7.375" style="13" bestFit="1" customWidth="1"/>
    <col min="17" max="17" width="8.75390625" style="13" bestFit="1" customWidth="1"/>
    <col min="18" max="18" width="9.00390625" style="13" customWidth="1"/>
    <col min="19" max="19" width="7.375" style="13" bestFit="1" customWidth="1"/>
    <col min="20" max="20" width="8.75390625" style="13" bestFit="1" customWidth="1"/>
    <col min="21" max="21" width="9.625" style="13" customWidth="1"/>
    <col min="22" max="22" width="7.375" style="13" bestFit="1" customWidth="1"/>
    <col min="23" max="24" width="10.00390625" style="13" customWidth="1"/>
    <col min="25" max="25" width="9.125" style="13" customWidth="1"/>
    <col min="26" max="26" width="8.75390625" style="13" bestFit="1" customWidth="1"/>
    <col min="27" max="27" width="9.75390625" style="13" customWidth="1"/>
    <col min="28" max="28" width="8.00390625" style="13" bestFit="1" customWidth="1"/>
    <col min="29" max="29" width="8.75390625" style="13" bestFit="1" customWidth="1"/>
    <col min="30" max="30" width="9.75390625" style="13" customWidth="1"/>
    <col min="31" max="31" width="8.00390625" style="13" bestFit="1" customWidth="1"/>
    <col min="32" max="32" width="8.75390625" style="13" bestFit="1" customWidth="1"/>
    <col min="33" max="33" width="9.375" style="13" customWidth="1"/>
    <col min="34" max="34" width="8.00390625" style="13" bestFit="1" customWidth="1"/>
    <col min="35" max="35" width="8.875" style="13" bestFit="1" customWidth="1"/>
    <col min="36" max="36" width="9.25390625" style="13" customWidth="1"/>
    <col min="37" max="37" width="9.375" style="13" bestFit="1" customWidth="1"/>
    <col min="38" max="38" width="8.75390625" style="13" customWidth="1"/>
    <col min="39" max="39" width="9.375" style="13" customWidth="1"/>
    <col min="40" max="40" width="8.00390625" style="13" bestFit="1" customWidth="1"/>
    <col min="41" max="41" width="9.125" style="13" bestFit="1" customWidth="1"/>
    <col min="42" max="42" width="8.625" style="13" customWidth="1"/>
    <col min="43" max="43" width="7.375" style="13" bestFit="1" customWidth="1"/>
    <col min="44" max="44" width="9.125" style="13" bestFit="1" customWidth="1"/>
    <col min="45" max="45" width="9.25390625" style="13" customWidth="1"/>
    <col min="46" max="46" width="8.00390625" style="13" bestFit="1" customWidth="1"/>
    <col min="47" max="47" width="9.125" style="13" bestFit="1" customWidth="1"/>
    <col min="48" max="48" width="8.75390625" style="13" customWidth="1"/>
    <col min="49" max="49" width="7.375" style="13" bestFit="1" customWidth="1"/>
    <col min="50" max="50" width="9.125" style="13" bestFit="1" customWidth="1"/>
    <col min="51" max="51" width="8.25390625" style="13" customWidth="1"/>
    <col min="52" max="52" width="8.00390625" style="13" bestFit="1" customWidth="1"/>
    <col min="53" max="53" width="9.125" style="13" bestFit="1" customWidth="1"/>
    <col min="54" max="54" width="9.375" style="13" customWidth="1"/>
    <col min="55" max="55" width="7.375" style="13" bestFit="1" customWidth="1"/>
    <col min="56" max="56" width="9.125" style="13" bestFit="1" customWidth="1"/>
    <col min="57" max="57" width="9.375" style="13" customWidth="1"/>
    <col min="58" max="58" width="8.00390625" style="13" bestFit="1" customWidth="1"/>
    <col min="59" max="59" width="8.75390625" style="13" customWidth="1"/>
    <col min="60" max="60" width="9.625" style="13" customWidth="1"/>
    <col min="61" max="61" width="8.00390625" style="13" bestFit="1" customWidth="1"/>
    <col min="62" max="62" width="9.125" style="13" bestFit="1" customWidth="1"/>
    <col min="63" max="63" width="8.75390625" style="13" customWidth="1"/>
    <col min="64" max="64" width="7.375" style="13" bestFit="1" customWidth="1"/>
    <col min="65" max="65" width="9.125" style="13" bestFit="1" customWidth="1"/>
    <col min="66" max="66" width="9.375" style="13" customWidth="1"/>
    <col min="67" max="67" width="7.375" style="13" bestFit="1" customWidth="1"/>
    <col min="68" max="68" width="9.125" style="13" bestFit="1" customWidth="1"/>
    <col min="69" max="69" width="8.375" style="13" customWidth="1"/>
    <col min="70" max="70" width="7.375" style="13" bestFit="1" customWidth="1"/>
    <col min="71" max="71" width="10.625" style="13" customWidth="1"/>
    <col min="72" max="72" width="8.875" style="13" customWidth="1"/>
    <col min="73" max="73" width="7.375" style="13" bestFit="1" customWidth="1"/>
    <col min="74" max="74" width="9.375" style="13" customWidth="1"/>
    <col min="75" max="75" width="8.875" style="13" customWidth="1"/>
    <col min="76" max="76" width="8.625" style="13" customWidth="1"/>
    <col min="77" max="77" width="12.125" style="22" customWidth="1"/>
    <col min="78" max="78" width="8.875" style="13" customWidth="1"/>
    <col min="79" max="79" width="9.75390625" style="13" customWidth="1"/>
    <col min="80" max="82" width="10.25390625" style="13" customWidth="1"/>
    <col min="83" max="83" width="10.00390625" style="13" customWidth="1"/>
    <col min="84" max="84" width="2.625" style="13" customWidth="1"/>
    <col min="85" max="16384" width="9.125" style="13" customWidth="1"/>
  </cols>
  <sheetData>
    <row r="1" ht="13.5">
      <c r="A1" s="175" t="s">
        <v>301</v>
      </c>
    </row>
    <row r="2" ht="13.5">
      <c r="A2" s="175" t="s">
        <v>288</v>
      </c>
    </row>
    <row r="3" spans="1:83" ht="15.75">
      <c r="A3" s="83"/>
      <c r="B3" s="125" t="s">
        <v>104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 t="s">
        <v>104</v>
      </c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 t="s">
        <v>105</v>
      </c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 t="s">
        <v>105</v>
      </c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</row>
    <row r="4" spans="1:83" s="19" customFormat="1" ht="39" customHeight="1">
      <c r="A4" s="19" t="s">
        <v>3</v>
      </c>
      <c r="B4" s="208" t="s">
        <v>166</v>
      </c>
      <c r="C4" s="208"/>
      <c r="D4" s="208"/>
      <c r="E4" s="208" t="s">
        <v>167</v>
      </c>
      <c r="F4" s="208"/>
      <c r="G4" s="208"/>
      <c r="H4" s="208" t="s">
        <v>168</v>
      </c>
      <c r="I4" s="208"/>
      <c r="J4" s="208"/>
      <c r="K4" s="208" t="s">
        <v>170</v>
      </c>
      <c r="L4" s="208"/>
      <c r="M4" s="208"/>
      <c r="N4" s="208" t="s">
        <v>172</v>
      </c>
      <c r="O4" s="208"/>
      <c r="P4" s="208"/>
      <c r="Q4" s="208" t="s">
        <v>169</v>
      </c>
      <c r="R4" s="208"/>
      <c r="S4" s="208"/>
      <c r="T4" s="208" t="s">
        <v>103</v>
      </c>
      <c r="U4" s="208"/>
      <c r="V4" s="208"/>
      <c r="W4" s="208" t="s">
        <v>165</v>
      </c>
      <c r="X4" s="208"/>
      <c r="Y4" s="208"/>
      <c r="Z4" s="208" t="s">
        <v>163</v>
      </c>
      <c r="AA4" s="208"/>
      <c r="AB4" s="208"/>
      <c r="AC4" s="208" t="s">
        <v>176</v>
      </c>
      <c r="AD4" s="208"/>
      <c r="AE4" s="208"/>
      <c r="AF4" s="208" t="s">
        <v>164</v>
      </c>
      <c r="AG4" s="208"/>
      <c r="AH4" s="208"/>
      <c r="AI4" s="208" t="s">
        <v>171</v>
      </c>
      <c r="AJ4" s="208"/>
      <c r="AK4" s="208"/>
      <c r="AL4" s="208" t="s">
        <v>39</v>
      </c>
      <c r="AM4" s="208"/>
      <c r="AN4" s="208"/>
      <c r="AO4" s="208" t="s">
        <v>40</v>
      </c>
      <c r="AP4" s="208"/>
      <c r="AQ4" s="208"/>
      <c r="AR4" s="208" t="s">
        <v>18</v>
      </c>
      <c r="AS4" s="208"/>
      <c r="AT4" s="208"/>
      <c r="AU4" s="208" t="s">
        <v>41</v>
      </c>
      <c r="AV4" s="208"/>
      <c r="AW4" s="208"/>
      <c r="AX4" s="209" t="s">
        <v>184</v>
      </c>
      <c r="AY4" s="209"/>
      <c r="AZ4" s="209"/>
      <c r="BA4" s="209" t="s">
        <v>181</v>
      </c>
      <c r="BB4" s="209"/>
      <c r="BC4" s="209"/>
      <c r="BD4" s="208" t="s">
        <v>180</v>
      </c>
      <c r="BE4" s="208"/>
      <c r="BF4" s="208"/>
      <c r="BG4" s="208" t="s">
        <v>173</v>
      </c>
      <c r="BH4" s="208"/>
      <c r="BI4" s="208"/>
      <c r="BJ4" s="208" t="s">
        <v>174</v>
      </c>
      <c r="BK4" s="208"/>
      <c r="BL4" s="208"/>
      <c r="BM4" s="209" t="s">
        <v>186</v>
      </c>
      <c r="BN4" s="209"/>
      <c r="BO4" s="209"/>
      <c r="BP4" s="209" t="s">
        <v>182</v>
      </c>
      <c r="BQ4" s="209"/>
      <c r="BR4" s="209"/>
      <c r="BS4" s="208" t="s">
        <v>175</v>
      </c>
      <c r="BT4" s="208"/>
      <c r="BU4" s="208"/>
      <c r="BV4" s="208" t="s">
        <v>177</v>
      </c>
      <c r="BW4" s="208"/>
      <c r="BX4" s="208"/>
      <c r="BY4" s="208" t="s">
        <v>178</v>
      </c>
      <c r="BZ4" s="208"/>
      <c r="CA4" s="208"/>
      <c r="CB4" s="208" t="s">
        <v>179</v>
      </c>
      <c r="CC4" s="208"/>
      <c r="CD4" s="208"/>
      <c r="CE4" s="208"/>
    </row>
    <row r="5" spans="2:83" s="20" customFormat="1" ht="24" customHeight="1">
      <c r="B5" s="178" t="s">
        <v>19</v>
      </c>
      <c r="C5" s="178" t="s">
        <v>266</v>
      </c>
      <c r="D5" s="178" t="s">
        <v>267</v>
      </c>
      <c r="E5" s="178" t="s">
        <v>19</v>
      </c>
      <c r="F5" s="178" t="s">
        <v>266</v>
      </c>
      <c r="G5" s="178" t="s">
        <v>267</v>
      </c>
      <c r="H5" s="178" t="s">
        <v>19</v>
      </c>
      <c r="I5" s="178" t="s">
        <v>266</v>
      </c>
      <c r="J5" s="178" t="s">
        <v>267</v>
      </c>
      <c r="K5" s="178" t="s">
        <v>19</v>
      </c>
      <c r="L5" s="178" t="s">
        <v>266</v>
      </c>
      <c r="M5" s="178" t="s">
        <v>267</v>
      </c>
      <c r="N5" s="178" t="s">
        <v>19</v>
      </c>
      <c r="O5" s="178" t="s">
        <v>266</v>
      </c>
      <c r="P5" s="178" t="s">
        <v>267</v>
      </c>
      <c r="Q5" s="178" t="s">
        <v>19</v>
      </c>
      <c r="R5" s="178" t="s">
        <v>266</v>
      </c>
      <c r="S5" s="178" t="s">
        <v>267</v>
      </c>
      <c r="T5" s="178" t="s">
        <v>19</v>
      </c>
      <c r="U5" s="178" t="s">
        <v>266</v>
      </c>
      <c r="V5" s="178" t="s">
        <v>267</v>
      </c>
      <c r="W5" s="178" t="s">
        <v>19</v>
      </c>
      <c r="X5" s="178" t="s">
        <v>266</v>
      </c>
      <c r="Y5" s="178" t="s">
        <v>267</v>
      </c>
      <c r="Z5" s="178" t="s">
        <v>19</v>
      </c>
      <c r="AA5" s="178" t="s">
        <v>266</v>
      </c>
      <c r="AB5" s="178" t="s">
        <v>267</v>
      </c>
      <c r="AC5" s="178" t="s">
        <v>19</v>
      </c>
      <c r="AD5" s="178" t="s">
        <v>266</v>
      </c>
      <c r="AE5" s="178" t="s">
        <v>267</v>
      </c>
      <c r="AF5" s="178" t="s">
        <v>19</v>
      </c>
      <c r="AG5" s="178" t="s">
        <v>266</v>
      </c>
      <c r="AH5" s="178" t="s">
        <v>267</v>
      </c>
      <c r="AI5" s="178" t="s">
        <v>19</v>
      </c>
      <c r="AJ5" s="178" t="s">
        <v>266</v>
      </c>
      <c r="AK5" s="178" t="s">
        <v>267</v>
      </c>
      <c r="AL5" s="178" t="s">
        <v>20</v>
      </c>
      <c r="AM5" s="178" t="s">
        <v>266</v>
      </c>
      <c r="AN5" s="178" t="s">
        <v>267</v>
      </c>
      <c r="AO5" s="178" t="s">
        <v>20</v>
      </c>
      <c r="AP5" s="178" t="s">
        <v>266</v>
      </c>
      <c r="AQ5" s="178" t="s">
        <v>267</v>
      </c>
      <c r="AR5" s="178" t="s">
        <v>20</v>
      </c>
      <c r="AS5" s="178" t="s">
        <v>266</v>
      </c>
      <c r="AT5" s="178" t="s">
        <v>267</v>
      </c>
      <c r="AU5" s="178" t="s">
        <v>20</v>
      </c>
      <c r="AV5" s="178" t="s">
        <v>266</v>
      </c>
      <c r="AW5" s="178" t="s">
        <v>267</v>
      </c>
      <c r="AX5" s="178" t="s">
        <v>20</v>
      </c>
      <c r="AY5" s="178" t="s">
        <v>266</v>
      </c>
      <c r="AZ5" s="178" t="s">
        <v>267</v>
      </c>
      <c r="BA5" s="178" t="s">
        <v>20</v>
      </c>
      <c r="BB5" s="178" t="s">
        <v>266</v>
      </c>
      <c r="BC5" s="178" t="s">
        <v>267</v>
      </c>
      <c r="BD5" s="178" t="s">
        <v>20</v>
      </c>
      <c r="BE5" s="178" t="s">
        <v>266</v>
      </c>
      <c r="BF5" s="178" t="s">
        <v>267</v>
      </c>
      <c r="BG5" s="178" t="s">
        <v>20</v>
      </c>
      <c r="BH5" s="178" t="s">
        <v>266</v>
      </c>
      <c r="BI5" s="178" t="s">
        <v>267</v>
      </c>
      <c r="BJ5" s="178" t="s">
        <v>20</v>
      </c>
      <c r="BK5" s="178" t="s">
        <v>266</v>
      </c>
      <c r="BL5" s="178" t="s">
        <v>267</v>
      </c>
      <c r="BM5" s="178" t="s">
        <v>20</v>
      </c>
      <c r="BN5" s="178" t="s">
        <v>266</v>
      </c>
      <c r="BO5" s="178" t="s">
        <v>267</v>
      </c>
      <c r="BP5" s="178" t="s">
        <v>20</v>
      </c>
      <c r="BQ5" s="178" t="s">
        <v>266</v>
      </c>
      <c r="BR5" s="178" t="s">
        <v>267</v>
      </c>
      <c r="BS5" s="178" t="s">
        <v>20</v>
      </c>
      <c r="BT5" s="178" t="s">
        <v>266</v>
      </c>
      <c r="BU5" s="178" t="s">
        <v>267</v>
      </c>
      <c r="BV5" s="178" t="s">
        <v>20</v>
      </c>
      <c r="BW5" s="178" t="s">
        <v>266</v>
      </c>
      <c r="BX5" s="178" t="s">
        <v>267</v>
      </c>
      <c r="BY5" s="178" t="s">
        <v>20</v>
      </c>
      <c r="BZ5" s="178" t="s">
        <v>266</v>
      </c>
      <c r="CA5" s="178" t="s">
        <v>267</v>
      </c>
      <c r="CB5" s="199" t="s">
        <v>21</v>
      </c>
      <c r="CC5" s="199" t="s">
        <v>22</v>
      </c>
      <c r="CD5" s="199" t="s">
        <v>50</v>
      </c>
      <c r="CE5" s="200" t="s">
        <v>23</v>
      </c>
    </row>
    <row r="6" spans="1:83" s="22" customFormat="1" ht="27" customHeight="1">
      <c r="A6" s="201" t="s">
        <v>56</v>
      </c>
      <c r="B6" s="23">
        <v>529</v>
      </c>
      <c r="C6" s="23">
        <v>529</v>
      </c>
      <c r="D6" s="23">
        <f>C6-B6</f>
        <v>0</v>
      </c>
      <c r="E6" s="23"/>
      <c r="F6" s="23"/>
      <c r="G6" s="23">
        <f>F6-E6</f>
        <v>0</v>
      </c>
      <c r="H6" s="23">
        <v>1900</v>
      </c>
      <c r="I6" s="23">
        <v>1900</v>
      </c>
      <c r="J6" s="23">
        <f>I6-H6</f>
        <v>0</v>
      </c>
      <c r="K6" s="23"/>
      <c r="L6" s="23"/>
      <c r="M6" s="23">
        <f>L6-K6</f>
        <v>0</v>
      </c>
      <c r="N6" s="23"/>
      <c r="O6" s="23"/>
      <c r="P6" s="23">
        <f>O6-N6</f>
        <v>0</v>
      </c>
      <c r="Q6" s="23"/>
      <c r="R6" s="23"/>
      <c r="S6" s="23">
        <f>R6-Q6</f>
        <v>0</v>
      </c>
      <c r="T6" s="23"/>
      <c r="U6" s="23"/>
      <c r="V6" s="23">
        <f>U6-T6</f>
        <v>0</v>
      </c>
      <c r="W6" s="21">
        <f aca="true" t="shared" si="0" ref="W6:X8">B6+E6+H6+K6+N6+Q6+T6</f>
        <v>2429</v>
      </c>
      <c r="X6" s="21">
        <f t="shared" si="0"/>
        <v>2429</v>
      </c>
      <c r="Y6" s="23">
        <f>X6-W6</f>
        <v>0</v>
      </c>
      <c r="Z6" s="23"/>
      <c r="AA6" s="23">
        <v>2415</v>
      </c>
      <c r="AB6" s="23">
        <f>AA6-Z6</f>
        <v>2415</v>
      </c>
      <c r="AC6" s="23">
        <f>BY6-W6-Z6</f>
        <v>30595</v>
      </c>
      <c r="AD6" s="23">
        <v>32097</v>
      </c>
      <c r="AE6" s="23">
        <f>AD6-AC6</f>
        <v>1502</v>
      </c>
      <c r="AF6" s="21">
        <f aca="true" t="shared" si="1" ref="AF6:AG8">Z6+AC6</f>
        <v>30595</v>
      </c>
      <c r="AG6" s="21">
        <f t="shared" si="1"/>
        <v>34512</v>
      </c>
      <c r="AH6" s="23">
        <f>AG6-AF6</f>
        <v>3917</v>
      </c>
      <c r="AI6" s="21">
        <f aca="true" t="shared" si="2" ref="AI6:AI15">W6+AF6</f>
        <v>33024</v>
      </c>
      <c r="AJ6" s="21">
        <f aca="true" t="shared" si="3" ref="AJ6:AJ15">X6+AG6</f>
        <v>36941</v>
      </c>
      <c r="AK6" s="23">
        <f>AJ6-AI6</f>
        <v>3917</v>
      </c>
      <c r="AL6" s="23">
        <v>15802</v>
      </c>
      <c r="AM6" s="23">
        <v>16130</v>
      </c>
      <c r="AN6" s="23">
        <f>AM6-AL6</f>
        <v>328</v>
      </c>
      <c r="AO6" s="23">
        <v>4289</v>
      </c>
      <c r="AP6" s="23">
        <v>4368</v>
      </c>
      <c r="AQ6" s="23">
        <f>AP6-AO6</f>
        <v>79</v>
      </c>
      <c r="AR6" s="23">
        <f>9433+3350</f>
        <v>12783</v>
      </c>
      <c r="AS6" s="23">
        <v>14729</v>
      </c>
      <c r="AT6" s="23">
        <f>AS6-AR6</f>
        <v>1946</v>
      </c>
      <c r="AU6" s="23"/>
      <c r="AV6" s="23"/>
      <c r="AW6" s="23">
        <f>AV6-AU6</f>
        <v>0</v>
      </c>
      <c r="AX6" s="23"/>
      <c r="AY6" s="23"/>
      <c r="AZ6" s="23">
        <f>AY6-AX6</f>
        <v>0</v>
      </c>
      <c r="BA6" s="23"/>
      <c r="BB6" s="23"/>
      <c r="BC6" s="23">
        <f>BB6-BA6</f>
        <v>0</v>
      </c>
      <c r="BD6" s="23">
        <f aca="true" t="shared" si="4" ref="BD6:BE8">AX6+BA6</f>
        <v>0</v>
      </c>
      <c r="BE6" s="23">
        <f t="shared" si="4"/>
        <v>0</v>
      </c>
      <c r="BF6" s="23">
        <f>BE6-BD6</f>
        <v>0</v>
      </c>
      <c r="BG6" s="23">
        <v>150</v>
      </c>
      <c r="BH6" s="23">
        <v>1714</v>
      </c>
      <c r="BI6" s="23">
        <f>BH6-BG6</f>
        <v>1564</v>
      </c>
      <c r="BJ6" s="23"/>
      <c r="BK6" s="23"/>
      <c r="BL6" s="23">
        <f>BK6-BJ6</f>
        <v>0</v>
      </c>
      <c r="BM6" s="23"/>
      <c r="BN6" s="23"/>
      <c r="BO6" s="23">
        <f>BN6-BM6</f>
        <v>0</v>
      </c>
      <c r="BP6" s="23"/>
      <c r="BQ6" s="23"/>
      <c r="BR6" s="23">
        <f>BQ6-BP6</f>
        <v>0</v>
      </c>
      <c r="BS6" s="23">
        <f aca="true" t="shared" si="5" ref="BS6:BT8">BM6+BP6</f>
        <v>0</v>
      </c>
      <c r="BT6" s="23">
        <f t="shared" si="5"/>
        <v>0</v>
      </c>
      <c r="BU6" s="23">
        <f>BT6-BS6</f>
        <v>0</v>
      </c>
      <c r="BV6" s="23"/>
      <c r="BW6" s="23"/>
      <c r="BX6" s="23">
        <f>BW6-BV6</f>
        <v>0</v>
      </c>
      <c r="BY6" s="21">
        <f aca="true" t="shared" si="6" ref="BY6:BY15">AL6+AO6+AR6+AU6+BD6+BG6+BJ6+BS6+BV6</f>
        <v>33024</v>
      </c>
      <c r="BZ6" s="21">
        <f aca="true" t="shared" si="7" ref="BZ6:BZ15">AM6+AP6+AS6+AV6+BE6+BH6+BK6+BT6+BW6</f>
        <v>36941</v>
      </c>
      <c r="CA6" s="23">
        <f>BZ6-BY6</f>
        <v>3917</v>
      </c>
      <c r="CB6" s="45">
        <v>7</v>
      </c>
      <c r="CC6" s="45">
        <v>0.75</v>
      </c>
      <c r="CD6" s="45">
        <v>1</v>
      </c>
      <c r="CE6" s="44">
        <f>SUM(CB6:CD6)</f>
        <v>8.75</v>
      </c>
    </row>
    <row r="7" spans="1:83" ht="27" customHeight="1">
      <c r="A7" s="201" t="s">
        <v>57</v>
      </c>
      <c r="B7" s="23">
        <v>2844</v>
      </c>
      <c r="C7" s="23">
        <v>4376</v>
      </c>
      <c r="D7" s="23">
        <f>C7-B7</f>
        <v>1532</v>
      </c>
      <c r="E7" s="23"/>
      <c r="F7" s="23"/>
      <c r="G7" s="23">
        <f>F7-E7</f>
        <v>0</v>
      </c>
      <c r="H7" s="23">
        <v>66266</v>
      </c>
      <c r="I7" s="23">
        <v>66266</v>
      </c>
      <c r="J7" s="23">
        <f>I7-H7</f>
        <v>0</v>
      </c>
      <c r="K7" s="23">
        <v>1039</v>
      </c>
      <c r="L7" s="23">
        <v>1039</v>
      </c>
      <c r="M7" s="23">
        <f>L7-K7</f>
        <v>0</v>
      </c>
      <c r="N7" s="23"/>
      <c r="O7" s="23"/>
      <c r="P7" s="23">
        <f>O7-N7</f>
        <v>0</v>
      </c>
      <c r="Q7" s="23"/>
      <c r="R7" s="23"/>
      <c r="S7" s="23">
        <f>R7-Q7</f>
        <v>0</v>
      </c>
      <c r="T7" s="23"/>
      <c r="U7" s="23"/>
      <c r="V7" s="23">
        <f>U7-T7</f>
        <v>0</v>
      </c>
      <c r="W7" s="21">
        <f t="shared" si="0"/>
        <v>70149</v>
      </c>
      <c r="X7" s="21">
        <f t="shared" si="0"/>
        <v>71681</v>
      </c>
      <c r="Y7" s="23">
        <f>X7-W7</f>
        <v>1532</v>
      </c>
      <c r="Z7" s="23"/>
      <c r="AA7" s="23">
        <v>387</v>
      </c>
      <c r="AB7" s="23">
        <f>AA7-Z7</f>
        <v>387</v>
      </c>
      <c r="AC7" s="23">
        <f>BY7-W7-Z7</f>
        <v>30638</v>
      </c>
      <c r="AD7" s="23">
        <v>30809</v>
      </c>
      <c r="AE7" s="23">
        <f>AD7-AC7</f>
        <v>171</v>
      </c>
      <c r="AF7" s="21">
        <f t="shared" si="1"/>
        <v>30638</v>
      </c>
      <c r="AG7" s="21">
        <f t="shared" si="1"/>
        <v>31196</v>
      </c>
      <c r="AH7" s="23">
        <f>AG7-AF7</f>
        <v>558</v>
      </c>
      <c r="AI7" s="21">
        <f t="shared" si="2"/>
        <v>100787</v>
      </c>
      <c r="AJ7" s="21">
        <f t="shared" si="3"/>
        <v>102877</v>
      </c>
      <c r="AK7" s="23">
        <f>AJ7-AI7</f>
        <v>2090</v>
      </c>
      <c r="AL7" s="23">
        <v>30941</v>
      </c>
      <c r="AM7" s="23">
        <v>31511</v>
      </c>
      <c r="AN7" s="23">
        <f>AM7-AL7</f>
        <v>570</v>
      </c>
      <c r="AO7" s="23">
        <v>8576</v>
      </c>
      <c r="AP7" s="23">
        <v>8609</v>
      </c>
      <c r="AQ7" s="23">
        <f>AP7-AO7</f>
        <v>33</v>
      </c>
      <c r="AR7" s="23">
        <v>60270</v>
      </c>
      <c r="AS7" s="23">
        <v>61169</v>
      </c>
      <c r="AT7" s="23">
        <f>AS7-AR7</f>
        <v>899</v>
      </c>
      <c r="AU7" s="23"/>
      <c r="AV7" s="23"/>
      <c r="AW7" s="23">
        <f>AV7-AU7</f>
        <v>0</v>
      </c>
      <c r="AX7" s="23"/>
      <c r="AY7" s="23"/>
      <c r="AZ7" s="23">
        <f>AY7-AX7</f>
        <v>0</v>
      </c>
      <c r="BA7" s="23"/>
      <c r="BB7" s="23"/>
      <c r="BC7" s="23">
        <f>BB7-BA7</f>
        <v>0</v>
      </c>
      <c r="BD7" s="23">
        <f t="shared" si="4"/>
        <v>0</v>
      </c>
      <c r="BE7" s="23">
        <f t="shared" si="4"/>
        <v>0</v>
      </c>
      <c r="BF7" s="23">
        <f>BE7-BD7</f>
        <v>0</v>
      </c>
      <c r="BG7" s="23">
        <v>1000</v>
      </c>
      <c r="BH7" s="23">
        <v>1588</v>
      </c>
      <c r="BI7" s="23">
        <f>BH7-BG7</f>
        <v>588</v>
      </c>
      <c r="BJ7" s="23"/>
      <c r="BK7" s="23"/>
      <c r="BL7" s="23">
        <f>BK7-BJ7</f>
        <v>0</v>
      </c>
      <c r="BM7" s="23"/>
      <c r="BN7" s="23"/>
      <c r="BO7" s="23">
        <f>BN7-BM7</f>
        <v>0</v>
      </c>
      <c r="BP7" s="23"/>
      <c r="BQ7" s="23"/>
      <c r="BR7" s="23">
        <f>BQ7-BP7</f>
        <v>0</v>
      </c>
      <c r="BS7" s="23">
        <f t="shared" si="5"/>
        <v>0</v>
      </c>
      <c r="BT7" s="23">
        <f t="shared" si="5"/>
        <v>0</v>
      </c>
      <c r="BU7" s="23">
        <f>BT7-BS7</f>
        <v>0</v>
      </c>
      <c r="BV7" s="23"/>
      <c r="BW7" s="23"/>
      <c r="BX7" s="23">
        <f>BW7-BV7</f>
        <v>0</v>
      </c>
      <c r="BY7" s="21">
        <f t="shared" si="6"/>
        <v>100787</v>
      </c>
      <c r="BZ7" s="21">
        <f t="shared" si="7"/>
        <v>102877</v>
      </c>
      <c r="CA7" s="23">
        <f>BZ7-BY7</f>
        <v>2090</v>
      </c>
      <c r="CB7" s="45">
        <v>5</v>
      </c>
      <c r="CC7" s="45">
        <v>9</v>
      </c>
      <c r="CD7" s="45">
        <v>3</v>
      </c>
      <c r="CE7" s="45">
        <f>SUM(CB7:CD7)</f>
        <v>17</v>
      </c>
    </row>
    <row r="8" spans="1:83" ht="27" customHeight="1">
      <c r="A8" s="13" t="s">
        <v>183</v>
      </c>
      <c r="B8" s="23"/>
      <c r="C8" s="23"/>
      <c r="D8" s="23">
        <f>C8-B8</f>
        <v>0</v>
      </c>
      <c r="E8" s="23"/>
      <c r="F8" s="23"/>
      <c r="G8" s="23">
        <f>F8-E8</f>
        <v>0</v>
      </c>
      <c r="H8" s="23">
        <v>3000</v>
      </c>
      <c r="I8" s="23">
        <v>3000</v>
      </c>
      <c r="J8" s="23">
        <f>I8-H8</f>
        <v>0</v>
      </c>
      <c r="K8" s="23"/>
      <c r="L8" s="23"/>
      <c r="M8" s="23">
        <f>L8-K8</f>
        <v>0</v>
      </c>
      <c r="N8" s="23"/>
      <c r="O8" s="23"/>
      <c r="P8" s="23">
        <f>O8-N8</f>
        <v>0</v>
      </c>
      <c r="Q8" s="23"/>
      <c r="R8" s="23"/>
      <c r="S8" s="23">
        <f>R8-Q8</f>
        <v>0</v>
      </c>
      <c r="T8" s="23"/>
      <c r="U8" s="23"/>
      <c r="V8" s="23">
        <f>U8-T8</f>
        <v>0</v>
      </c>
      <c r="W8" s="21">
        <f t="shared" si="0"/>
        <v>3000</v>
      </c>
      <c r="X8" s="21">
        <f t="shared" si="0"/>
        <v>3000</v>
      </c>
      <c r="Y8" s="23">
        <f>X8-W8</f>
        <v>0</v>
      </c>
      <c r="Z8" s="23"/>
      <c r="AA8" s="23"/>
      <c r="AB8" s="23">
        <f>AA8-Z8</f>
        <v>0</v>
      </c>
      <c r="AC8" s="23">
        <f>BY8-W8-Z8</f>
        <v>36295</v>
      </c>
      <c r="AD8" s="23">
        <v>36829</v>
      </c>
      <c r="AE8" s="23">
        <f>AD8-AC8</f>
        <v>534</v>
      </c>
      <c r="AF8" s="21">
        <f t="shared" si="1"/>
        <v>36295</v>
      </c>
      <c r="AG8" s="21">
        <f t="shared" si="1"/>
        <v>36829</v>
      </c>
      <c r="AH8" s="23">
        <f>AG8-AF8</f>
        <v>534</v>
      </c>
      <c r="AI8" s="21">
        <f t="shared" si="2"/>
        <v>39295</v>
      </c>
      <c r="AJ8" s="21">
        <f t="shared" si="3"/>
        <v>39829</v>
      </c>
      <c r="AK8" s="23">
        <f>AJ8-AI8</f>
        <v>534</v>
      </c>
      <c r="AL8" s="23">
        <v>22408</v>
      </c>
      <c r="AM8" s="23">
        <v>22556</v>
      </c>
      <c r="AN8" s="23">
        <f>AM8-AL8</f>
        <v>148</v>
      </c>
      <c r="AO8" s="23">
        <v>5934</v>
      </c>
      <c r="AP8" s="23">
        <v>5970</v>
      </c>
      <c r="AQ8" s="23">
        <f>AP8-AO8</f>
        <v>36</v>
      </c>
      <c r="AR8" s="23">
        <v>10573</v>
      </c>
      <c r="AS8" s="23">
        <v>10923</v>
      </c>
      <c r="AT8" s="23">
        <f>AS8-AR8</f>
        <v>350</v>
      </c>
      <c r="AU8" s="23"/>
      <c r="AV8" s="23"/>
      <c r="AW8" s="23">
        <f>AV8-AU8</f>
        <v>0</v>
      </c>
      <c r="AX8" s="23"/>
      <c r="AY8" s="23"/>
      <c r="AZ8" s="23">
        <f>AY8-AX8</f>
        <v>0</v>
      </c>
      <c r="BA8" s="23"/>
      <c r="BB8" s="23"/>
      <c r="BC8" s="23">
        <f>BB8-BA8</f>
        <v>0</v>
      </c>
      <c r="BD8" s="23">
        <f t="shared" si="4"/>
        <v>0</v>
      </c>
      <c r="BE8" s="23">
        <f t="shared" si="4"/>
        <v>0</v>
      </c>
      <c r="BF8" s="23">
        <f>BE8-BD8</f>
        <v>0</v>
      </c>
      <c r="BG8" s="23">
        <v>380</v>
      </c>
      <c r="BH8" s="23">
        <v>380</v>
      </c>
      <c r="BI8" s="23">
        <f>BH8-BG8</f>
        <v>0</v>
      </c>
      <c r="BJ8" s="23"/>
      <c r="BK8" s="23"/>
      <c r="BL8" s="23">
        <f>BK8-BJ8</f>
        <v>0</v>
      </c>
      <c r="BM8" s="23"/>
      <c r="BN8" s="23"/>
      <c r="BO8" s="23">
        <f>BN8-BM8</f>
        <v>0</v>
      </c>
      <c r="BP8" s="23"/>
      <c r="BQ8" s="23"/>
      <c r="BR8" s="23">
        <f>BQ8-BP8</f>
        <v>0</v>
      </c>
      <c r="BS8" s="23">
        <f t="shared" si="5"/>
        <v>0</v>
      </c>
      <c r="BT8" s="23">
        <f t="shared" si="5"/>
        <v>0</v>
      </c>
      <c r="BU8" s="23">
        <f>BT8-BS8</f>
        <v>0</v>
      </c>
      <c r="BV8" s="23"/>
      <c r="BW8" s="23"/>
      <c r="BX8" s="23">
        <f>BW8-BV8</f>
        <v>0</v>
      </c>
      <c r="BY8" s="21">
        <f t="shared" si="6"/>
        <v>39295</v>
      </c>
      <c r="BZ8" s="21">
        <f t="shared" si="7"/>
        <v>39829</v>
      </c>
      <c r="CA8" s="23">
        <f>BZ8-BY8</f>
        <v>534</v>
      </c>
      <c r="CB8" s="45">
        <v>4</v>
      </c>
      <c r="CC8" s="45">
        <v>8</v>
      </c>
      <c r="CD8" s="45">
        <v>2</v>
      </c>
      <c r="CE8" s="45">
        <f>SUM(CB8:CD8)</f>
        <v>14</v>
      </c>
    </row>
    <row r="9" spans="1:83" s="22" customFormat="1" ht="27" customHeight="1">
      <c r="A9" s="180" t="s">
        <v>24</v>
      </c>
      <c r="B9" s="21">
        <f aca="true" t="shared" si="8" ref="B9:AH9">SUM(B6:B8)</f>
        <v>3373</v>
      </c>
      <c r="C9" s="21">
        <f t="shared" si="8"/>
        <v>4905</v>
      </c>
      <c r="D9" s="21">
        <f t="shared" si="8"/>
        <v>1532</v>
      </c>
      <c r="E9" s="21">
        <f t="shared" si="8"/>
        <v>0</v>
      </c>
      <c r="F9" s="21">
        <f t="shared" si="8"/>
        <v>0</v>
      </c>
      <c r="G9" s="21">
        <f t="shared" si="8"/>
        <v>0</v>
      </c>
      <c r="H9" s="21">
        <f t="shared" si="8"/>
        <v>71166</v>
      </c>
      <c r="I9" s="21">
        <f t="shared" si="8"/>
        <v>71166</v>
      </c>
      <c r="J9" s="21">
        <f t="shared" si="8"/>
        <v>0</v>
      </c>
      <c r="K9" s="21">
        <f t="shared" si="8"/>
        <v>1039</v>
      </c>
      <c r="L9" s="21">
        <f t="shared" si="8"/>
        <v>1039</v>
      </c>
      <c r="M9" s="21">
        <f t="shared" si="8"/>
        <v>0</v>
      </c>
      <c r="N9" s="21">
        <f t="shared" si="8"/>
        <v>0</v>
      </c>
      <c r="O9" s="21">
        <f t="shared" si="8"/>
        <v>0</v>
      </c>
      <c r="P9" s="21">
        <f t="shared" si="8"/>
        <v>0</v>
      </c>
      <c r="Q9" s="21">
        <f t="shared" si="8"/>
        <v>0</v>
      </c>
      <c r="R9" s="21">
        <f t="shared" si="8"/>
        <v>0</v>
      </c>
      <c r="S9" s="21">
        <f t="shared" si="8"/>
        <v>0</v>
      </c>
      <c r="T9" s="21">
        <f t="shared" si="8"/>
        <v>0</v>
      </c>
      <c r="U9" s="21">
        <f t="shared" si="8"/>
        <v>0</v>
      </c>
      <c r="V9" s="21">
        <f t="shared" si="8"/>
        <v>0</v>
      </c>
      <c r="W9" s="21">
        <f t="shared" si="8"/>
        <v>75578</v>
      </c>
      <c r="X9" s="21">
        <f t="shared" si="8"/>
        <v>77110</v>
      </c>
      <c r="Y9" s="21">
        <f t="shared" si="8"/>
        <v>1532</v>
      </c>
      <c r="Z9" s="21">
        <f t="shared" si="8"/>
        <v>0</v>
      </c>
      <c r="AA9" s="21">
        <f t="shared" si="8"/>
        <v>2802</v>
      </c>
      <c r="AB9" s="21">
        <f t="shared" si="8"/>
        <v>2802</v>
      </c>
      <c r="AC9" s="21">
        <f t="shared" si="8"/>
        <v>97528</v>
      </c>
      <c r="AD9" s="21">
        <f t="shared" si="8"/>
        <v>99735</v>
      </c>
      <c r="AE9" s="21">
        <f t="shared" si="8"/>
        <v>2207</v>
      </c>
      <c r="AF9" s="21">
        <f t="shared" si="8"/>
        <v>97528</v>
      </c>
      <c r="AG9" s="21">
        <f t="shared" si="8"/>
        <v>102537</v>
      </c>
      <c r="AH9" s="21">
        <f t="shared" si="8"/>
        <v>5009</v>
      </c>
      <c r="AI9" s="21">
        <f t="shared" si="2"/>
        <v>173106</v>
      </c>
      <c r="AJ9" s="21">
        <f t="shared" si="3"/>
        <v>179647</v>
      </c>
      <c r="AK9" s="21">
        <f aca="true" t="shared" si="9" ref="AK9:BX9">SUM(AK6:AK8)</f>
        <v>6541</v>
      </c>
      <c r="AL9" s="21">
        <f t="shared" si="9"/>
        <v>69151</v>
      </c>
      <c r="AM9" s="21">
        <f t="shared" si="9"/>
        <v>70197</v>
      </c>
      <c r="AN9" s="21">
        <f t="shared" si="9"/>
        <v>1046</v>
      </c>
      <c r="AO9" s="21">
        <f t="shared" si="9"/>
        <v>18799</v>
      </c>
      <c r="AP9" s="21">
        <f t="shared" si="9"/>
        <v>18947</v>
      </c>
      <c r="AQ9" s="21">
        <f t="shared" si="9"/>
        <v>148</v>
      </c>
      <c r="AR9" s="21">
        <f t="shared" si="9"/>
        <v>83626</v>
      </c>
      <c r="AS9" s="21">
        <f t="shared" si="9"/>
        <v>86821</v>
      </c>
      <c r="AT9" s="21">
        <f t="shared" si="9"/>
        <v>3195</v>
      </c>
      <c r="AU9" s="21">
        <f t="shared" si="9"/>
        <v>0</v>
      </c>
      <c r="AV9" s="21">
        <f t="shared" si="9"/>
        <v>0</v>
      </c>
      <c r="AW9" s="21">
        <f t="shared" si="9"/>
        <v>0</v>
      </c>
      <c r="AX9" s="21">
        <f t="shared" si="9"/>
        <v>0</v>
      </c>
      <c r="AY9" s="21">
        <f t="shared" si="9"/>
        <v>0</v>
      </c>
      <c r="AZ9" s="21">
        <f t="shared" si="9"/>
        <v>0</v>
      </c>
      <c r="BA9" s="21">
        <f t="shared" si="9"/>
        <v>0</v>
      </c>
      <c r="BB9" s="21">
        <f t="shared" si="9"/>
        <v>0</v>
      </c>
      <c r="BC9" s="21">
        <f t="shared" si="9"/>
        <v>0</v>
      </c>
      <c r="BD9" s="21">
        <f t="shared" si="9"/>
        <v>0</v>
      </c>
      <c r="BE9" s="21">
        <f t="shared" si="9"/>
        <v>0</v>
      </c>
      <c r="BF9" s="21">
        <f t="shared" si="9"/>
        <v>0</v>
      </c>
      <c r="BG9" s="21">
        <f t="shared" si="9"/>
        <v>1530</v>
      </c>
      <c r="BH9" s="21">
        <f t="shared" si="9"/>
        <v>3682</v>
      </c>
      <c r="BI9" s="21">
        <f t="shared" si="9"/>
        <v>2152</v>
      </c>
      <c r="BJ9" s="21">
        <f t="shared" si="9"/>
        <v>0</v>
      </c>
      <c r="BK9" s="21">
        <f t="shared" si="9"/>
        <v>0</v>
      </c>
      <c r="BL9" s="21">
        <f t="shared" si="9"/>
        <v>0</v>
      </c>
      <c r="BM9" s="21">
        <f t="shared" si="9"/>
        <v>0</v>
      </c>
      <c r="BN9" s="21">
        <f t="shared" si="9"/>
        <v>0</v>
      </c>
      <c r="BO9" s="21">
        <f t="shared" si="9"/>
        <v>0</v>
      </c>
      <c r="BP9" s="21">
        <f t="shared" si="9"/>
        <v>0</v>
      </c>
      <c r="BQ9" s="21">
        <f t="shared" si="9"/>
        <v>0</v>
      </c>
      <c r="BR9" s="21">
        <f t="shared" si="9"/>
        <v>0</v>
      </c>
      <c r="BS9" s="21">
        <f t="shared" si="9"/>
        <v>0</v>
      </c>
      <c r="BT9" s="21">
        <f t="shared" si="9"/>
        <v>0</v>
      </c>
      <c r="BU9" s="21">
        <f t="shared" si="9"/>
        <v>0</v>
      </c>
      <c r="BV9" s="21">
        <f t="shared" si="9"/>
        <v>0</v>
      </c>
      <c r="BW9" s="21">
        <f t="shared" si="9"/>
        <v>0</v>
      </c>
      <c r="BX9" s="21">
        <f t="shared" si="9"/>
        <v>0</v>
      </c>
      <c r="BY9" s="21">
        <f t="shared" si="6"/>
        <v>173106</v>
      </c>
      <c r="BZ9" s="21">
        <f t="shared" si="7"/>
        <v>179647</v>
      </c>
      <c r="CA9" s="21">
        <f>SUM(CA6:CA8)</f>
        <v>6541</v>
      </c>
      <c r="CB9" s="44">
        <f>SUM(CB6:CB8)</f>
        <v>16</v>
      </c>
      <c r="CC9" s="44">
        <f>SUM(CC6:CC8)</f>
        <v>17.75</v>
      </c>
      <c r="CD9" s="44">
        <f>SUM(CD6:CD8)</f>
        <v>6</v>
      </c>
      <c r="CE9" s="44">
        <f>SUM(CE7:CE8)</f>
        <v>31</v>
      </c>
    </row>
    <row r="10" spans="1:83" s="22" customFormat="1" ht="27" customHeight="1">
      <c r="A10" s="201" t="s">
        <v>58</v>
      </c>
      <c r="B10" s="23">
        <v>20645</v>
      </c>
      <c r="C10" s="23">
        <v>20645</v>
      </c>
      <c r="D10" s="23">
        <f>C10-B10</f>
        <v>0</v>
      </c>
      <c r="E10" s="23"/>
      <c r="F10" s="23"/>
      <c r="G10" s="23">
        <f>F10-E10</f>
        <v>0</v>
      </c>
      <c r="H10" s="23">
        <v>1100</v>
      </c>
      <c r="I10" s="23">
        <v>1100</v>
      </c>
      <c r="J10" s="23">
        <f>I10-H10</f>
        <v>0</v>
      </c>
      <c r="K10" s="23"/>
      <c r="L10" s="23"/>
      <c r="M10" s="23">
        <f>L10-K10</f>
        <v>0</v>
      </c>
      <c r="N10" s="23"/>
      <c r="O10" s="23"/>
      <c r="P10" s="23">
        <f>O10-N10</f>
        <v>0</v>
      </c>
      <c r="Q10" s="23"/>
      <c r="R10" s="23"/>
      <c r="S10" s="23">
        <f>R10-Q10</f>
        <v>0</v>
      </c>
      <c r="T10" s="23"/>
      <c r="U10" s="23"/>
      <c r="V10" s="23">
        <f>U10-T10</f>
        <v>0</v>
      </c>
      <c r="W10" s="21">
        <f>B10+E10+H10+K10+N10+Q10+T10</f>
        <v>21745</v>
      </c>
      <c r="X10" s="21">
        <f>C10+F10+I10+L10+O10+R10+U10</f>
        <v>21745</v>
      </c>
      <c r="Y10" s="23">
        <f>X10-W10</f>
        <v>0</v>
      </c>
      <c r="Z10" s="23"/>
      <c r="AA10" s="23">
        <v>10173</v>
      </c>
      <c r="AB10" s="23">
        <f>AA10-Z10</f>
        <v>10173</v>
      </c>
      <c r="AC10" s="23">
        <f>BY10-W10-Z10</f>
        <v>279550</v>
      </c>
      <c r="AD10" s="23">
        <v>274250</v>
      </c>
      <c r="AE10" s="23">
        <f>AD10-AC10</f>
        <v>-5300</v>
      </c>
      <c r="AF10" s="23">
        <f>Z10+AC10</f>
        <v>279550</v>
      </c>
      <c r="AG10" s="23">
        <f>AA10+AD10</f>
        <v>284423</v>
      </c>
      <c r="AH10" s="23">
        <f>AG10-AF10</f>
        <v>4873</v>
      </c>
      <c r="AI10" s="21">
        <f t="shared" si="2"/>
        <v>301295</v>
      </c>
      <c r="AJ10" s="23">
        <f t="shared" si="3"/>
        <v>306168</v>
      </c>
      <c r="AK10" s="23">
        <f>AJ10-AI10</f>
        <v>4873</v>
      </c>
      <c r="AL10" s="23">
        <v>179600</v>
      </c>
      <c r="AM10" s="23">
        <v>180728</v>
      </c>
      <c r="AN10" s="23">
        <f>AM10-AL10</f>
        <v>1128</v>
      </c>
      <c r="AO10" s="23">
        <v>53200</v>
      </c>
      <c r="AP10" s="23">
        <v>53472</v>
      </c>
      <c r="AQ10" s="23">
        <f>AP10-AO10</f>
        <v>272</v>
      </c>
      <c r="AR10" s="23">
        <v>66970</v>
      </c>
      <c r="AS10" s="23">
        <v>69903</v>
      </c>
      <c r="AT10" s="23">
        <f>AS10-AR10</f>
        <v>2933</v>
      </c>
      <c r="AU10" s="23"/>
      <c r="AV10" s="23"/>
      <c r="AW10" s="23">
        <f>AV10-AU10</f>
        <v>0</v>
      </c>
      <c r="AX10" s="23"/>
      <c r="AY10" s="23">
        <v>540</v>
      </c>
      <c r="AZ10" s="23">
        <f>AY10-AX10</f>
        <v>540</v>
      </c>
      <c r="BA10" s="23"/>
      <c r="BB10" s="23"/>
      <c r="BC10" s="23">
        <f>BB10-BA10</f>
        <v>0</v>
      </c>
      <c r="BD10" s="23">
        <f>AX10+BA10</f>
        <v>0</v>
      </c>
      <c r="BE10" s="23">
        <f>AY10+BB10</f>
        <v>540</v>
      </c>
      <c r="BF10" s="23">
        <f>BE10-BD10</f>
        <v>540</v>
      </c>
      <c r="BG10" s="23">
        <v>1525</v>
      </c>
      <c r="BH10" s="23">
        <v>1525</v>
      </c>
      <c r="BI10" s="23">
        <f>BH10-BG10</f>
        <v>0</v>
      </c>
      <c r="BJ10" s="23"/>
      <c r="BK10" s="23"/>
      <c r="BL10" s="23">
        <f>BK10-BJ10</f>
        <v>0</v>
      </c>
      <c r="BM10" s="23"/>
      <c r="BN10" s="23"/>
      <c r="BO10" s="23">
        <f>BN10-BM10</f>
        <v>0</v>
      </c>
      <c r="BP10" s="23"/>
      <c r="BQ10" s="23"/>
      <c r="BR10" s="23">
        <f>BQ10-BP10</f>
        <v>0</v>
      </c>
      <c r="BS10" s="23">
        <f>BM10+BP10</f>
        <v>0</v>
      </c>
      <c r="BT10" s="23">
        <f>BN10+BQ10</f>
        <v>0</v>
      </c>
      <c r="BU10" s="23">
        <f>BT10-BS10</f>
        <v>0</v>
      </c>
      <c r="BV10" s="23"/>
      <c r="BW10" s="23"/>
      <c r="BX10" s="23">
        <f>BW10-BV10</f>
        <v>0</v>
      </c>
      <c r="BY10" s="21">
        <f t="shared" si="6"/>
        <v>301295</v>
      </c>
      <c r="BZ10" s="21">
        <f t="shared" si="7"/>
        <v>306168</v>
      </c>
      <c r="CA10" s="23">
        <f>BZ10-BY10</f>
        <v>4873</v>
      </c>
      <c r="CB10" s="45">
        <v>48</v>
      </c>
      <c r="CC10" s="45">
        <v>2</v>
      </c>
      <c r="CD10" s="45">
        <v>1</v>
      </c>
      <c r="CE10" s="44">
        <f>SUM(CB10:CD10)</f>
        <v>51</v>
      </c>
    </row>
    <row r="11" spans="1:83" s="22" customFormat="1" ht="27" customHeight="1">
      <c r="A11" s="202" t="s">
        <v>67</v>
      </c>
      <c r="B11" s="23">
        <v>13561</v>
      </c>
      <c r="C11" s="23">
        <v>13561</v>
      </c>
      <c r="D11" s="23">
        <f>C11-B11</f>
        <v>0</v>
      </c>
      <c r="E11" s="23"/>
      <c r="F11" s="23"/>
      <c r="G11" s="23">
        <f>F11-E11</f>
        <v>0</v>
      </c>
      <c r="H11" s="23"/>
      <c r="I11" s="23"/>
      <c r="J11" s="23">
        <f>I11-H11</f>
        <v>0</v>
      </c>
      <c r="K11" s="23"/>
      <c r="L11" s="23"/>
      <c r="M11" s="23">
        <f>L11-K11</f>
        <v>0</v>
      </c>
      <c r="N11" s="23"/>
      <c r="O11" s="23"/>
      <c r="P11" s="23">
        <f>O11-N11</f>
        <v>0</v>
      </c>
      <c r="Q11" s="23"/>
      <c r="R11" s="23"/>
      <c r="S11" s="23">
        <f>R11-Q11</f>
        <v>0</v>
      </c>
      <c r="T11" s="23"/>
      <c r="U11" s="23"/>
      <c r="V11" s="23">
        <f>U11-T11</f>
        <v>0</v>
      </c>
      <c r="W11" s="21">
        <f>B11+E11+H11+K11+N11+Q11+T11</f>
        <v>13561</v>
      </c>
      <c r="X11" s="21">
        <f>C11+F11+I11+L11+O11+R11+U11</f>
        <v>13561</v>
      </c>
      <c r="Y11" s="23">
        <f>X11-W11</f>
        <v>0</v>
      </c>
      <c r="Z11" s="23"/>
      <c r="AA11" s="23"/>
      <c r="AB11" s="23">
        <f>AA11-Z11</f>
        <v>0</v>
      </c>
      <c r="AC11" s="23">
        <f>BY11-W11-Z11</f>
        <v>0</v>
      </c>
      <c r="AD11" s="23"/>
      <c r="AE11" s="23">
        <f>AD11-AC11</f>
        <v>0</v>
      </c>
      <c r="AF11" s="23">
        <f>Z11+AC11</f>
        <v>0</v>
      </c>
      <c r="AG11" s="23">
        <f>AA11+AD11</f>
        <v>0</v>
      </c>
      <c r="AH11" s="23">
        <f>AG11-AF11</f>
        <v>0</v>
      </c>
      <c r="AI11" s="21">
        <f t="shared" si="2"/>
        <v>13561</v>
      </c>
      <c r="AJ11" s="23">
        <f t="shared" si="3"/>
        <v>13561</v>
      </c>
      <c r="AK11" s="23">
        <f>AJ11-AI11</f>
        <v>0</v>
      </c>
      <c r="AL11" s="23">
        <v>10460</v>
      </c>
      <c r="AM11" s="23">
        <v>10460</v>
      </c>
      <c r="AN11" s="23">
        <f>AM11-AL11</f>
        <v>0</v>
      </c>
      <c r="AO11" s="23">
        <v>2601</v>
      </c>
      <c r="AP11" s="23">
        <v>2601</v>
      </c>
      <c r="AQ11" s="23">
        <f>AP11-AO11</f>
        <v>0</v>
      </c>
      <c r="AR11" s="23">
        <v>500</v>
      </c>
      <c r="AS11" s="23">
        <v>500</v>
      </c>
      <c r="AT11" s="23">
        <f>AS11-AR11</f>
        <v>0</v>
      </c>
      <c r="AU11" s="23"/>
      <c r="AV11" s="23"/>
      <c r="AW11" s="23">
        <f>AV11-AU11</f>
        <v>0</v>
      </c>
      <c r="AX11" s="23"/>
      <c r="AY11" s="23"/>
      <c r="AZ11" s="23">
        <f>AY11-AX11</f>
        <v>0</v>
      </c>
      <c r="BA11" s="23"/>
      <c r="BB11" s="23"/>
      <c r="BC11" s="23">
        <f>BB11-BA11</f>
        <v>0</v>
      </c>
      <c r="BD11" s="23">
        <f>AX11+BA11</f>
        <v>0</v>
      </c>
      <c r="BE11" s="23">
        <f>AY11+BB11</f>
        <v>0</v>
      </c>
      <c r="BF11" s="23">
        <f>BE11-BD11</f>
        <v>0</v>
      </c>
      <c r="BG11" s="23"/>
      <c r="BH11" s="23"/>
      <c r="BI11" s="23">
        <f>BH11-BG11</f>
        <v>0</v>
      </c>
      <c r="BJ11" s="23"/>
      <c r="BK11" s="23"/>
      <c r="BL11" s="23">
        <f>BK11-BJ11</f>
        <v>0</v>
      </c>
      <c r="BM11" s="23"/>
      <c r="BN11" s="23"/>
      <c r="BO11" s="23">
        <f>BN11-BM11</f>
        <v>0</v>
      </c>
      <c r="BP11" s="23"/>
      <c r="BQ11" s="23"/>
      <c r="BR11" s="23">
        <f>BQ11-BP11</f>
        <v>0</v>
      </c>
      <c r="BS11" s="23">
        <f>BM11+BP11</f>
        <v>0</v>
      </c>
      <c r="BT11" s="23">
        <f>BN11+BQ11</f>
        <v>0</v>
      </c>
      <c r="BU11" s="23">
        <f>BT11-BS11</f>
        <v>0</v>
      </c>
      <c r="BV11" s="23"/>
      <c r="BW11" s="23"/>
      <c r="BX11" s="23">
        <f>BW11-BV11</f>
        <v>0</v>
      </c>
      <c r="BY11" s="21">
        <f t="shared" si="6"/>
        <v>13561</v>
      </c>
      <c r="BZ11" s="21">
        <f t="shared" si="7"/>
        <v>13561</v>
      </c>
      <c r="CA11" s="23">
        <f>BZ11-BY11</f>
        <v>0</v>
      </c>
      <c r="CB11" s="45">
        <v>3.5</v>
      </c>
      <c r="CC11" s="45"/>
      <c r="CD11" s="45"/>
      <c r="CE11" s="45">
        <f>SUM(CB11:CD11)</f>
        <v>3.5</v>
      </c>
    </row>
    <row r="12" spans="1:83" s="22" customFormat="1" ht="27" customHeight="1">
      <c r="A12" s="180" t="s">
        <v>25</v>
      </c>
      <c r="B12" s="21">
        <f aca="true" t="shared" si="10" ref="B12:AE12">B10+B9</f>
        <v>24018</v>
      </c>
      <c r="C12" s="21">
        <f t="shared" si="10"/>
        <v>25550</v>
      </c>
      <c r="D12" s="21">
        <f t="shared" si="10"/>
        <v>1532</v>
      </c>
      <c r="E12" s="21">
        <f t="shared" si="10"/>
        <v>0</v>
      </c>
      <c r="F12" s="21">
        <f t="shared" si="10"/>
        <v>0</v>
      </c>
      <c r="G12" s="21">
        <f t="shared" si="10"/>
        <v>0</v>
      </c>
      <c r="H12" s="21">
        <f t="shared" si="10"/>
        <v>72266</v>
      </c>
      <c r="I12" s="21">
        <f t="shared" si="10"/>
        <v>72266</v>
      </c>
      <c r="J12" s="21">
        <f t="shared" si="10"/>
        <v>0</v>
      </c>
      <c r="K12" s="21">
        <f t="shared" si="10"/>
        <v>1039</v>
      </c>
      <c r="L12" s="21">
        <f t="shared" si="10"/>
        <v>1039</v>
      </c>
      <c r="M12" s="21">
        <f t="shared" si="10"/>
        <v>0</v>
      </c>
      <c r="N12" s="21">
        <f t="shared" si="10"/>
        <v>0</v>
      </c>
      <c r="O12" s="21">
        <f t="shared" si="10"/>
        <v>0</v>
      </c>
      <c r="P12" s="21">
        <f t="shared" si="10"/>
        <v>0</v>
      </c>
      <c r="Q12" s="21">
        <f t="shared" si="10"/>
        <v>0</v>
      </c>
      <c r="R12" s="21">
        <f t="shared" si="10"/>
        <v>0</v>
      </c>
      <c r="S12" s="21">
        <f t="shared" si="10"/>
        <v>0</v>
      </c>
      <c r="T12" s="21">
        <f t="shared" si="10"/>
        <v>0</v>
      </c>
      <c r="U12" s="21">
        <f t="shared" si="10"/>
        <v>0</v>
      </c>
      <c r="V12" s="21">
        <f t="shared" si="10"/>
        <v>0</v>
      </c>
      <c r="W12" s="21">
        <f t="shared" si="10"/>
        <v>97323</v>
      </c>
      <c r="X12" s="21">
        <f t="shared" si="10"/>
        <v>98855</v>
      </c>
      <c r="Y12" s="21">
        <f t="shared" si="10"/>
        <v>1532</v>
      </c>
      <c r="Z12" s="21">
        <f t="shared" si="10"/>
        <v>0</v>
      </c>
      <c r="AA12" s="21">
        <f t="shared" si="10"/>
        <v>12975</v>
      </c>
      <c r="AB12" s="21">
        <f t="shared" si="10"/>
        <v>12975</v>
      </c>
      <c r="AC12" s="21">
        <f t="shared" si="10"/>
        <v>377078</v>
      </c>
      <c r="AD12" s="21">
        <f t="shared" si="10"/>
        <v>373985</v>
      </c>
      <c r="AE12" s="21">
        <f t="shared" si="10"/>
        <v>-3093</v>
      </c>
      <c r="AF12" s="21">
        <f>AF9+AF10</f>
        <v>377078</v>
      </c>
      <c r="AG12" s="21">
        <f>AG9+AG10</f>
        <v>386960</v>
      </c>
      <c r="AH12" s="21">
        <f>AH10+AH9</f>
        <v>9882</v>
      </c>
      <c r="AI12" s="21">
        <f t="shared" si="2"/>
        <v>474401</v>
      </c>
      <c r="AJ12" s="21">
        <f t="shared" si="3"/>
        <v>485815</v>
      </c>
      <c r="AK12" s="21">
        <f aca="true" t="shared" si="11" ref="AK12:BX12">AK10+AK9</f>
        <v>11414</v>
      </c>
      <c r="AL12" s="21">
        <f t="shared" si="11"/>
        <v>248751</v>
      </c>
      <c r="AM12" s="21">
        <f t="shared" si="11"/>
        <v>250925</v>
      </c>
      <c r="AN12" s="21">
        <f t="shared" si="11"/>
        <v>2174</v>
      </c>
      <c r="AO12" s="21">
        <f t="shared" si="11"/>
        <v>71999</v>
      </c>
      <c r="AP12" s="21">
        <f t="shared" si="11"/>
        <v>72419</v>
      </c>
      <c r="AQ12" s="21">
        <f t="shared" si="11"/>
        <v>420</v>
      </c>
      <c r="AR12" s="21">
        <f t="shared" si="11"/>
        <v>150596</v>
      </c>
      <c r="AS12" s="21">
        <f t="shared" si="11"/>
        <v>156724</v>
      </c>
      <c r="AT12" s="21">
        <f t="shared" si="11"/>
        <v>6128</v>
      </c>
      <c r="AU12" s="21">
        <f t="shared" si="11"/>
        <v>0</v>
      </c>
      <c r="AV12" s="21">
        <f t="shared" si="11"/>
        <v>0</v>
      </c>
      <c r="AW12" s="21">
        <f t="shared" si="11"/>
        <v>0</v>
      </c>
      <c r="AX12" s="21">
        <f t="shared" si="11"/>
        <v>0</v>
      </c>
      <c r="AY12" s="21">
        <f t="shared" si="11"/>
        <v>540</v>
      </c>
      <c r="AZ12" s="21">
        <f t="shared" si="11"/>
        <v>540</v>
      </c>
      <c r="BA12" s="21">
        <f t="shared" si="11"/>
        <v>0</v>
      </c>
      <c r="BB12" s="21">
        <f t="shared" si="11"/>
        <v>0</v>
      </c>
      <c r="BC12" s="21">
        <f t="shared" si="11"/>
        <v>0</v>
      </c>
      <c r="BD12" s="21">
        <f t="shared" si="11"/>
        <v>0</v>
      </c>
      <c r="BE12" s="21">
        <f t="shared" si="11"/>
        <v>540</v>
      </c>
      <c r="BF12" s="21">
        <f t="shared" si="11"/>
        <v>540</v>
      </c>
      <c r="BG12" s="21">
        <f t="shared" si="11"/>
        <v>3055</v>
      </c>
      <c r="BH12" s="21">
        <f t="shared" si="11"/>
        <v>5207</v>
      </c>
      <c r="BI12" s="21">
        <f t="shared" si="11"/>
        <v>2152</v>
      </c>
      <c r="BJ12" s="21">
        <f t="shared" si="11"/>
        <v>0</v>
      </c>
      <c r="BK12" s="21">
        <f t="shared" si="11"/>
        <v>0</v>
      </c>
      <c r="BL12" s="21">
        <f t="shared" si="11"/>
        <v>0</v>
      </c>
      <c r="BM12" s="21">
        <f t="shared" si="11"/>
        <v>0</v>
      </c>
      <c r="BN12" s="21">
        <f t="shared" si="11"/>
        <v>0</v>
      </c>
      <c r="BO12" s="21">
        <f t="shared" si="11"/>
        <v>0</v>
      </c>
      <c r="BP12" s="21">
        <f t="shared" si="11"/>
        <v>0</v>
      </c>
      <c r="BQ12" s="21">
        <f t="shared" si="11"/>
        <v>0</v>
      </c>
      <c r="BR12" s="21">
        <f t="shared" si="11"/>
        <v>0</v>
      </c>
      <c r="BS12" s="21">
        <f t="shared" si="11"/>
        <v>0</v>
      </c>
      <c r="BT12" s="21">
        <f t="shared" si="11"/>
        <v>0</v>
      </c>
      <c r="BU12" s="21">
        <f t="shared" si="11"/>
        <v>0</v>
      </c>
      <c r="BV12" s="21">
        <f t="shared" si="11"/>
        <v>0</v>
      </c>
      <c r="BW12" s="21">
        <f t="shared" si="11"/>
        <v>0</v>
      </c>
      <c r="BX12" s="21">
        <f t="shared" si="11"/>
        <v>0</v>
      </c>
      <c r="BY12" s="21">
        <f t="shared" si="6"/>
        <v>474401</v>
      </c>
      <c r="BZ12" s="21">
        <f t="shared" si="7"/>
        <v>485815</v>
      </c>
      <c r="CA12" s="21">
        <f>CA10+CA9</f>
        <v>11414</v>
      </c>
      <c r="CB12" s="44">
        <f>CB10+CB9</f>
        <v>64</v>
      </c>
      <c r="CC12" s="44">
        <f>CC10+CC9</f>
        <v>19.75</v>
      </c>
      <c r="CD12" s="44">
        <f>CD10+CD9</f>
        <v>7</v>
      </c>
      <c r="CE12" s="44">
        <f>CE10+CE9+CE6</f>
        <v>90.75</v>
      </c>
    </row>
    <row r="13" spans="1:83" ht="21.75" customHeight="1">
      <c r="A13" s="201" t="s">
        <v>51</v>
      </c>
      <c r="B13" s="23">
        <f>926525+2021-24018</f>
        <v>904528</v>
      </c>
      <c r="C13" s="23">
        <v>939927</v>
      </c>
      <c r="D13" s="23">
        <f>C13-B13</f>
        <v>35399</v>
      </c>
      <c r="E13" s="23">
        <v>394911</v>
      </c>
      <c r="F13" s="23">
        <v>382346</v>
      </c>
      <c r="G13" s="23">
        <f>F13-E13</f>
        <v>-12565</v>
      </c>
      <c r="H13" s="23">
        <v>71004</v>
      </c>
      <c r="I13" s="23">
        <v>80773</v>
      </c>
      <c r="J13" s="23">
        <f>I13-H13</f>
        <v>9769</v>
      </c>
      <c r="K13" s="23">
        <v>10320</v>
      </c>
      <c r="L13" s="23">
        <v>10320</v>
      </c>
      <c r="M13" s="23">
        <f>L13-K13</f>
        <v>0</v>
      </c>
      <c r="N13" s="23">
        <f>2177+12434+2600</f>
        <v>17211</v>
      </c>
      <c r="O13" s="23">
        <v>55692</v>
      </c>
      <c r="P13" s="23">
        <f>O13-N13</f>
        <v>38481</v>
      </c>
      <c r="Q13" s="23">
        <v>81349</v>
      </c>
      <c r="R13" s="23">
        <v>81349</v>
      </c>
      <c r="S13" s="23">
        <f>R13-Q13</f>
        <v>0</v>
      </c>
      <c r="T13" s="23">
        <v>65600</v>
      </c>
      <c r="U13" s="23">
        <v>17350</v>
      </c>
      <c r="V13" s="23">
        <f>U13-T13</f>
        <v>-48250</v>
      </c>
      <c r="W13" s="21">
        <f>B13+E13+H13+K13+N13+Q13+T13</f>
        <v>1544923</v>
      </c>
      <c r="X13" s="21">
        <f>C13+F13+I13+L13+O13+R13+U13</f>
        <v>1567757</v>
      </c>
      <c r="Y13" s="23">
        <f>X13-W13</f>
        <v>22834</v>
      </c>
      <c r="Z13" s="23">
        <f>152384+98027</f>
        <v>250411</v>
      </c>
      <c r="AA13" s="23">
        <v>307512</v>
      </c>
      <c r="AB13" s="23">
        <f>AA13-Z13</f>
        <v>57101</v>
      </c>
      <c r="AC13" s="23">
        <f>BY13-W13-Z13</f>
        <v>0</v>
      </c>
      <c r="AD13" s="23"/>
      <c r="AE13" s="23">
        <f>AD13-AC13</f>
        <v>0</v>
      </c>
      <c r="AF13" s="21">
        <f>Z13+AC13</f>
        <v>250411</v>
      </c>
      <c r="AG13" s="21">
        <f>AA13+AD13</f>
        <v>307512</v>
      </c>
      <c r="AH13" s="23">
        <f>AG13-AF13</f>
        <v>57101</v>
      </c>
      <c r="AI13" s="21">
        <f t="shared" si="2"/>
        <v>1795334</v>
      </c>
      <c r="AJ13" s="21">
        <f t="shared" si="3"/>
        <v>1875269</v>
      </c>
      <c r="AK13" s="23">
        <f>AJ13-AI13</f>
        <v>79935</v>
      </c>
      <c r="AL13" s="23">
        <f>19837+14746</f>
        <v>34583</v>
      </c>
      <c r="AM13" s="23">
        <v>41271</v>
      </c>
      <c r="AN13" s="23">
        <f>AM13-AL13</f>
        <v>6688</v>
      </c>
      <c r="AO13" s="23">
        <f>5360+4176</f>
        <v>9536</v>
      </c>
      <c r="AP13" s="23">
        <v>11097</v>
      </c>
      <c r="AQ13" s="23">
        <f>AP13-AO13</f>
        <v>1561</v>
      </c>
      <c r="AR13" s="23">
        <f>373081+39718</f>
        <v>412799</v>
      </c>
      <c r="AS13" s="23">
        <v>432243</v>
      </c>
      <c r="AT13" s="23">
        <f>AS13-AR13</f>
        <v>19444</v>
      </c>
      <c r="AU13" s="23">
        <v>39605</v>
      </c>
      <c r="AV13" s="23">
        <v>40400</v>
      </c>
      <c r="AW13" s="23">
        <f>AV13-AU13</f>
        <v>795</v>
      </c>
      <c r="AX13" s="23">
        <f>421035+27881+113976+13052</f>
        <v>575944</v>
      </c>
      <c r="AY13" s="23">
        <f>628776-37846</f>
        <v>590930</v>
      </c>
      <c r="AZ13" s="23">
        <f>AY13-AX13</f>
        <v>14986</v>
      </c>
      <c r="BA13" s="23">
        <v>32300</v>
      </c>
      <c r="BB13" s="23">
        <v>37846</v>
      </c>
      <c r="BC13" s="23">
        <f>BB13-BA13</f>
        <v>5546</v>
      </c>
      <c r="BD13" s="23">
        <f>AX13+BA13</f>
        <v>608244</v>
      </c>
      <c r="BE13" s="23">
        <f>AY13+BB13</f>
        <v>628776</v>
      </c>
      <c r="BF13" s="23">
        <f>BE13-BD13</f>
        <v>20532</v>
      </c>
      <c r="BG13" s="23">
        <f>247613-3055</f>
        <v>244558</v>
      </c>
      <c r="BH13" s="23">
        <v>135912</v>
      </c>
      <c r="BI13" s="23">
        <f>BH13-BG13</f>
        <v>-108646</v>
      </c>
      <c r="BJ13" s="23">
        <v>54047</v>
      </c>
      <c r="BK13" s="23">
        <v>171562</v>
      </c>
      <c r="BL13" s="23">
        <f>BK13-BJ13</f>
        <v>117515</v>
      </c>
      <c r="BM13" s="23">
        <f>14884</f>
        <v>14884</v>
      </c>
      <c r="BN13" s="23">
        <v>14884</v>
      </c>
      <c r="BO13" s="23">
        <f>BN13-BM13</f>
        <v>0</v>
      </c>
      <c r="BP13" s="23">
        <v>0</v>
      </c>
      <c r="BQ13" s="23"/>
      <c r="BR13" s="23">
        <f>BQ13-BP13</f>
        <v>0</v>
      </c>
      <c r="BS13" s="23">
        <f>BM13+BP13</f>
        <v>14884</v>
      </c>
      <c r="BT13" s="23">
        <f>BN13+BQ13</f>
        <v>14884</v>
      </c>
      <c r="BU13" s="23">
        <f>BT13-BS13</f>
        <v>0</v>
      </c>
      <c r="BV13" s="23">
        <f>AC12</f>
        <v>377078</v>
      </c>
      <c r="BW13" s="23">
        <v>399124</v>
      </c>
      <c r="BX13" s="23">
        <f>BW13-BV13</f>
        <v>22046</v>
      </c>
      <c r="BY13" s="21">
        <f t="shared" si="6"/>
        <v>1795334</v>
      </c>
      <c r="BZ13" s="21">
        <f t="shared" si="7"/>
        <v>1875269</v>
      </c>
      <c r="CA13" s="23">
        <f>BZ13-BY13</f>
        <v>79935</v>
      </c>
      <c r="CB13" s="45">
        <v>2.5</v>
      </c>
      <c r="CC13" s="45">
        <v>1.7</v>
      </c>
      <c r="CD13" s="45"/>
      <c r="CE13" s="45">
        <f>SUM(CB13:CD13)</f>
        <v>4.2</v>
      </c>
    </row>
    <row r="14" spans="1:84" s="22" customFormat="1" ht="27" customHeight="1">
      <c r="A14" s="180" t="s">
        <v>52</v>
      </c>
      <c r="B14" s="21">
        <f aca="true" t="shared" si="12" ref="B14:AH14">B12+B13</f>
        <v>928546</v>
      </c>
      <c r="C14" s="21">
        <f t="shared" si="12"/>
        <v>965477</v>
      </c>
      <c r="D14" s="21">
        <f t="shared" si="12"/>
        <v>36931</v>
      </c>
      <c r="E14" s="21">
        <f t="shared" si="12"/>
        <v>394911</v>
      </c>
      <c r="F14" s="21">
        <f t="shared" si="12"/>
        <v>382346</v>
      </c>
      <c r="G14" s="21">
        <f t="shared" si="12"/>
        <v>-12565</v>
      </c>
      <c r="H14" s="21">
        <f t="shared" si="12"/>
        <v>143270</v>
      </c>
      <c r="I14" s="21">
        <f t="shared" si="12"/>
        <v>153039</v>
      </c>
      <c r="J14" s="21">
        <f t="shared" si="12"/>
        <v>9769</v>
      </c>
      <c r="K14" s="21">
        <f t="shared" si="12"/>
        <v>11359</v>
      </c>
      <c r="L14" s="21">
        <f t="shared" si="12"/>
        <v>11359</v>
      </c>
      <c r="M14" s="21">
        <f t="shared" si="12"/>
        <v>0</v>
      </c>
      <c r="N14" s="21">
        <f t="shared" si="12"/>
        <v>17211</v>
      </c>
      <c r="O14" s="21">
        <f t="shared" si="12"/>
        <v>55692</v>
      </c>
      <c r="P14" s="21">
        <f t="shared" si="12"/>
        <v>38481</v>
      </c>
      <c r="Q14" s="21">
        <f t="shared" si="12"/>
        <v>81349</v>
      </c>
      <c r="R14" s="21">
        <f t="shared" si="12"/>
        <v>81349</v>
      </c>
      <c r="S14" s="21">
        <f t="shared" si="12"/>
        <v>0</v>
      </c>
      <c r="T14" s="21">
        <f t="shared" si="12"/>
        <v>65600</v>
      </c>
      <c r="U14" s="21">
        <f t="shared" si="12"/>
        <v>17350</v>
      </c>
      <c r="V14" s="21">
        <f t="shared" si="12"/>
        <v>-48250</v>
      </c>
      <c r="W14" s="21">
        <f t="shared" si="12"/>
        <v>1642246</v>
      </c>
      <c r="X14" s="21">
        <f t="shared" si="12"/>
        <v>1666612</v>
      </c>
      <c r="Y14" s="21">
        <f t="shared" si="12"/>
        <v>24366</v>
      </c>
      <c r="Z14" s="21">
        <f t="shared" si="12"/>
        <v>250411</v>
      </c>
      <c r="AA14" s="21">
        <f t="shared" si="12"/>
        <v>320487</v>
      </c>
      <c r="AB14" s="21">
        <f t="shared" si="12"/>
        <v>70076</v>
      </c>
      <c r="AC14" s="21">
        <f t="shared" si="12"/>
        <v>377078</v>
      </c>
      <c r="AD14" s="21">
        <f t="shared" si="12"/>
        <v>373985</v>
      </c>
      <c r="AE14" s="21">
        <f t="shared" si="12"/>
        <v>-3093</v>
      </c>
      <c r="AF14" s="21">
        <f t="shared" si="12"/>
        <v>627489</v>
      </c>
      <c r="AG14" s="21">
        <f t="shared" si="12"/>
        <v>694472</v>
      </c>
      <c r="AH14" s="21">
        <f t="shared" si="12"/>
        <v>66983</v>
      </c>
      <c r="AI14" s="21">
        <f t="shared" si="2"/>
        <v>2269735</v>
      </c>
      <c r="AJ14" s="21">
        <f t="shared" si="3"/>
        <v>2361084</v>
      </c>
      <c r="AK14" s="21">
        <f aca="true" t="shared" si="13" ref="AK14:BX14">AK12+AK13</f>
        <v>91349</v>
      </c>
      <c r="AL14" s="21">
        <f t="shared" si="13"/>
        <v>283334</v>
      </c>
      <c r="AM14" s="21">
        <f t="shared" si="13"/>
        <v>292196</v>
      </c>
      <c r="AN14" s="21">
        <f t="shared" si="13"/>
        <v>8862</v>
      </c>
      <c r="AO14" s="21">
        <f t="shared" si="13"/>
        <v>81535</v>
      </c>
      <c r="AP14" s="21">
        <f t="shared" si="13"/>
        <v>83516</v>
      </c>
      <c r="AQ14" s="21">
        <f t="shared" si="13"/>
        <v>1981</v>
      </c>
      <c r="AR14" s="21">
        <f t="shared" si="13"/>
        <v>563395</v>
      </c>
      <c r="AS14" s="21">
        <f t="shared" si="13"/>
        <v>588967</v>
      </c>
      <c r="AT14" s="21">
        <f t="shared" si="13"/>
        <v>25572</v>
      </c>
      <c r="AU14" s="21">
        <f t="shared" si="13"/>
        <v>39605</v>
      </c>
      <c r="AV14" s="21">
        <f t="shared" si="13"/>
        <v>40400</v>
      </c>
      <c r="AW14" s="21">
        <f t="shared" si="13"/>
        <v>795</v>
      </c>
      <c r="AX14" s="21">
        <f t="shared" si="13"/>
        <v>575944</v>
      </c>
      <c r="AY14" s="21">
        <f t="shared" si="13"/>
        <v>591470</v>
      </c>
      <c r="AZ14" s="21">
        <f t="shared" si="13"/>
        <v>15526</v>
      </c>
      <c r="BA14" s="21">
        <f t="shared" si="13"/>
        <v>32300</v>
      </c>
      <c r="BB14" s="21">
        <f t="shared" si="13"/>
        <v>37846</v>
      </c>
      <c r="BC14" s="21">
        <f t="shared" si="13"/>
        <v>5546</v>
      </c>
      <c r="BD14" s="21">
        <f t="shared" si="13"/>
        <v>608244</v>
      </c>
      <c r="BE14" s="21">
        <f t="shared" si="13"/>
        <v>629316</v>
      </c>
      <c r="BF14" s="21">
        <f t="shared" si="13"/>
        <v>21072</v>
      </c>
      <c r="BG14" s="21">
        <f t="shared" si="13"/>
        <v>247613</v>
      </c>
      <c r="BH14" s="21">
        <f t="shared" si="13"/>
        <v>141119</v>
      </c>
      <c r="BI14" s="21">
        <f t="shared" si="13"/>
        <v>-106494</v>
      </c>
      <c r="BJ14" s="21">
        <f t="shared" si="13"/>
        <v>54047</v>
      </c>
      <c r="BK14" s="21">
        <f t="shared" si="13"/>
        <v>171562</v>
      </c>
      <c r="BL14" s="21">
        <f t="shared" si="13"/>
        <v>117515</v>
      </c>
      <c r="BM14" s="21">
        <f t="shared" si="13"/>
        <v>14884</v>
      </c>
      <c r="BN14" s="21">
        <f t="shared" si="13"/>
        <v>14884</v>
      </c>
      <c r="BO14" s="21">
        <f t="shared" si="13"/>
        <v>0</v>
      </c>
      <c r="BP14" s="21">
        <f t="shared" si="13"/>
        <v>0</v>
      </c>
      <c r="BQ14" s="21">
        <f t="shared" si="13"/>
        <v>0</v>
      </c>
      <c r="BR14" s="21">
        <f t="shared" si="13"/>
        <v>0</v>
      </c>
      <c r="BS14" s="21">
        <f t="shared" si="13"/>
        <v>14884</v>
      </c>
      <c r="BT14" s="21">
        <f t="shared" si="13"/>
        <v>14884</v>
      </c>
      <c r="BU14" s="21">
        <f t="shared" si="13"/>
        <v>0</v>
      </c>
      <c r="BV14" s="21">
        <f t="shared" si="13"/>
        <v>377078</v>
      </c>
      <c r="BW14" s="21">
        <f t="shared" si="13"/>
        <v>399124</v>
      </c>
      <c r="BX14" s="21">
        <f t="shared" si="13"/>
        <v>22046</v>
      </c>
      <c r="BY14" s="21">
        <f t="shared" si="6"/>
        <v>2269735</v>
      </c>
      <c r="BZ14" s="21">
        <f t="shared" si="7"/>
        <v>2361084</v>
      </c>
      <c r="CA14" s="21">
        <f>CA12+CA13</f>
        <v>91349</v>
      </c>
      <c r="CB14" s="44">
        <f>CB12+CB13</f>
        <v>66.5</v>
      </c>
      <c r="CC14" s="44">
        <f>CC12+CC13</f>
        <v>21.45</v>
      </c>
      <c r="CD14" s="44">
        <f>CD12+CD13</f>
        <v>7</v>
      </c>
      <c r="CE14" s="44">
        <f>CE12+CE13</f>
        <v>94.95</v>
      </c>
      <c r="CF14" s="22" t="s">
        <v>265</v>
      </c>
    </row>
    <row r="15" spans="1:83" s="22" customFormat="1" ht="27" customHeight="1">
      <c r="A15" s="180" t="s">
        <v>185</v>
      </c>
      <c r="B15" s="21">
        <f aca="true" t="shared" si="14" ref="B15:AB15">B14</f>
        <v>928546</v>
      </c>
      <c r="C15" s="21">
        <f t="shared" si="14"/>
        <v>965477</v>
      </c>
      <c r="D15" s="21">
        <f t="shared" si="14"/>
        <v>36931</v>
      </c>
      <c r="E15" s="21">
        <f t="shared" si="14"/>
        <v>394911</v>
      </c>
      <c r="F15" s="21">
        <f t="shared" si="14"/>
        <v>382346</v>
      </c>
      <c r="G15" s="21">
        <f t="shared" si="14"/>
        <v>-12565</v>
      </c>
      <c r="H15" s="21">
        <f t="shared" si="14"/>
        <v>143270</v>
      </c>
      <c r="I15" s="21">
        <f t="shared" si="14"/>
        <v>153039</v>
      </c>
      <c r="J15" s="21">
        <f t="shared" si="14"/>
        <v>9769</v>
      </c>
      <c r="K15" s="21">
        <f t="shared" si="14"/>
        <v>11359</v>
      </c>
      <c r="L15" s="21">
        <f t="shared" si="14"/>
        <v>11359</v>
      </c>
      <c r="M15" s="21">
        <f t="shared" si="14"/>
        <v>0</v>
      </c>
      <c r="N15" s="21">
        <f t="shared" si="14"/>
        <v>17211</v>
      </c>
      <c r="O15" s="21">
        <f t="shared" si="14"/>
        <v>55692</v>
      </c>
      <c r="P15" s="21">
        <f t="shared" si="14"/>
        <v>38481</v>
      </c>
      <c r="Q15" s="21">
        <f t="shared" si="14"/>
        <v>81349</v>
      </c>
      <c r="R15" s="21">
        <f t="shared" si="14"/>
        <v>81349</v>
      </c>
      <c r="S15" s="21">
        <f t="shared" si="14"/>
        <v>0</v>
      </c>
      <c r="T15" s="21">
        <f t="shared" si="14"/>
        <v>65600</v>
      </c>
      <c r="U15" s="21">
        <f t="shared" si="14"/>
        <v>17350</v>
      </c>
      <c r="V15" s="21">
        <f t="shared" si="14"/>
        <v>-48250</v>
      </c>
      <c r="W15" s="21">
        <f t="shared" si="14"/>
        <v>1642246</v>
      </c>
      <c r="X15" s="21">
        <f t="shared" si="14"/>
        <v>1666612</v>
      </c>
      <c r="Y15" s="21">
        <f t="shared" si="14"/>
        <v>24366</v>
      </c>
      <c r="Z15" s="21">
        <f t="shared" si="14"/>
        <v>250411</v>
      </c>
      <c r="AA15" s="21">
        <f t="shared" si="14"/>
        <v>320487</v>
      </c>
      <c r="AB15" s="21">
        <f t="shared" si="14"/>
        <v>70076</v>
      </c>
      <c r="AC15" s="21">
        <f>AC14-AC12</f>
        <v>0</v>
      </c>
      <c r="AD15" s="21">
        <f>AD14-AD12</f>
        <v>0</v>
      </c>
      <c r="AE15" s="23">
        <f>AD15-AC15</f>
        <v>0</v>
      </c>
      <c r="AF15" s="21">
        <f>Z15+AC15</f>
        <v>250411</v>
      </c>
      <c r="AG15" s="21">
        <f>AA15+AD15</f>
        <v>320487</v>
      </c>
      <c r="AH15" s="21">
        <f>AH14</f>
        <v>66983</v>
      </c>
      <c r="AI15" s="21">
        <f t="shared" si="2"/>
        <v>1892657</v>
      </c>
      <c r="AJ15" s="21">
        <f t="shared" si="3"/>
        <v>1987099</v>
      </c>
      <c r="AK15" s="21">
        <f>AJ15-AI15</f>
        <v>94442</v>
      </c>
      <c r="AL15" s="21">
        <f aca="true" t="shared" si="15" ref="AL15:BU15">AL14</f>
        <v>283334</v>
      </c>
      <c r="AM15" s="21">
        <f t="shared" si="15"/>
        <v>292196</v>
      </c>
      <c r="AN15" s="21">
        <f t="shared" si="15"/>
        <v>8862</v>
      </c>
      <c r="AO15" s="21">
        <f t="shared" si="15"/>
        <v>81535</v>
      </c>
      <c r="AP15" s="21">
        <f t="shared" si="15"/>
        <v>83516</v>
      </c>
      <c r="AQ15" s="21">
        <f t="shared" si="15"/>
        <v>1981</v>
      </c>
      <c r="AR15" s="21">
        <f t="shared" si="15"/>
        <v>563395</v>
      </c>
      <c r="AS15" s="21">
        <f t="shared" si="15"/>
        <v>588967</v>
      </c>
      <c r="AT15" s="21">
        <f t="shared" si="15"/>
        <v>25572</v>
      </c>
      <c r="AU15" s="21">
        <f t="shared" si="15"/>
        <v>39605</v>
      </c>
      <c r="AV15" s="21">
        <f t="shared" si="15"/>
        <v>40400</v>
      </c>
      <c r="AW15" s="21">
        <f t="shared" si="15"/>
        <v>795</v>
      </c>
      <c r="AX15" s="21">
        <f t="shared" si="15"/>
        <v>575944</v>
      </c>
      <c r="AY15" s="21">
        <f t="shared" si="15"/>
        <v>591470</v>
      </c>
      <c r="AZ15" s="21">
        <f t="shared" si="15"/>
        <v>15526</v>
      </c>
      <c r="BA15" s="21">
        <f t="shared" si="15"/>
        <v>32300</v>
      </c>
      <c r="BB15" s="21">
        <f t="shared" si="15"/>
        <v>37846</v>
      </c>
      <c r="BC15" s="21">
        <f t="shared" si="15"/>
        <v>5546</v>
      </c>
      <c r="BD15" s="21">
        <f t="shared" si="15"/>
        <v>608244</v>
      </c>
      <c r="BE15" s="21">
        <f t="shared" si="15"/>
        <v>629316</v>
      </c>
      <c r="BF15" s="21">
        <f t="shared" si="15"/>
        <v>21072</v>
      </c>
      <c r="BG15" s="21">
        <f t="shared" si="15"/>
        <v>247613</v>
      </c>
      <c r="BH15" s="21">
        <f t="shared" si="15"/>
        <v>141119</v>
      </c>
      <c r="BI15" s="21">
        <f t="shared" si="15"/>
        <v>-106494</v>
      </c>
      <c r="BJ15" s="21">
        <f t="shared" si="15"/>
        <v>54047</v>
      </c>
      <c r="BK15" s="21">
        <f t="shared" si="15"/>
        <v>171562</v>
      </c>
      <c r="BL15" s="21">
        <f t="shared" si="15"/>
        <v>117515</v>
      </c>
      <c r="BM15" s="21">
        <f t="shared" si="15"/>
        <v>14884</v>
      </c>
      <c r="BN15" s="21">
        <f t="shared" si="15"/>
        <v>14884</v>
      </c>
      <c r="BO15" s="21">
        <f t="shared" si="15"/>
        <v>0</v>
      </c>
      <c r="BP15" s="21">
        <f t="shared" si="15"/>
        <v>0</v>
      </c>
      <c r="BQ15" s="21">
        <f t="shared" si="15"/>
        <v>0</v>
      </c>
      <c r="BR15" s="21">
        <f t="shared" si="15"/>
        <v>0</v>
      </c>
      <c r="BS15" s="21">
        <f t="shared" si="15"/>
        <v>14884</v>
      </c>
      <c r="BT15" s="21">
        <f t="shared" si="15"/>
        <v>14884</v>
      </c>
      <c r="BU15" s="21">
        <f t="shared" si="15"/>
        <v>0</v>
      </c>
      <c r="BV15" s="21">
        <f>BV14-BV13</f>
        <v>0</v>
      </c>
      <c r="BW15" s="21">
        <f>BW14-AD14</f>
        <v>25139</v>
      </c>
      <c r="BX15" s="21">
        <f>BW15-BV15</f>
        <v>25139</v>
      </c>
      <c r="BY15" s="21">
        <f t="shared" si="6"/>
        <v>1892657</v>
      </c>
      <c r="BZ15" s="21">
        <f t="shared" si="7"/>
        <v>1987099</v>
      </c>
      <c r="CA15" s="21">
        <f>BZ15-BY15</f>
        <v>94442</v>
      </c>
      <c r="CB15" s="44"/>
      <c r="CC15" s="44"/>
      <c r="CD15" s="44"/>
      <c r="CE15" s="44"/>
    </row>
    <row r="16" spans="1:80" s="22" customFormat="1" ht="14.25" customHeight="1">
      <c r="A16" s="179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</row>
    <row r="17" spans="1:80" s="22" customFormat="1" ht="26.25" customHeight="1">
      <c r="A17" s="180" t="s">
        <v>76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</row>
    <row r="18" spans="1:79" s="23" customFormat="1" ht="15.75" customHeight="1">
      <c r="A18" s="23" t="s">
        <v>73</v>
      </c>
      <c r="B18" s="23">
        <v>926525</v>
      </c>
      <c r="C18" s="23">
        <f>B18+332+12160+1243</f>
        <v>940260</v>
      </c>
      <c r="D18" s="23">
        <f>C18-B18</f>
        <v>13735</v>
      </c>
      <c r="E18" s="23">
        <v>394911</v>
      </c>
      <c r="F18" s="23">
        <f>E18-12565</f>
        <v>382346</v>
      </c>
      <c r="G18" s="23">
        <f>F18-E18</f>
        <v>-12565</v>
      </c>
      <c r="H18" s="23">
        <v>102219</v>
      </c>
      <c r="I18" s="23">
        <f>H18+9769</f>
        <v>111988</v>
      </c>
      <c r="J18" s="23">
        <f>I18-H18</f>
        <v>9769</v>
      </c>
      <c r="M18" s="23">
        <f>L18-K18</f>
        <v>0</v>
      </c>
      <c r="N18" s="23">
        <v>17211</v>
      </c>
      <c r="O18" s="23">
        <f>N18+38481</f>
        <v>55692</v>
      </c>
      <c r="P18" s="23">
        <f>O18-N18</f>
        <v>38481</v>
      </c>
      <c r="Q18" s="23">
        <v>81349</v>
      </c>
      <c r="R18" s="23">
        <f>Q18</f>
        <v>81349</v>
      </c>
      <c r="S18" s="23">
        <f>R18-Q18</f>
        <v>0</v>
      </c>
      <c r="T18" s="23">
        <f>65600-8450</f>
        <v>57150</v>
      </c>
      <c r="U18" s="23">
        <f>T18-48250</f>
        <v>8900</v>
      </c>
      <c r="V18" s="23">
        <f>U18-T18</f>
        <v>-48250</v>
      </c>
      <c r="W18" s="21">
        <f aca="true" t="shared" si="16" ref="W18:X20">B18+E18+H18+K18+N18+Q18+T18</f>
        <v>1579365</v>
      </c>
      <c r="X18" s="21">
        <f t="shared" si="16"/>
        <v>1580535</v>
      </c>
      <c r="Y18" s="23">
        <f>X18-W18</f>
        <v>1170</v>
      </c>
      <c r="Z18" s="23">
        <v>250411</v>
      </c>
      <c r="AA18" s="23">
        <f>Z18+70076</f>
        <v>320487</v>
      </c>
      <c r="AB18" s="23">
        <f>AA18-Z18</f>
        <v>70076</v>
      </c>
      <c r="AF18" s="21">
        <f aca="true" t="shared" si="17" ref="AF18:AG20">Z18+AC18</f>
        <v>250411</v>
      </c>
      <c r="AG18" s="21">
        <f t="shared" si="17"/>
        <v>320487</v>
      </c>
      <c r="AH18" s="23">
        <f>AG18-AF18</f>
        <v>70076</v>
      </c>
      <c r="AI18" s="21">
        <f aca="true" t="shared" si="18" ref="AI18:AJ21">W18+AF18</f>
        <v>1829776</v>
      </c>
      <c r="AJ18" s="21">
        <f t="shared" si="18"/>
        <v>1901022</v>
      </c>
      <c r="AK18" s="23">
        <f>AJ18-AI18</f>
        <v>71246</v>
      </c>
      <c r="AL18" s="23">
        <v>197950</v>
      </c>
      <c r="AM18" s="23">
        <f>AL18+2174</f>
        <v>200124</v>
      </c>
      <c r="AN18" s="23">
        <f>AM18-AL18</f>
        <v>2174</v>
      </c>
      <c r="AO18" s="23">
        <v>56550</v>
      </c>
      <c r="AP18" s="23">
        <f>AO18+420</f>
        <v>56970</v>
      </c>
      <c r="AQ18" s="23">
        <f>AP18-AO18</f>
        <v>420</v>
      </c>
      <c r="AR18" s="23">
        <v>465803</v>
      </c>
      <c r="AS18" s="23">
        <f>AR18+13316+1946+350+2933+387-688</f>
        <v>484047</v>
      </c>
      <c r="AT18" s="23">
        <f>AS18-AR18</f>
        <v>18244</v>
      </c>
      <c r="AU18" s="23">
        <v>39605</v>
      </c>
      <c r="AV18" s="23">
        <v>40400</v>
      </c>
      <c r="AW18" s="23">
        <f>AV18-AU18</f>
        <v>795</v>
      </c>
      <c r="AX18" s="23">
        <f>421035+27881+113976</f>
        <v>562892</v>
      </c>
      <c r="AY18" s="23">
        <f>AX18+540+6895+6743+1243+105</f>
        <v>578418</v>
      </c>
      <c r="AZ18" s="23">
        <f>AY18-AX18</f>
        <v>15526</v>
      </c>
      <c r="BA18" s="23">
        <v>31000</v>
      </c>
      <c r="BB18" s="23">
        <f>BA18+5546</f>
        <v>36546</v>
      </c>
      <c r="BC18" s="23">
        <f>BB18-BA18</f>
        <v>5546</v>
      </c>
      <c r="BD18" s="23">
        <f>AX18+BA18</f>
        <v>593892</v>
      </c>
      <c r="BE18" s="23">
        <f>AY18+BB18</f>
        <v>614964</v>
      </c>
      <c r="BF18" s="23">
        <f>BE18-BD18</f>
        <v>21072</v>
      </c>
      <c r="BG18" s="23">
        <f>247613-BG19</f>
        <v>241213</v>
      </c>
      <c r="BH18" s="23">
        <f>BG18-106494-635</f>
        <v>134084</v>
      </c>
      <c r="BI18" s="23">
        <f>BH18-BG18</f>
        <v>-107129</v>
      </c>
      <c r="BJ18" s="23">
        <v>54047</v>
      </c>
      <c r="BK18" s="23">
        <f>BJ18+117515</f>
        <v>171562</v>
      </c>
      <c r="BL18" s="23">
        <f>BK18-BJ18</f>
        <v>117515</v>
      </c>
      <c r="BM18" s="23">
        <f>BM15-BM19</f>
        <v>12434</v>
      </c>
      <c r="BN18" s="23">
        <f>BM18</f>
        <v>12434</v>
      </c>
      <c r="BO18" s="23">
        <f>BN18-BM18</f>
        <v>0</v>
      </c>
      <c r="BP18" s="23">
        <v>0</v>
      </c>
      <c r="BR18" s="23">
        <f>BQ18-BP18</f>
        <v>0</v>
      </c>
      <c r="BS18" s="23">
        <f aca="true" t="shared" si="19" ref="BS18:BT20">BM18+BP18</f>
        <v>12434</v>
      </c>
      <c r="BT18" s="23">
        <f t="shared" si="19"/>
        <v>12434</v>
      </c>
      <c r="BU18" s="23">
        <f>BT18-BS18</f>
        <v>0</v>
      </c>
      <c r="BV18" s="23">
        <v>0</v>
      </c>
      <c r="BW18" s="23">
        <v>25139</v>
      </c>
      <c r="BX18" s="23">
        <f>BW18-BV18</f>
        <v>25139</v>
      </c>
      <c r="BY18" s="21">
        <f aca="true" t="shared" si="20" ref="BY18:BZ20">AL18+AO18+AR18+AU18+BD18+BG18+BJ18+BS18+BV18</f>
        <v>1661494</v>
      </c>
      <c r="BZ18" s="21">
        <f t="shared" si="20"/>
        <v>1739724</v>
      </c>
      <c r="CA18" s="23">
        <f>BZ18-BY18</f>
        <v>78230</v>
      </c>
    </row>
    <row r="19" spans="1:79" s="23" customFormat="1" ht="15.75" customHeight="1">
      <c r="A19" s="23" t="s">
        <v>74</v>
      </c>
      <c r="B19" s="23">
        <v>2021</v>
      </c>
      <c r="C19" s="23">
        <f>B19+500+700+21996</f>
        <v>25217</v>
      </c>
      <c r="D19" s="23">
        <f>C19-B19</f>
        <v>23196</v>
      </c>
      <c r="G19" s="23">
        <f>F19-E19</f>
        <v>0</v>
      </c>
      <c r="H19" s="23">
        <v>41051</v>
      </c>
      <c r="I19" s="23">
        <f>H19</f>
        <v>41051</v>
      </c>
      <c r="J19" s="23">
        <f>I19-H19</f>
        <v>0</v>
      </c>
      <c r="K19" s="23">
        <v>11359</v>
      </c>
      <c r="L19" s="23">
        <v>11359</v>
      </c>
      <c r="M19" s="23">
        <f>L19-K19</f>
        <v>0</v>
      </c>
      <c r="P19" s="23">
        <f>O19-N19</f>
        <v>0</v>
      </c>
      <c r="S19" s="23">
        <f>R19-Q19</f>
        <v>0</v>
      </c>
      <c r="T19" s="23">
        <v>8450</v>
      </c>
      <c r="U19" s="23">
        <f>T19</f>
        <v>8450</v>
      </c>
      <c r="V19" s="23">
        <f>U19-T19</f>
        <v>0</v>
      </c>
      <c r="W19" s="21">
        <f t="shared" si="16"/>
        <v>62881</v>
      </c>
      <c r="X19" s="21">
        <f t="shared" si="16"/>
        <v>86077</v>
      </c>
      <c r="Y19" s="23">
        <f>X19-W19</f>
        <v>23196</v>
      </c>
      <c r="AB19" s="23">
        <f>AA19-Z19</f>
        <v>0</v>
      </c>
      <c r="AF19" s="21">
        <f t="shared" si="17"/>
        <v>0</v>
      </c>
      <c r="AG19" s="21">
        <f t="shared" si="17"/>
        <v>0</v>
      </c>
      <c r="AH19" s="23">
        <f>AG19-AF19</f>
        <v>0</v>
      </c>
      <c r="AI19" s="21">
        <f t="shared" si="18"/>
        <v>62881</v>
      </c>
      <c r="AJ19" s="21">
        <f t="shared" si="18"/>
        <v>86077</v>
      </c>
      <c r="AK19" s="23">
        <f>AJ19-AI19</f>
        <v>23196</v>
      </c>
      <c r="AL19" s="23">
        <v>26116</v>
      </c>
      <c r="AM19" s="23">
        <f>AL19+6688</f>
        <v>32804</v>
      </c>
      <c r="AN19" s="23">
        <f>AM19-AL19</f>
        <v>6688</v>
      </c>
      <c r="AO19" s="23">
        <v>7449</v>
      </c>
      <c r="AP19" s="23">
        <f>AO19+1561</f>
        <v>9010</v>
      </c>
      <c r="AQ19" s="23">
        <f>AP19-AO19</f>
        <v>1561</v>
      </c>
      <c r="AR19" s="23">
        <v>75492</v>
      </c>
      <c r="AS19" s="23">
        <f>AR19+6128+500+700</f>
        <v>82820</v>
      </c>
      <c r="AT19" s="23">
        <f>AS19-AR19</f>
        <v>7328</v>
      </c>
      <c r="AW19" s="23">
        <f>AV19-AU19</f>
        <v>0</v>
      </c>
      <c r="AX19" s="23">
        <v>13052</v>
      </c>
      <c r="AY19" s="23">
        <f>AX19</f>
        <v>13052</v>
      </c>
      <c r="AZ19" s="23">
        <f>AY19-AX19</f>
        <v>0</v>
      </c>
      <c r="BA19" s="23">
        <v>1300</v>
      </c>
      <c r="BB19" s="23">
        <f>BA19</f>
        <v>1300</v>
      </c>
      <c r="BC19" s="23">
        <f>BB19-BA19</f>
        <v>0</v>
      </c>
      <c r="BD19" s="23">
        <f>AX19+BA19</f>
        <v>14352</v>
      </c>
      <c r="BE19" s="23">
        <f>AY19+BB19</f>
        <v>14352</v>
      </c>
      <c r="BF19" s="23">
        <f>BE19-BD19</f>
        <v>0</v>
      </c>
      <c r="BG19" s="23">
        <v>6400</v>
      </c>
      <c r="BH19" s="23">
        <f>BG19+635</f>
        <v>7035</v>
      </c>
      <c r="BI19" s="23">
        <f>BH19-BG19</f>
        <v>635</v>
      </c>
      <c r="BL19" s="23">
        <f>BK19-BJ19</f>
        <v>0</v>
      </c>
      <c r="BM19" s="23">
        <v>2450</v>
      </c>
      <c r="BN19" s="23">
        <f>BM19</f>
        <v>2450</v>
      </c>
      <c r="BO19" s="23">
        <f>BN19-BM19</f>
        <v>0</v>
      </c>
      <c r="BP19" s="23">
        <v>0</v>
      </c>
      <c r="BR19" s="23">
        <f>BQ19-BP19</f>
        <v>0</v>
      </c>
      <c r="BS19" s="23">
        <f t="shared" si="19"/>
        <v>2450</v>
      </c>
      <c r="BT19" s="23">
        <f t="shared" si="19"/>
        <v>2450</v>
      </c>
      <c r="BU19" s="23">
        <f>BT19-BS19</f>
        <v>0</v>
      </c>
      <c r="BV19" s="23">
        <v>0</v>
      </c>
      <c r="BX19" s="23">
        <f>BW19-BV19</f>
        <v>0</v>
      </c>
      <c r="BY19" s="21">
        <f t="shared" si="20"/>
        <v>132259</v>
      </c>
      <c r="BZ19" s="21">
        <f t="shared" si="20"/>
        <v>148471</v>
      </c>
      <c r="CA19" s="23">
        <f>BZ19-BY19</f>
        <v>16212</v>
      </c>
    </row>
    <row r="20" spans="1:79" s="23" customFormat="1" ht="15.75" customHeight="1">
      <c r="A20" s="23" t="s">
        <v>75</v>
      </c>
      <c r="B20" s="23">
        <v>0</v>
      </c>
      <c r="D20" s="23">
        <f>C20-B20</f>
        <v>0</v>
      </c>
      <c r="G20" s="23">
        <f>F20-E20</f>
        <v>0</v>
      </c>
      <c r="J20" s="23">
        <f>I20-H20</f>
        <v>0</v>
      </c>
      <c r="M20" s="23">
        <f>L20-K20</f>
        <v>0</v>
      </c>
      <c r="P20" s="23">
        <f>O20-N20</f>
        <v>0</v>
      </c>
      <c r="S20" s="23">
        <f>R20-Q20</f>
        <v>0</v>
      </c>
      <c r="V20" s="23">
        <f>U20-T20</f>
        <v>0</v>
      </c>
      <c r="W20" s="21">
        <f t="shared" si="16"/>
        <v>0</v>
      </c>
      <c r="X20" s="21">
        <f t="shared" si="16"/>
        <v>0</v>
      </c>
      <c r="Y20" s="23">
        <f>X20-W20</f>
        <v>0</v>
      </c>
      <c r="AB20" s="23">
        <f>AA20-Z20</f>
        <v>0</v>
      </c>
      <c r="AF20" s="21">
        <f t="shared" si="17"/>
        <v>0</v>
      </c>
      <c r="AG20" s="21">
        <f t="shared" si="17"/>
        <v>0</v>
      </c>
      <c r="AH20" s="23">
        <f>AG20-AF20</f>
        <v>0</v>
      </c>
      <c r="AI20" s="21">
        <f t="shared" si="18"/>
        <v>0</v>
      </c>
      <c r="AJ20" s="21">
        <f t="shared" si="18"/>
        <v>0</v>
      </c>
      <c r="AK20" s="23">
        <f>AJ20-AI20</f>
        <v>0</v>
      </c>
      <c r="AL20" s="23">
        <v>59268</v>
      </c>
      <c r="AM20" s="23">
        <f>AL20</f>
        <v>59268</v>
      </c>
      <c r="AN20" s="23">
        <f>AM20-AL20</f>
        <v>0</v>
      </c>
      <c r="AO20" s="23">
        <v>17536</v>
      </c>
      <c r="AP20" s="23">
        <f>AO20</f>
        <v>17536</v>
      </c>
      <c r="AQ20" s="23">
        <f>AP20-AO20</f>
        <v>0</v>
      </c>
      <c r="AR20" s="23">
        <v>22100</v>
      </c>
      <c r="AS20" s="23">
        <f>AR20</f>
        <v>22100</v>
      </c>
      <c r="AT20" s="23">
        <f>AS20-AR20</f>
        <v>0</v>
      </c>
      <c r="AW20" s="23">
        <f>AV20-AU20</f>
        <v>0</v>
      </c>
      <c r="AX20" s="23">
        <v>0</v>
      </c>
      <c r="AZ20" s="23">
        <f>AY20-AX20</f>
        <v>0</v>
      </c>
      <c r="BC20" s="23">
        <f>BB20-BA20</f>
        <v>0</v>
      </c>
      <c r="BF20" s="23">
        <f>BE20-BD20</f>
        <v>0</v>
      </c>
      <c r="BI20" s="23">
        <f>BH20-BG20</f>
        <v>0</v>
      </c>
      <c r="BL20" s="23">
        <f>BK20-BJ20</f>
        <v>0</v>
      </c>
      <c r="BO20" s="23">
        <f>BN20-BM20</f>
        <v>0</v>
      </c>
      <c r="BR20" s="23">
        <f>BQ20-BP20</f>
        <v>0</v>
      </c>
      <c r="BS20" s="23">
        <f t="shared" si="19"/>
        <v>0</v>
      </c>
      <c r="BT20" s="23">
        <f t="shared" si="19"/>
        <v>0</v>
      </c>
      <c r="BU20" s="23">
        <f>BT20-BS20</f>
        <v>0</v>
      </c>
      <c r="BV20" s="23">
        <v>0</v>
      </c>
      <c r="BW20" s="23">
        <f>BQ20+BT20</f>
        <v>0</v>
      </c>
      <c r="BX20" s="23">
        <f>BW20-BV20</f>
        <v>0</v>
      </c>
      <c r="BY20" s="21">
        <f t="shared" si="20"/>
        <v>98904</v>
      </c>
      <c r="BZ20" s="21">
        <f t="shared" si="20"/>
        <v>98904</v>
      </c>
      <c r="CA20" s="23">
        <f>BZ20-BY20</f>
        <v>0</v>
      </c>
    </row>
    <row r="21" spans="1:79" s="21" customFormat="1" ht="15.75" customHeight="1">
      <c r="A21" s="21" t="s">
        <v>4</v>
      </c>
      <c r="B21" s="21">
        <f aca="true" t="shared" si="21" ref="B21:AH21">SUM(B18:B20)</f>
        <v>928546</v>
      </c>
      <c r="C21" s="21">
        <f t="shared" si="21"/>
        <v>965477</v>
      </c>
      <c r="D21" s="21">
        <f t="shared" si="21"/>
        <v>36931</v>
      </c>
      <c r="E21" s="21">
        <f t="shared" si="21"/>
        <v>394911</v>
      </c>
      <c r="F21" s="21">
        <f t="shared" si="21"/>
        <v>382346</v>
      </c>
      <c r="G21" s="21">
        <f t="shared" si="21"/>
        <v>-12565</v>
      </c>
      <c r="H21" s="21">
        <f t="shared" si="21"/>
        <v>143270</v>
      </c>
      <c r="I21" s="21">
        <f t="shared" si="21"/>
        <v>153039</v>
      </c>
      <c r="J21" s="21">
        <f t="shared" si="21"/>
        <v>9769</v>
      </c>
      <c r="K21" s="21">
        <f t="shared" si="21"/>
        <v>11359</v>
      </c>
      <c r="L21" s="21">
        <f t="shared" si="21"/>
        <v>11359</v>
      </c>
      <c r="M21" s="21">
        <f t="shared" si="21"/>
        <v>0</v>
      </c>
      <c r="N21" s="21">
        <f t="shared" si="21"/>
        <v>17211</v>
      </c>
      <c r="O21" s="21">
        <f t="shared" si="21"/>
        <v>55692</v>
      </c>
      <c r="P21" s="21">
        <f t="shared" si="21"/>
        <v>38481</v>
      </c>
      <c r="Q21" s="21">
        <f t="shared" si="21"/>
        <v>81349</v>
      </c>
      <c r="R21" s="21">
        <f t="shared" si="21"/>
        <v>81349</v>
      </c>
      <c r="S21" s="21">
        <f t="shared" si="21"/>
        <v>0</v>
      </c>
      <c r="T21" s="21">
        <f t="shared" si="21"/>
        <v>65600</v>
      </c>
      <c r="U21" s="21">
        <f t="shared" si="21"/>
        <v>17350</v>
      </c>
      <c r="V21" s="21">
        <f t="shared" si="21"/>
        <v>-48250</v>
      </c>
      <c r="W21" s="21">
        <f t="shared" si="21"/>
        <v>1642246</v>
      </c>
      <c r="X21" s="21">
        <f t="shared" si="21"/>
        <v>1666612</v>
      </c>
      <c r="Y21" s="21">
        <f t="shared" si="21"/>
        <v>24366</v>
      </c>
      <c r="Z21" s="21">
        <f t="shared" si="21"/>
        <v>250411</v>
      </c>
      <c r="AA21" s="21">
        <f t="shared" si="21"/>
        <v>320487</v>
      </c>
      <c r="AB21" s="21">
        <f t="shared" si="21"/>
        <v>70076</v>
      </c>
      <c r="AC21" s="21">
        <f t="shared" si="21"/>
        <v>0</v>
      </c>
      <c r="AD21" s="21">
        <f t="shared" si="21"/>
        <v>0</v>
      </c>
      <c r="AE21" s="21">
        <f t="shared" si="21"/>
        <v>0</v>
      </c>
      <c r="AF21" s="21">
        <f t="shared" si="21"/>
        <v>250411</v>
      </c>
      <c r="AG21" s="21">
        <f t="shared" si="21"/>
        <v>320487</v>
      </c>
      <c r="AH21" s="21">
        <f t="shared" si="21"/>
        <v>70076</v>
      </c>
      <c r="AI21" s="21">
        <f t="shared" si="18"/>
        <v>1892657</v>
      </c>
      <c r="AJ21" s="21">
        <f t="shared" si="18"/>
        <v>1987099</v>
      </c>
      <c r="AK21" s="21">
        <f aca="true" t="shared" si="22" ref="AK21:CA21">SUM(AK18:AK20)</f>
        <v>94442</v>
      </c>
      <c r="AL21" s="21">
        <f t="shared" si="22"/>
        <v>283334</v>
      </c>
      <c r="AM21" s="21">
        <f t="shared" si="22"/>
        <v>292196</v>
      </c>
      <c r="AN21" s="21">
        <f t="shared" si="22"/>
        <v>8862</v>
      </c>
      <c r="AO21" s="21">
        <f t="shared" si="22"/>
        <v>81535</v>
      </c>
      <c r="AP21" s="21">
        <f t="shared" si="22"/>
        <v>83516</v>
      </c>
      <c r="AQ21" s="21">
        <f t="shared" si="22"/>
        <v>1981</v>
      </c>
      <c r="AR21" s="21">
        <f t="shared" si="22"/>
        <v>563395</v>
      </c>
      <c r="AS21" s="21">
        <f t="shared" si="22"/>
        <v>588967</v>
      </c>
      <c r="AT21" s="21">
        <f t="shared" si="22"/>
        <v>25572</v>
      </c>
      <c r="AU21" s="21">
        <f t="shared" si="22"/>
        <v>39605</v>
      </c>
      <c r="AV21" s="21">
        <f t="shared" si="22"/>
        <v>40400</v>
      </c>
      <c r="AW21" s="21">
        <f t="shared" si="22"/>
        <v>795</v>
      </c>
      <c r="AX21" s="21">
        <f t="shared" si="22"/>
        <v>575944</v>
      </c>
      <c r="AY21" s="21">
        <f t="shared" si="22"/>
        <v>591470</v>
      </c>
      <c r="AZ21" s="21">
        <f t="shared" si="22"/>
        <v>15526</v>
      </c>
      <c r="BA21" s="21">
        <f t="shared" si="22"/>
        <v>32300</v>
      </c>
      <c r="BB21" s="21">
        <f t="shared" si="22"/>
        <v>37846</v>
      </c>
      <c r="BC21" s="21">
        <f t="shared" si="22"/>
        <v>5546</v>
      </c>
      <c r="BD21" s="21">
        <f t="shared" si="22"/>
        <v>608244</v>
      </c>
      <c r="BE21" s="21">
        <f t="shared" si="22"/>
        <v>629316</v>
      </c>
      <c r="BF21" s="21">
        <f t="shared" si="22"/>
        <v>21072</v>
      </c>
      <c r="BG21" s="21">
        <f t="shared" si="22"/>
        <v>247613</v>
      </c>
      <c r="BH21" s="21">
        <f t="shared" si="22"/>
        <v>141119</v>
      </c>
      <c r="BI21" s="21">
        <f t="shared" si="22"/>
        <v>-106494</v>
      </c>
      <c r="BJ21" s="21">
        <f t="shared" si="22"/>
        <v>54047</v>
      </c>
      <c r="BK21" s="21">
        <f t="shared" si="22"/>
        <v>171562</v>
      </c>
      <c r="BL21" s="21">
        <f t="shared" si="22"/>
        <v>117515</v>
      </c>
      <c r="BM21" s="21">
        <f t="shared" si="22"/>
        <v>14884</v>
      </c>
      <c r="BN21" s="21">
        <f t="shared" si="22"/>
        <v>14884</v>
      </c>
      <c r="BO21" s="21">
        <f t="shared" si="22"/>
        <v>0</v>
      </c>
      <c r="BP21" s="21">
        <f t="shared" si="22"/>
        <v>0</v>
      </c>
      <c r="BQ21" s="21">
        <f t="shared" si="22"/>
        <v>0</v>
      </c>
      <c r="BR21" s="21">
        <f t="shared" si="22"/>
        <v>0</v>
      </c>
      <c r="BS21" s="21">
        <f t="shared" si="22"/>
        <v>14884</v>
      </c>
      <c r="BT21" s="21">
        <f t="shared" si="22"/>
        <v>14884</v>
      </c>
      <c r="BU21" s="21">
        <f t="shared" si="22"/>
        <v>0</v>
      </c>
      <c r="BV21" s="21">
        <f t="shared" si="22"/>
        <v>0</v>
      </c>
      <c r="BW21" s="21">
        <f t="shared" si="22"/>
        <v>25139</v>
      </c>
      <c r="BX21" s="21">
        <f t="shared" si="22"/>
        <v>25139</v>
      </c>
      <c r="BY21" s="21">
        <f t="shared" si="22"/>
        <v>1892657</v>
      </c>
      <c r="BZ21" s="21">
        <f t="shared" si="22"/>
        <v>1987099</v>
      </c>
      <c r="CA21" s="21">
        <f t="shared" si="22"/>
        <v>94442</v>
      </c>
    </row>
  </sheetData>
  <sheetProtection/>
  <mergeCells count="27">
    <mergeCell ref="BY4:CA4"/>
    <mergeCell ref="BM4:BO4"/>
    <mergeCell ref="BP4:BR4"/>
    <mergeCell ref="BS4:BU4"/>
    <mergeCell ref="BV4:BX4"/>
    <mergeCell ref="BA4:BC4"/>
    <mergeCell ref="BD4:BF4"/>
    <mergeCell ref="BG4:BI4"/>
    <mergeCell ref="BJ4:BL4"/>
    <mergeCell ref="AO4:AQ4"/>
    <mergeCell ref="AR4:AT4"/>
    <mergeCell ref="AU4:AW4"/>
    <mergeCell ref="AX4:AZ4"/>
    <mergeCell ref="AC4:AE4"/>
    <mergeCell ref="AF4:AH4"/>
    <mergeCell ref="AI4:AK4"/>
    <mergeCell ref="AL4:AN4"/>
    <mergeCell ref="CB4:CE4"/>
    <mergeCell ref="B4:D4"/>
    <mergeCell ref="E4:G4"/>
    <mergeCell ref="H4:J4"/>
    <mergeCell ref="K4:M4"/>
    <mergeCell ref="N4:P4"/>
    <mergeCell ref="Q4:S4"/>
    <mergeCell ref="T4:V4"/>
    <mergeCell ref="W4:Y4"/>
    <mergeCell ref="Z4:AB4"/>
  </mergeCells>
  <printOptions/>
  <pageMargins left="0.64" right="0.49" top="0.7874015748031497" bottom="0.7874015748031497" header="0.5118110236220472" footer="0.5118110236220472"/>
  <pageSetup horizontalDpi="600" verticalDpi="6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zoomScale="60" zoomScaleNormal="60" workbookViewId="0" topLeftCell="A1">
      <selection activeCell="G7" sqref="G7"/>
    </sheetView>
  </sheetViews>
  <sheetFormatPr defaultColWidth="9.00390625" defaultRowHeight="12.75"/>
  <cols>
    <col min="1" max="1" width="3.75390625" style="2" customWidth="1"/>
    <col min="2" max="2" width="46.625" style="35" customWidth="1"/>
    <col min="3" max="3" width="10.00390625" style="2" customWidth="1"/>
    <col min="4" max="4" width="9.75390625" style="2" customWidth="1"/>
    <col min="5" max="5" width="9.125" style="13" customWidth="1"/>
    <col min="6" max="6" width="9.375" style="2" customWidth="1"/>
    <col min="7" max="16384" width="9.125" style="2" customWidth="1"/>
  </cols>
  <sheetData>
    <row r="1" spans="1:5" ht="13.5" customHeight="1">
      <c r="A1" s="175" t="s">
        <v>302</v>
      </c>
      <c r="B1" s="161"/>
      <c r="C1" s="161"/>
      <c r="D1" s="14"/>
      <c r="E1" s="184"/>
    </row>
    <row r="2" spans="1:5" ht="13.5">
      <c r="A2" s="175" t="s">
        <v>289</v>
      </c>
      <c r="C2" s="15"/>
      <c r="D2" s="14"/>
      <c r="E2" s="184"/>
    </row>
    <row r="3" spans="1:5" ht="13.5" hidden="1">
      <c r="A3" s="175"/>
      <c r="C3" s="15"/>
      <c r="D3" s="14"/>
      <c r="E3" s="184"/>
    </row>
    <row r="4" spans="1:5" ht="21.75" customHeight="1">
      <c r="A4" s="210" t="s">
        <v>200</v>
      </c>
      <c r="B4" s="210"/>
      <c r="C4" s="210"/>
      <c r="D4" s="210"/>
      <c r="E4" s="210"/>
    </row>
    <row r="5" spans="1:5" ht="12.75">
      <c r="A5" s="210" t="s">
        <v>5</v>
      </c>
      <c r="B5" s="210"/>
      <c r="C5" s="210"/>
      <c r="D5" s="210"/>
      <c r="E5" s="210"/>
    </row>
    <row r="6" spans="1:5" ht="24">
      <c r="A6" s="176"/>
      <c r="B6" s="177"/>
      <c r="C6" s="178" t="s">
        <v>20</v>
      </c>
      <c r="D6" s="178" t="s">
        <v>266</v>
      </c>
      <c r="E6" s="178" t="s">
        <v>267</v>
      </c>
    </row>
    <row r="7" spans="1:5" s="16" customFormat="1" ht="15" customHeight="1">
      <c r="A7" s="179" t="s">
        <v>1</v>
      </c>
      <c r="B7" s="180" t="s">
        <v>201</v>
      </c>
      <c r="C7" s="179"/>
      <c r="D7" s="179"/>
      <c r="E7" s="179"/>
    </row>
    <row r="8" spans="1:5" ht="15.75" customHeight="1">
      <c r="A8" s="181" t="s">
        <v>6</v>
      </c>
      <c r="B8" s="182" t="s">
        <v>107</v>
      </c>
      <c r="C8" s="183">
        <f>35000-4039+21388</f>
        <v>52349</v>
      </c>
      <c r="D8" s="183">
        <f>35000-4039+21388</f>
        <v>52349</v>
      </c>
      <c r="E8" s="189">
        <f>D8-C8</f>
        <v>0</v>
      </c>
    </row>
    <row r="9" spans="1:5" s="8" customFormat="1" ht="15" customHeight="1">
      <c r="A9" s="63" t="s">
        <v>7</v>
      </c>
      <c r="B9" s="53" t="s">
        <v>152</v>
      </c>
      <c r="C9" s="64">
        <v>9000</v>
      </c>
      <c r="D9" s="64">
        <v>9000</v>
      </c>
      <c r="E9" s="189">
        <f>D9-C9</f>
        <v>0</v>
      </c>
    </row>
    <row r="10" spans="1:5" s="8" customFormat="1" ht="15" customHeight="1">
      <c r="A10" s="63" t="s">
        <v>8</v>
      </c>
      <c r="B10" s="53" t="s">
        <v>202</v>
      </c>
      <c r="C10" s="64">
        <v>20000</v>
      </c>
      <c r="D10" s="64">
        <v>20000</v>
      </c>
      <c r="E10" s="189">
        <f>D10-C10</f>
        <v>0</v>
      </c>
    </row>
    <row r="11" spans="2:5" s="5" customFormat="1" ht="15" customHeight="1">
      <c r="B11" s="36" t="s">
        <v>4</v>
      </c>
      <c r="C11" s="46">
        <f>SUM(C8:C10)</f>
        <v>81349</v>
      </c>
      <c r="D11" s="46">
        <f>SUM(D8:D10)</f>
        <v>81349</v>
      </c>
      <c r="E11" s="185">
        <f>SUM(E8:E10)</f>
        <v>0</v>
      </c>
    </row>
    <row r="12" spans="3:5" ht="15" customHeight="1">
      <c r="C12" s="15"/>
      <c r="D12" s="17"/>
      <c r="E12" s="123"/>
    </row>
    <row r="13" spans="1:5" s="5" customFormat="1" ht="25.5" customHeight="1">
      <c r="A13" s="126" t="s">
        <v>11</v>
      </c>
      <c r="B13" s="66" t="s">
        <v>203</v>
      </c>
      <c r="C13" s="7"/>
      <c r="E13" s="21"/>
    </row>
    <row r="14" spans="1:5" ht="15" customHeight="1">
      <c r="A14" s="52" t="s">
        <v>6</v>
      </c>
      <c r="B14" s="53" t="s">
        <v>79</v>
      </c>
      <c r="C14" s="64">
        <f>10500-8323</f>
        <v>2177</v>
      </c>
      <c r="D14" s="64">
        <f>10500-8323</f>
        <v>2177</v>
      </c>
      <c r="E14" s="189">
        <f>D14-C14</f>
        <v>0</v>
      </c>
    </row>
    <row r="15" spans="1:5" ht="15" customHeight="1">
      <c r="A15" s="63" t="s">
        <v>7</v>
      </c>
      <c r="B15" s="53" t="s">
        <v>82</v>
      </c>
      <c r="C15" s="64">
        <v>12434</v>
      </c>
      <c r="D15" s="64">
        <v>12434</v>
      </c>
      <c r="E15" s="189">
        <f>D15-C15</f>
        <v>0</v>
      </c>
    </row>
    <row r="16" spans="1:5" ht="15" customHeight="1">
      <c r="A16" s="52" t="s">
        <v>8</v>
      </c>
      <c r="B16" s="53" t="s">
        <v>83</v>
      </c>
      <c r="C16" s="64">
        <v>2600</v>
      </c>
      <c r="D16" s="64">
        <v>2600</v>
      </c>
      <c r="E16" s="189">
        <f>D16-C16</f>
        <v>0</v>
      </c>
    </row>
    <row r="17" spans="1:5" ht="15" customHeight="1">
      <c r="A17" s="52" t="s">
        <v>9</v>
      </c>
      <c r="B17" s="53" t="s">
        <v>87</v>
      </c>
      <c r="C17" s="64"/>
      <c r="D17" s="79">
        <v>38481</v>
      </c>
      <c r="E17" s="189">
        <f>D17-C17</f>
        <v>38481</v>
      </c>
    </row>
    <row r="18" spans="2:5" s="5" customFormat="1" ht="15" customHeight="1">
      <c r="B18" s="36" t="s">
        <v>4</v>
      </c>
      <c r="C18" s="46">
        <f>SUM(C14:C17)</f>
        <v>17211</v>
      </c>
      <c r="D18" s="46">
        <f>SUM(D14:D17)</f>
        <v>55692</v>
      </c>
      <c r="E18" s="46">
        <f>SUM(E14:E17)</f>
        <v>38481</v>
      </c>
    </row>
    <row r="19" spans="2:5" ht="15" customHeight="1">
      <c r="B19" s="67"/>
      <c r="C19" s="3"/>
      <c r="E19" s="23"/>
    </row>
    <row r="20" spans="1:5" s="5" customFormat="1" ht="15" customHeight="1">
      <c r="A20" s="5" t="s">
        <v>12</v>
      </c>
      <c r="B20" s="66" t="s">
        <v>103</v>
      </c>
      <c r="C20" s="7"/>
      <c r="E20" s="21"/>
    </row>
    <row r="21" spans="1:5" s="5" customFormat="1" ht="28.5" customHeight="1">
      <c r="A21" s="128" t="s">
        <v>6</v>
      </c>
      <c r="B21" s="127" t="s">
        <v>205</v>
      </c>
      <c r="C21" s="7"/>
      <c r="E21" s="21"/>
    </row>
    <row r="22" spans="1:5" ht="15" customHeight="1">
      <c r="A22" s="52" t="s">
        <v>6</v>
      </c>
      <c r="B22" s="53" t="s">
        <v>106</v>
      </c>
      <c r="C22" s="64">
        <v>8900</v>
      </c>
      <c r="D22" s="64">
        <v>8900</v>
      </c>
      <c r="E22" s="189">
        <f>D22-C22</f>
        <v>0</v>
      </c>
    </row>
    <row r="23" spans="1:5" s="4" customFormat="1" ht="15" customHeight="1">
      <c r="A23" s="51" t="s">
        <v>7</v>
      </c>
      <c r="B23" s="54" t="s">
        <v>13</v>
      </c>
      <c r="C23" s="65">
        <v>1100</v>
      </c>
      <c r="D23" s="65">
        <v>1100</v>
      </c>
      <c r="E23" s="191">
        <f>D23-C23</f>
        <v>0</v>
      </c>
    </row>
    <row r="24" spans="1:5" ht="15" customHeight="1">
      <c r="A24" s="51" t="s">
        <v>8</v>
      </c>
      <c r="B24" s="54" t="s">
        <v>14</v>
      </c>
      <c r="C24" s="65">
        <v>6000</v>
      </c>
      <c r="D24" s="65">
        <v>6000</v>
      </c>
      <c r="E24" s="191">
        <f>D24-C24</f>
        <v>0</v>
      </c>
    </row>
    <row r="25" spans="1:5" ht="15" customHeight="1">
      <c r="A25" s="51" t="s">
        <v>9</v>
      </c>
      <c r="B25" s="54" t="s">
        <v>15</v>
      </c>
      <c r="C25" s="65">
        <v>1350</v>
      </c>
      <c r="D25" s="65">
        <v>1350</v>
      </c>
      <c r="E25" s="191">
        <f>D25-C25</f>
        <v>0</v>
      </c>
    </row>
    <row r="26" spans="2:5" s="5" customFormat="1" ht="15" customHeight="1">
      <c r="B26" s="127" t="s">
        <v>4</v>
      </c>
      <c r="C26" s="129">
        <f>SUM(C22:C25)</f>
        <v>17350</v>
      </c>
      <c r="D26" s="129">
        <f>SUM(D22:D25)</f>
        <v>17350</v>
      </c>
      <c r="E26" s="186">
        <f>SUM(E22:E25)</f>
        <v>0</v>
      </c>
    </row>
    <row r="27" spans="1:5" s="5" customFormat="1" ht="15" customHeight="1">
      <c r="A27" s="8" t="s">
        <v>7</v>
      </c>
      <c r="B27" s="127" t="s">
        <v>204</v>
      </c>
      <c r="C27" s="7"/>
      <c r="E27" s="21"/>
    </row>
    <row r="28" spans="1:5" ht="15" customHeight="1">
      <c r="A28" s="63" t="s">
        <v>6</v>
      </c>
      <c r="B28" s="53" t="s">
        <v>87</v>
      </c>
      <c r="C28" s="64">
        <f>22409-9908+25980</f>
        <v>38481</v>
      </c>
      <c r="D28" s="190">
        <v>0</v>
      </c>
      <c r="E28" s="189">
        <f>D28-C28</f>
        <v>-38481</v>
      </c>
    </row>
    <row r="29" spans="1:5" s="4" customFormat="1" ht="15" customHeight="1">
      <c r="A29" s="52" t="s">
        <v>7</v>
      </c>
      <c r="B29" s="53" t="s">
        <v>108</v>
      </c>
      <c r="C29" s="64">
        <f>12703-2934</f>
        <v>9769</v>
      </c>
      <c r="D29" s="188"/>
      <c r="E29" s="189">
        <f>D29-C29</f>
        <v>-9769</v>
      </c>
    </row>
    <row r="30" spans="2:5" s="5" customFormat="1" ht="15" customHeight="1">
      <c r="B30" s="130" t="s">
        <v>4</v>
      </c>
      <c r="C30" s="131">
        <f>SUM(C28:C29)</f>
        <v>48250</v>
      </c>
      <c r="D30" s="131">
        <f>SUM(D28:D29)</f>
        <v>0</v>
      </c>
      <c r="E30" s="187">
        <f>SUM(E28:E29)</f>
        <v>-48250</v>
      </c>
    </row>
    <row r="31" spans="2:5" s="5" customFormat="1" ht="15" customHeight="1">
      <c r="B31" s="36" t="s">
        <v>4</v>
      </c>
      <c r="C31" s="46">
        <f>C26+C30</f>
        <v>65600</v>
      </c>
      <c r="D31" s="46">
        <f>D26+D30</f>
        <v>17350</v>
      </c>
      <c r="E31" s="46">
        <f>E26+E30</f>
        <v>-48250</v>
      </c>
    </row>
    <row r="32" spans="2:5" s="5" customFormat="1" ht="15" customHeight="1">
      <c r="B32" s="66"/>
      <c r="C32" s="7"/>
      <c r="E32" s="21"/>
    </row>
    <row r="33" spans="2:5" s="5" customFormat="1" ht="30" customHeight="1">
      <c r="B33" s="36" t="s">
        <v>206</v>
      </c>
      <c r="C33" s="46">
        <f>C11+C18+C31</f>
        <v>164160</v>
      </c>
      <c r="D33" s="46">
        <f>D11+D18+D31</f>
        <v>154391</v>
      </c>
      <c r="E33" s="46">
        <f>E11+E18+E31</f>
        <v>-9769</v>
      </c>
    </row>
    <row r="34" spans="2:5" s="5" customFormat="1" ht="15" customHeight="1">
      <c r="B34" s="36"/>
      <c r="C34" s="46"/>
      <c r="E34" s="47"/>
    </row>
    <row r="35" spans="1:5" s="5" customFormat="1" ht="15" customHeight="1">
      <c r="A35" s="5" t="s">
        <v>16</v>
      </c>
      <c r="B35" s="66" t="s">
        <v>207</v>
      </c>
      <c r="C35" s="7"/>
      <c r="E35" s="21"/>
    </row>
    <row r="36" spans="1:5" s="4" customFormat="1" ht="15" customHeight="1">
      <c r="A36" s="52" t="s">
        <v>6</v>
      </c>
      <c r="B36" s="53" t="s">
        <v>109</v>
      </c>
      <c r="C36" s="64">
        <v>15000</v>
      </c>
      <c r="D36" s="64">
        <v>15000</v>
      </c>
      <c r="E36" s="189">
        <f>D36-C36</f>
        <v>0</v>
      </c>
    </row>
    <row r="37" spans="1:5" s="4" customFormat="1" ht="15" customHeight="1">
      <c r="A37" s="52" t="s">
        <v>7</v>
      </c>
      <c r="B37" s="53" t="s">
        <v>110</v>
      </c>
      <c r="C37" s="64">
        <v>14235</v>
      </c>
      <c r="D37" s="64">
        <v>14235</v>
      </c>
      <c r="E37" s="189">
        <f>D37-C37</f>
        <v>0</v>
      </c>
    </row>
    <row r="38" spans="1:5" s="4" customFormat="1" ht="15" customHeight="1">
      <c r="A38" s="52" t="s">
        <v>8</v>
      </c>
      <c r="B38" s="53" t="s">
        <v>111</v>
      </c>
      <c r="C38" s="64">
        <v>13614</v>
      </c>
      <c r="D38" s="64">
        <v>13614</v>
      </c>
      <c r="E38" s="189">
        <f>D38-C38</f>
        <v>0</v>
      </c>
    </row>
    <row r="39" spans="1:5" s="4" customFormat="1" ht="15" customHeight="1">
      <c r="A39" s="52" t="s">
        <v>9</v>
      </c>
      <c r="B39" s="53" t="s">
        <v>112</v>
      </c>
      <c r="C39" s="64">
        <f>142562-33027</f>
        <v>109535</v>
      </c>
      <c r="D39" s="64">
        <f>142562-33027</f>
        <v>109535</v>
      </c>
      <c r="E39" s="189">
        <f>D39-C39</f>
        <v>0</v>
      </c>
    </row>
    <row r="40" spans="2:5" s="5" customFormat="1" ht="15" customHeight="1">
      <c r="B40" s="127" t="s">
        <v>4</v>
      </c>
      <c r="C40" s="129">
        <f>SUM(C36:C39)</f>
        <v>152384</v>
      </c>
      <c r="D40" s="129">
        <f>SUM(D36:D39)</f>
        <v>152384</v>
      </c>
      <c r="E40" s="129">
        <f>SUM(E36:E39)</f>
        <v>0</v>
      </c>
    </row>
    <row r="41" spans="3:5" ht="15" customHeight="1">
      <c r="C41" s="10"/>
      <c r="D41" s="17"/>
      <c r="E41" s="123"/>
    </row>
    <row r="42" spans="2:5" s="5" customFormat="1" ht="15" customHeight="1">
      <c r="B42" s="66" t="s">
        <v>208</v>
      </c>
      <c r="C42" s="7">
        <f>C40</f>
        <v>152384</v>
      </c>
      <c r="D42" s="7">
        <f>D40</f>
        <v>152384</v>
      </c>
      <c r="E42" s="7">
        <f>E40</f>
        <v>0</v>
      </c>
    </row>
    <row r="43" spans="2:5" s="5" customFormat="1" ht="15" customHeight="1">
      <c r="B43" s="66"/>
      <c r="C43" s="7"/>
      <c r="E43" s="21"/>
    </row>
    <row r="44" spans="2:5" ht="15" customHeight="1">
      <c r="B44" s="36" t="s">
        <v>17</v>
      </c>
      <c r="C44" s="6">
        <f>C33+C42</f>
        <v>316544</v>
      </c>
      <c r="D44" s="6">
        <f>D33+D42</f>
        <v>306775</v>
      </c>
      <c r="E44" s="6">
        <f>E33+E42</f>
        <v>-9769</v>
      </c>
    </row>
    <row r="45" spans="3:5" ht="12.75" hidden="1">
      <c r="C45" s="10"/>
      <c r="D45" s="17"/>
      <c r="E45" s="123"/>
    </row>
    <row r="46" spans="2:5" ht="12.75">
      <c r="B46" s="18" t="s">
        <v>89</v>
      </c>
      <c r="C46" s="10"/>
      <c r="D46" s="17"/>
      <c r="E46" s="123"/>
    </row>
    <row r="47" spans="2:5" ht="12.75">
      <c r="B47" s="70" t="s">
        <v>90</v>
      </c>
      <c r="C47" s="79">
        <f>C44-C48</f>
        <v>308094</v>
      </c>
      <c r="D47" s="79">
        <f>D44-D48</f>
        <v>298325</v>
      </c>
      <c r="E47" s="79">
        <f>E44-E48</f>
        <v>-9769</v>
      </c>
    </row>
    <row r="48" spans="2:5" ht="12.75">
      <c r="B48" s="72" t="s">
        <v>88</v>
      </c>
      <c r="C48" s="74">
        <f>C25+C24+C23</f>
        <v>8450</v>
      </c>
      <c r="D48" s="74">
        <f>D25+D24+D23</f>
        <v>8450</v>
      </c>
      <c r="E48" s="74">
        <f>E25+E24+E23</f>
        <v>0</v>
      </c>
    </row>
    <row r="49" spans="3:5" ht="12.75">
      <c r="C49" s="10"/>
      <c r="D49" s="17"/>
      <c r="E49" s="123"/>
    </row>
    <row r="50" spans="3:5" ht="12.75">
      <c r="C50" s="10"/>
      <c r="D50" s="17"/>
      <c r="E50" s="123"/>
    </row>
  </sheetData>
  <sheetProtection/>
  <mergeCells count="2">
    <mergeCell ref="A4:E4"/>
    <mergeCell ref="A5:E5"/>
  </mergeCells>
  <printOptions/>
  <pageMargins left="0.75" right="0.75" top="1" bottom="0.62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3"/>
  <sheetViews>
    <sheetView tabSelected="1" view="pageBreakPreview" zoomScale="60" zoomScaleNormal="60" workbookViewId="0" topLeftCell="A72">
      <selection activeCell="K97" sqref="K97"/>
    </sheetView>
  </sheetViews>
  <sheetFormatPr defaultColWidth="9.00390625" defaultRowHeight="12.75"/>
  <cols>
    <col min="1" max="1" width="4.375" style="2" customWidth="1"/>
    <col min="2" max="2" width="54.875" style="14" customWidth="1"/>
    <col min="3" max="3" width="11.875" style="3" customWidth="1"/>
    <col min="4" max="5" width="9.125" style="2" customWidth="1"/>
    <col min="6" max="6" width="1.37890625" style="2" customWidth="1"/>
    <col min="7" max="16384" width="9.125" style="2" customWidth="1"/>
  </cols>
  <sheetData>
    <row r="1" ht="13.5">
      <c r="A1" s="175" t="s">
        <v>303</v>
      </c>
    </row>
    <row r="2" spans="1:3" ht="13.5" customHeight="1">
      <c r="A2" s="175" t="s">
        <v>290</v>
      </c>
      <c r="B2" s="161"/>
      <c r="C2" s="161"/>
    </row>
    <row r="3" spans="1:3" ht="24.75" customHeight="1">
      <c r="A3" s="211" t="s">
        <v>113</v>
      </c>
      <c r="B3" s="211"/>
      <c r="C3" s="211"/>
    </row>
    <row r="4" spans="1:3" ht="15.75" customHeight="1" hidden="1">
      <c r="A4" s="1"/>
      <c r="B4" s="1"/>
      <c r="C4" s="1"/>
    </row>
    <row r="5" spans="1:5" ht="24">
      <c r="A5" s="5" t="s">
        <v>1</v>
      </c>
      <c r="B5" s="36" t="s">
        <v>173</v>
      </c>
      <c r="C5" s="178" t="s">
        <v>20</v>
      </c>
      <c r="D5" s="178" t="s">
        <v>266</v>
      </c>
      <c r="E5" s="178" t="s">
        <v>267</v>
      </c>
    </row>
    <row r="6" spans="1:5" s="69" customFormat="1" ht="15.75">
      <c r="A6" s="75" t="s">
        <v>6</v>
      </c>
      <c r="B6" s="76" t="s">
        <v>31</v>
      </c>
      <c r="C6" s="77">
        <v>3103</v>
      </c>
      <c r="D6" s="77">
        <v>3103</v>
      </c>
      <c r="E6" s="158">
        <f aca="true" t="shared" si="0" ref="E6:E29">D6-C6</f>
        <v>0</v>
      </c>
    </row>
    <row r="7" spans="1:5" s="69" customFormat="1" ht="15.75">
      <c r="A7" s="75" t="s">
        <v>7</v>
      </c>
      <c r="B7" s="76" t="s">
        <v>29</v>
      </c>
      <c r="C7" s="77">
        <v>5000</v>
      </c>
      <c r="D7" s="77">
        <v>5000</v>
      </c>
      <c r="E7" s="158">
        <f t="shared" si="0"/>
        <v>0</v>
      </c>
    </row>
    <row r="8" spans="1:5" s="69" customFormat="1" ht="15.75">
      <c r="A8" s="75" t="s">
        <v>8</v>
      </c>
      <c r="B8" s="76" t="s">
        <v>136</v>
      </c>
      <c r="C8" s="77">
        <v>11914</v>
      </c>
      <c r="D8" s="77">
        <v>11914</v>
      </c>
      <c r="E8" s="158">
        <f t="shared" si="0"/>
        <v>0</v>
      </c>
    </row>
    <row r="9" spans="1:5" s="24" customFormat="1" ht="12.75">
      <c r="A9" s="75" t="s">
        <v>9</v>
      </c>
      <c r="B9" s="59" t="s">
        <v>126</v>
      </c>
      <c r="C9" s="62">
        <f>6737+19378+25980</f>
        <v>52095</v>
      </c>
      <c r="D9" s="62">
        <f>6737+19378+25980</f>
        <v>52095</v>
      </c>
      <c r="E9" s="158">
        <f t="shared" si="0"/>
        <v>0</v>
      </c>
    </row>
    <row r="10" spans="1:5" s="24" customFormat="1" ht="12.75">
      <c r="A10" s="75" t="s">
        <v>10</v>
      </c>
      <c r="B10" s="59" t="s">
        <v>127</v>
      </c>
      <c r="C10" s="62">
        <f>13022+20000</f>
        <v>33022</v>
      </c>
      <c r="D10" s="62">
        <f>13022+20000</f>
        <v>33022</v>
      </c>
      <c r="E10" s="158">
        <f t="shared" si="0"/>
        <v>0</v>
      </c>
    </row>
    <row r="11" spans="1:5" s="24" customFormat="1" ht="24.75" customHeight="1">
      <c r="A11" s="75" t="s">
        <v>27</v>
      </c>
      <c r="B11" s="59" t="s">
        <v>128</v>
      </c>
      <c r="C11" s="62">
        <v>416</v>
      </c>
      <c r="D11" s="62">
        <v>416</v>
      </c>
      <c r="E11" s="158">
        <f t="shared" si="0"/>
        <v>0</v>
      </c>
    </row>
    <row r="12" spans="1:8" s="24" customFormat="1" ht="12.75">
      <c r="A12" s="75" t="s">
        <v>28</v>
      </c>
      <c r="B12" s="53" t="s">
        <v>142</v>
      </c>
      <c r="C12" s="62">
        <v>109535</v>
      </c>
      <c r="D12" s="52">
        <v>0</v>
      </c>
      <c r="E12" s="158">
        <f t="shared" si="0"/>
        <v>-109535</v>
      </c>
      <c r="H12" s="24" t="s">
        <v>160</v>
      </c>
    </row>
    <row r="13" spans="1:5" s="24" customFormat="1" ht="13.5" customHeight="1">
      <c r="A13" s="75" t="s">
        <v>30</v>
      </c>
      <c r="B13" s="59" t="s">
        <v>137</v>
      </c>
      <c r="C13" s="62">
        <v>6400</v>
      </c>
      <c r="D13" s="62">
        <v>6400</v>
      </c>
      <c r="E13" s="158">
        <f t="shared" si="0"/>
        <v>0</v>
      </c>
    </row>
    <row r="14" spans="1:5" s="24" customFormat="1" ht="13.5" customHeight="1">
      <c r="A14" s="75" t="s">
        <v>70</v>
      </c>
      <c r="B14" s="59" t="s">
        <v>138</v>
      </c>
      <c r="C14" s="62">
        <v>5000</v>
      </c>
      <c r="D14" s="62">
        <v>5000</v>
      </c>
      <c r="E14" s="158">
        <f t="shared" si="0"/>
        <v>0</v>
      </c>
    </row>
    <row r="15" spans="1:5" s="24" customFormat="1" ht="13.5" customHeight="1">
      <c r="A15" s="75" t="s">
        <v>71</v>
      </c>
      <c r="B15" s="59" t="s">
        <v>153</v>
      </c>
      <c r="C15" s="62">
        <v>150</v>
      </c>
      <c r="D15" s="62">
        <v>150</v>
      </c>
      <c r="E15" s="158">
        <f t="shared" si="0"/>
        <v>0</v>
      </c>
    </row>
    <row r="16" spans="1:5" s="24" customFormat="1" ht="15.75" customHeight="1">
      <c r="A16" s="75" t="s">
        <v>32</v>
      </c>
      <c r="B16" s="59" t="s">
        <v>139</v>
      </c>
      <c r="C16" s="62">
        <v>2000</v>
      </c>
      <c r="D16" s="62">
        <v>2000</v>
      </c>
      <c r="E16" s="158">
        <f t="shared" si="0"/>
        <v>0</v>
      </c>
    </row>
    <row r="17" spans="1:5" s="24" customFormat="1" ht="15.75" customHeight="1">
      <c r="A17" s="75" t="s">
        <v>33</v>
      </c>
      <c r="B17" s="59" t="s">
        <v>141</v>
      </c>
      <c r="C17" s="62">
        <v>2000</v>
      </c>
      <c r="D17" s="62">
        <v>2000</v>
      </c>
      <c r="E17" s="158">
        <f t="shared" si="0"/>
        <v>0</v>
      </c>
    </row>
    <row r="18" spans="1:5" s="24" customFormat="1" ht="12.75">
      <c r="A18" s="75" t="s">
        <v>59</v>
      </c>
      <c r="B18" s="59" t="s">
        <v>134</v>
      </c>
      <c r="C18" s="62">
        <v>280</v>
      </c>
      <c r="D18" s="62">
        <v>280</v>
      </c>
      <c r="E18" s="158">
        <f t="shared" si="0"/>
        <v>0</v>
      </c>
    </row>
    <row r="19" spans="1:5" s="24" customFormat="1" ht="12.75">
      <c r="A19" s="75" t="s">
        <v>60</v>
      </c>
      <c r="B19" s="59" t="s">
        <v>129</v>
      </c>
      <c r="C19" s="62">
        <v>743</v>
      </c>
      <c r="D19" s="62">
        <v>743</v>
      </c>
      <c r="E19" s="158">
        <f t="shared" si="0"/>
        <v>0</v>
      </c>
    </row>
    <row r="20" spans="1:5" s="24" customFormat="1" ht="12.75">
      <c r="A20" s="75" t="s">
        <v>68</v>
      </c>
      <c r="B20" s="53" t="s">
        <v>132</v>
      </c>
      <c r="C20" s="62">
        <v>6500</v>
      </c>
      <c r="D20" s="62">
        <v>6500</v>
      </c>
      <c r="E20" s="158">
        <f t="shared" si="0"/>
        <v>0</v>
      </c>
    </row>
    <row r="21" spans="1:5" s="24" customFormat="1" ht="15.75" customHeight="1">
      <c r="A21" s="75" t="s">
        <v>69</v>
      </c>
      <c r="B21" s="59" t="s">
        <v>282</v>
      </c>
      <c r="C21" s="62"/>
      <c r="D21" s="62">
        <v>254</v>
      </c>
      <c r="E21" s="158">
        <f t="shared" si="0"/>
        <v>254</v>
      </c>
    </row>
    <row r="22" spans="1:5" s="24" customFormat="1" ht="15.75" customHeight="1">
      <c r="A22" s="75" t="s">
        <v>72</v>
      </c>
      <c r="B22" s="59" t="s">
        <v>145</v>
      </c>
      <c r="C22" s="62">
        <v>150</v>
      </c>
      <c r="D22" s="62">
        <f>150+1153+311+79+21</f>
        <v>1714</v>
      </c>
      <c r="E22" s="158">
        <f t="shared" si="0"/>
        <v>1564</v>
      </c>
    </row>
    <row r="23" spans="1:5" s="24" customFormat="1" ht="25.5">
      <c r="A23" s="75" t="s">
        <v>77</v>
      </c>
      <c r="B23" s="59" t="s">
        <v>146</v>
      </c>
      <c r="C23" s="62">
        <v>1000</v>
      </c>
      <c r="D23" s="62">
        <v>1000</v>
      </c>
      <c r="E23" s="158">
        <f t="shared" si="0"/>
        <v>0</v>
      </c>
    </row>
    <row r="24" spans="1:5" s="24" customFormat="1" ht="12.75">
      <c r="A24" s="75" t="s">
        <v>78</v>
      </c>
      <c r="B24" s="59" t="s">
        <v>284</v>
      </c>
      <c r="C24" s="62"/>
      <c r="D24" s="62">
        <v>588</v>
      </c>
      <c r="E24" s="158">
        <f t="shared" si="0"/>
        <v>588</v>
      </c>
    </row>
    <row r="25" spans="1:5" s="24" customFormat="1" ht="12.75">
      <c r="A25" s="75" t="s">
        <v>143</v>
      </c>
      <c r="B25" s="59" t="s">
        <v>147</v>
      </c>
      <c r="C25" s="62">
        <v>380</v>
      </c>
      <c r="D25" s="62">
        <v>380</v>
      </c>
      <c r="E25" s="158">
        <f t="shared" si="0"/>
        <v>0</v>
      </c>
    </row>
    <row r="26" spans="1:5" s="24" customFormat="1" ht="25.5">
      <c r="A26" s="75" t="s">
        <v>144</v>
      </c>
      <c r="B26" s="59" t="s">
        <v>148</v>
      </c>
      <c r="C26" s="62">
        <v>1525</v>
      </c>
      <c r="D26" s="62">
        <v>1525</v>
      </c>
      <c r="E26" s="158">
        <f t="shared" si="0"/>
        <v>0</v>
      </c>
    </row>
    <row r="27" spans="1:5" s="24" customFormat="1" ht="18.75" customHeight="1">
      <c r="A27" s="78" t="s">
        <v>144</v>
      </c>
      <c r="B27" s="60" t="s">
        <v>131</v>
      </c>
      <c r="C27" s="61">
        <v>4000</v>
      </c>
      <c r="D27" s="61">
        <v>4000</v>
      </c>
      <c r="E27" s="198">
        <f t="shared" si="0"/>
        <v>0</v>
      </c>
    </row>
    <row r="28" spans="1:5" s="24" customFormat="1" ht="18" customHeight="1">
      <c r="A28" s="78" t="s">
        <v>280</v>
      </c>
      <c r="B28" s="60" t="s">
        <v>130</v>
      </c>
      <c r="C28" s="61">
        <v>2400</v>
      </c>
      <c r="D28" s="61">
        <v>2400</v>
      </c>
      <c r="E28" s="198">
        <f t="shared" si="0"/>
        <v>0</v>
      </c>
    </row>
    <row r="29" spans="1:5" s="24" customFormat="1" ht="18" customHeight="1">
      <c r="A29" s="78" t="s">
        <v>283</v>
      </c>
      <c r="B29" s="60" t="s">
        <v>281</v>
      </c>
      <c r="C29" s="61"/>
      <c r="D29" s="51">
        <v>635</v>
      </c>
      <c r="E29" s="198">
        <f t="shared" si="0"/>
        <v>635</v>
      </c>
    </row>
    <row r="30" spans="1:5" ht="12.75">
      <c r="A30" s="68"/>
      <c r="B30" s="18" t="s">
        <v>4</v>
      </c>
      <c r="C30" s="47">
        <f>SUM(C6:C29)</f>
        <v>247613</v>
      </c>
      <c r="D30" s="47">
        <f>SUM(D6:D29)</f>
        <v>141119</v>
      </c>
      <c r="E30" s="47">
        <f>SUM(E6:E29)</f>
        <v>-106494</v>
      </c>
    </row>
    <row r="31" spans="1:3" ht="12.75">
      <c r="A31" s="68"/>
      <c r="B31" s="18"/>
      <c r="C31" s="47"/>
    </row>
    <row r="32" spans="1:3" ht="12.75">
      <c r="A32" s="5" t="s">
        <v>2</v>
      </c>
      <c r="B32" s="18" t="s">
        <v>174</v>
      </c>
      <c r="C32" s="7"/>
    </row>
    <row r="33" spans="1:5" s="69" customFormat="1" ht="15.75">
      <c r="A33" s="75" t="s">
        <v>6</v>
      </c>
      <c r="B33" s="76" t="s">
        <v>124</v>
      </c>
      <c r="C33" s="77">
        <v>2000</v>
      </c>
      <c r="D33" s="52">
        <v>2000</v>
      </c>
      <c r="E33" s="158">
        <f aca="true" t="shared" si="1" ref="E33:E41">D33-C33</f>
        <v>0</v>
      </c>
    </row>
    <row r="34" spans="1:5" s="69" customFormat="1" ht="15.75">
      <c r="A34" s="75" t="s">
        <v>7</v>
      </c>
      <c r="B34" s="76" t="s">
        <v>123</v>
      </c>
      <c r="C34" s="77">
        <v>2500</v>
      </c>
      <c r="D34" s="52">
        <v>2500</v>
      </c>
      <c r="E34" s="158">
        <f t="shared" si="1"/>
        <v>0</v>
      </c>
    </row>
    <row r="35" spans="1:5" s="69" customFormat="1" ht="15.75">
      <c r="A35" s="75" t="s">
        <v>8</v>
      </c>
      <c r="B35" s="76" t="s">
        <v>157</v>
      </c>
      <c r="C35" s="77">
        <f>9769</f>
        <v>9769</v>
      </c>
      <c r="D35" s="52">
        <v>9769</v>
      </c>
      <c r="E35" s="158">
        <f t="shared" si="1"/>
        <v>0</v>
      </c>
    </row>
    <row r="36" spans="1:5" ht="11.25" customHeight="1">
      <c r="A36" s="75" t="s">
        <v>9</v>
      </c>
      <c r="B36" s="172" t="s">
        <v>159</v>
      </c>
      <c r="C36" s="158">
        <v>500</v>
      </c>
      <c r="D36" s="52">
        <v>500</v>
      </c>
      <c r="E36" s="158">
        <f t="shared" si="1"/>
        <v>0</v>
      </c>
    </row>
    <row r="37" spans="1:5" s="24" customFormat="1" ht="12.75">
      <c r="A37" s="75" t="s">
        <v>10</v>
      </c>
      <c r="B37" s="59" t="s">
        <v>122</v>
      </c>
      <c r="C37" s="62">
        <v>20000</v>
      </c>
      <c r="D37" s="158">
        <f>C37+3197+863</f>
        <v>24060</v>
      </c>
      <c r="E37" s="158">
        <f t="shared" si="1"/>
        <v>4060</v>
      </c>
    </row>
    <row r="38" spans="1:5" s="24" customFormat="1" ht="12.75">
      <c r="A38" s="75" t="s">
        <v>27</v>
      </c>
      <c r="B38" s="59" t="s">
        <v>85</v>
      </c>
      <c r="C38" s="62">
        <v>14278</v>
      </c>
      <c r="D38" s="52">
        <v>14278</v>
      </c>
      <c r="E38" s="158">
        <f t="shared" si="1"/>
        <v>0</v>
      </c>
    </row>
    <row r="39" spans="1:5" s="24" customFormat="1" ht="12.75">
      <c r="A39" s="75" t="s">
        <v>28</v>
      </c>
      <c r="B39" s="59" t="s">
        <v>156</v>
      </c>
      <c r="C39" s="62">
        <v>5000</v>
      </c>
      <c r="D39" s="52">
        <v>5000</v>
      </c>
      <c r="E39" s="158">
        <f t="shared" si="1"/>
        <v>0</v>
      </c>
    </row>
    <row r="40" spans="1:8" s="24" customFormat="1" ht="12.75">
      <c r="A40" s="75" t="s">
        <v>30</v>
      </c>
      <c r="B40" s="53" t="s">
        <v>142</v>
      </c>
      <c r="C40" s="62"/>
      <c r="D40" s="158">
        <v>109535</v>
      </c>
      <c r="E40" s="158">
        <f t="shared" si="1"/>
        <v>109535</v>
      </c>
      <c r="H40" s="24" t="s">
        <v>160</v>
      </c>
    </row>
    <row r="41" spans="1:8" s="24" customFormat="1" ht="25.5">
      <c r="A41" s="75" t="s">
        <v>70</v>
      </c>
      <c r="B41" s="53" t="s">
        <v>285</v>
      </c>
      <c r="C41" s="62"/>
      <c r="D41" s="158">
        <f>3087+833</f>
        <v>3920</v>
      </c>
      <c r="E41" s="158">
        <f t="shared" si="1"/>
        <v>3920</v>
      </c>
      <c r="H41" s="24" t="s">
        <v>160</v>
      </c>
    </row>
    <row r="42" spans="1:5" s="5" customFormat="1" ht="12.75">
      <c r="A42" s="2"/>
      <c r="B42" s="36" t="s">
        <v>4</v>
      </c>
      <c r="C42" s="47">
        <f>SUM(C33:C41)</f>
        <v>54047</v>
      </c>
      <c r="D42" s="47">
        <f>SUM(D33:D41)</f>
        <v>171562</v>
      </c>
      <c r="E42" s="47">
        <f>SUM(E33:E41)</f>
        <v>117515</v>
      </c>
    </row>
    <row r="43" spans="1:3" s="5" customFormat="1" ht="12.75">
      <c r="A43" s="2"/>
      <c r="B43" s="36"/>
      <c r="C43" s="47"/>
    </row>
    <row r="44" spans="1:3" s="5" customFormat="1" ht="12.75">
      <c r="A44" s="5" t="s">
        <v>12</v>
      </c>
      <c r="B44" s="18" t="s">
        <v>209</v>
      </c>
      <c r="C44" s="7"/>
    </row>
    <row r="45" spans="1:3" s="5" customFormat="1" ht="12.75">
      <c r="A45" s="8" t="s">
        <v>6</v>
      </c>
      <c r="B45" s="132" t="s">
        <v>210</v>
      </c>
      <c r="C45" s="129"/>
    </row>
    <row r="46" spans="1:5" ht="12.75">
      <c r="A46" s="51" t="s">
        <v>6</v>
      </c>
      <c r="B46" s="57" t="s">
        <v>15</v>
      </c>
      <c r="C46" s="58">
        <v>1350</v>
      </c>
      <c r="D46" s="51">
        <v>1350</v>
      </c>
      <c r="E46" s="198">
        <f>D46-C46</f>
        <v>0</v>
      </c>
    </row>
    <row r="47" spans="1:5" ht="12.75">
      <c r="A47" s="51" t="s">
        <v>7</v>
      </c>
      <c r="B47" s="57" t="s">
        <v>81</v>
      </c>
      <c r="C47" s="58">
        <v>1100</v>
      </c>
      <c r="D47" s="51">
        <v>1100</v>
      </c>
      <c r="E47" s="198">
        <f>D47-C47</f>
        <v>0</v>
      </c>
    </row>
    <row r="48" spans="2:5" s="5" customFormat="1" ht="12.75">
      <c r="B48" s="132" t="s">
        <v>4</v>
      </c>
      <c r="C48" s="129">
        <f>SUM(C46:C47)</f>
        <v>2450</v>
      </c>
      <c r="D48" s="129">
        <f>SUM(D46:D47)</f>
        <v>2450</v>
      </c>
      <c r="E48" s="129">
        <f>SUM(E46:E47)</f>
        <v>0</v>
      </c>
    </row>
    <row r="49" spans="1:3" s="5" customFormat="1" ht="12.75">
      <c r="A49" s="8" t="s">
        <v>7</v>
      </c>
      <c r="B49" s="132" t="s">
        <v>211</v>
      </c>
      <c r="C49" s="7"/>
    </row>
    <row r="50" spans="1:5" ht="12.75">
      <c r="A50" s="52" t="s">
        <v>6</v>
      </c>
      <c r="B50" s="55" t="s">
        <v>47</v>
      </c>
      <c r="C50" s="56">
        <v>5802</v>
      </c>
      <c r="D50" s="56">
        <v>5802</v>
      </c>
      <c r="E50" s="158">
        <f aca="true" t="shared" si="2" ref="E50:E56">D50-C50</f>
        <v>0</v>
      </c>
    </row>
    <row r="51" spans="1:5" ht="12.75">
      <c r="A51" s="52" t="s">
        <v>9</v>
      </c>
      <c r="B51" s="55" t="s">
        <v>116</v>
      </c>
      <c r="C51" s="56">
        <v>576</v>
      </c>
      <c r="D51" s="56">
        <v>576</v>
      </c>
      <c r="E51" s="158">
        <f t="shared" si="2"/>
        <v>0</v>
      </c>
    </row>
    <row r="52" spans="1:5" ht="12.75">
      <c r="A52" s="52" t="s">
        <v>8</v>
      </c>
      <c r="B52" s="55" t="s">
        <v>115</v>
      </c>
      <c r="C52" s="56">
        <v>1600</v>
      </c>
      <c r="D52" s="56">
        <v>1600</v>
      </c>
      <c r="E52" s="158">
        <f t="shared" si="2"/>
        <v>0</v>
      </c>
    </row>
    <row r="53" spans="1:5" ht="12.75">
      <c r="A53" s="52" t="s">
        <v>9</v>
      </c>
      <c r="B53" s="55" t="s">
        <v>114</v>
      </c>
      <c r="C53" s="56">
        <v>698</v>
      </c>
      <c r="D53" s="56">
        <v>698</v>
      </c>
      <c r="E53" s="158">
        <f t="shared" si="2"/>
        <v>0</v>
      </c>
    </row>
    <row r="54" spans="1:5" ht="12.75">
      <c r="A54" s="52" t="s">
        <v>10</v>
      </c>
      <c r="B54" s="55" t="s">
        <v>80</v>
      </c>
      <c r="C54" s="56">
        <v>800</v>
      </c>
      <c r="D54" s="56">
        <v>800</v>
      </c>
      <c r="E54" s="158">
        <f t="shared" si="2"/>
        <v>0</v>
      </c>
    </row>
    <row r="55" spans="1:5" ht="12.75">
      <c r="A55" s="52" t="s">
        <v>27</v>
      </c>
      <c r="B55" s="55" t="s">
        <v>117</v>
      </c>
      <c r="C55" s="56">
        <v>258</v>
      </c>
      <c r="D55" s="56">
        <v>258</v>
      </c>
      <c r="E55" s="158">
        <f t="shared" si="2"/>
        <v>0</v>
      </c>
    </row>
    <row r="56" spans="1:5" ht="12.75">
      <c r="A56" s="52" t="s">
        <v>28</v>
      </c>
      <c r="B56" s="55" t="s">
        <v>84</v>
      </c>
      <c r="C56" s="56">
        <v>1600</v>
      </c>
      <c r="D56" s="56">
        <v>1600</v>
      </c>
      <c r="E56" s="158">
        <f t="shared" si="2"/>
        <v>0</v>
      </c>
    </row>
    <row r="57" spans="2:5" s="5" customFormat="1" ht="12.75">
      <c r="B57" s="132" t="s">
        <v>4</v>
      </c>
      <c r="C57" s="129">
        <f>SUM(C50:C56)</f>
        <v>11334</v>
      </c>
      <c r="D57" s="129">
        <f>SUM(D50:D56)</f>
        <v>11334</v>
      </c>
      <c r="E57" s="129">
        <f>SUM(E50:E56)</f>
        <v>0</v>
      </c>
    </row>
    <row r="58" spans="1:3" s="5" customFormat="1" ht="12.75">
      <c r="A58" s="8" t="s">
        <v>8</v>
      </c>
      <c r="B58" s="132" t="s">
        <v>212</v>
      </c>
      <c r="C58" s="7"/>
    </row>
    <row r="59" spans="1:5" ht="12.75">
      <c r="A59" s="52" t="s">
        <v>6</v>
      </c>
      <c r="B59" s="55" t="s">
        <v>118</v>
      </c>
      <c r="C59" s="56">
        <v>1100</v>
      </c>
      <c r="D59" s="56">
        <v>1100</v>
      </c>
      <c r="E59" s="158">
        <f>D59-C59</f>
        <v>0</v>
      </c>
    </row>
    <row r="60" spans="2:5" s="5" customFormat="1" ht="12.75">
      <c r="B60" s="132" t="s">
        <v>4</v>
      </c>
      <c r="C60" s="129">
        <f>SUM(C59:C59)</f>
        <v>1100</v>
      </c>
      <c r="D60" s="129">
        <f>SUM(D59:D59)</f>
        <v>1100</v>
      </c>
      <c r="E60" s="129">
        <f>SUM(E59:E59)</f>
        <v>0</v>
      </c>
    </row>
    <row r="61" spans="1:3" ht="12.75" customHeight="1">
      <c r="A61" s="133" t="s">
        <v>9</v>
      </c>
      <c r="B61" s="134" t="s">
        <v>213</v>
      </c>
      <c r="C61" s="48"/>
    </row>
    <row r="62" spans="1:5" s="69" customFormat="1" ht="15.75" customHeight="1">
      <c r="A62" s="80" t="s">
        <v>61</v>
      </c>
      <c r="B62" s="81" t="s">
        <v>86</v>
      </c>
      <c r="C62" s="82"/>
      <c r="D62" s="51"/>
      <c r="E62" s="198">
        <f>D62-C62</f>
        <v>0</v>
      </c>
    </row>
    <row r="63" spans="1:5" ht="15" customHeight="1">
      <c r="A63" s="1"/>
      <c r="B63" s="134" t="s">
        <v>4</v>
      </c>
      <c r="C63" s="9">
        <f>SUM(C62:C62)</f>
        <v>0</v>
      </c>
      <c r="D63" s="9">
        <f>SUM(D62:D62)</f>
        <v>0</v>
      </c>
      <c r="E63" s="9">
        <f>SUM(E62:E62)</f>
        <v>0</v>
      </c>
    </row>
    <row r="64" spans="1:5" s="5" customFormat="1" ht="12.75">
      <c r="A64" s="2"/>
      <c r="B64" s="36" t="s">
        <v>4</v>
      </c>
      <c r="C64" s="47">
        <f>C63+C60+C57+C48</f>
        <v>14884</v>
      </c>
      <c r="D64" s="47">
        <f>D63+D60+D57+D48</f>
        <v>14884</v>
      </c>
      <c r="E64" s="47">
        <f>E63+E60+E57+E48</f>
        <v>0</v>
      </c>
    </row>
    <row r="65" spans="2:3" s="5" customFormat="1" ht="9.75" customHeight="1">
      <c r="B65" s="18"/>
      <c r="C65" s="7"/>
    </row>
    <row r="66" spans="2:5" s="5" customFormat="1" ht="21.75" customHeight="1">
      <c r="B66" s="36" t="s">
        <v>214</v>
      </c>
      <c r="C66" s="7">
        <f>C64+C42+C30</f>
        <v>316544</v>
      </c>
      <c r="D66" s="7">
        <f>D64+D42+D30</f>
        <v>327565</v>
      </c>
      <c r="E66" s="7">
        <f>E64+E42+E30</f>
        <v>11021</v>
      </c>
    </row>
    <row r="67" spans="2:3" s="5" customFormat="1" ht="9.75" customHeight="1">
      <c r="B67" s="36"/>
      <c r="C67" s="7"/>
    </row>
    <row r="68" spans="1:5" s="5" customFormat="1" ht="15" customHeight="1">
      <c r="A68" s="5" t="s">
        <v>16</v>
      </c>
      <c r="B68" s="66" t="s">
        <v>217</v>
      </c>
      <c r="C68" s="7"/>
      <c r="E68" s="7"/>
    </row>
    <row r="69" spans="1:5" s="4" customFormat="1" ht="15" customHeight="1">
      <c r="A69" s="52" t="s">
        <v>6</v>
      </c>
      <c r="B69" s="53" t="s">
        <v>216</v>
      </c>
      <c r="C69" s="64">
        <v>0</v>
      </c>
      <c r="D69" s="188"/>
      <c r="E69" s="158">
        <f>D69-C69</f>
        <v>0</v>
      </c>
    </row>
    <row r="70" spans="2:5" s="5" customFormat="1" ht="15" customHeight="1">
      <c r="B70" s="66" t="s">
        <v>4</v>
      </c>
      <c r="C70" s="7">
        <f>SUM(C69:C69)</f>
        <v>0</v>
      </c>
      <c r="D70" s="7">
        <f>SUM(D69:D69)</f>
        <v>0</v>
      </c>
      <c r="E70" s="7">
        <f>SUM(E69:E69)</f>
        <v>0</v>
      </c>
    </row>
    <row r="71" spans="2:5" s="4" customFormat="1" ht="15" customHeight="1">
      <c r="B71" s="66" t="s">
        <v>215</v>
      </c>
      <c r="C71" s="7">
        <f>C70</f>
        <v>0</v>
      </c>
      <c r="D71" s="7">
        <f>D70</f>
        <v>0</v>
      </c>
      <c r="E71" s="7">
        <f>E70</f>
        <v>0</v>
      </c>
    </row>
    <row r="72" spans="1:3" s="5" customFormat="1" ht="12.75">
      <c r="A72" s="2"/>
      <c r="B72" s="18"/>
      <c r="C72" s="7"/>
    </row>
    <row r="73" spans="1:5" s="5" customFormat="1" ht="12.75">
      <c r="A73" s="2"/>
      <c r="B73" s="18" t="s">
        <v>17</v>
      </c>
      <c r="C73" s="7">
        <f>C66+C71</f>
        <v>316544</v>
      </c>
      <c r="D73" s="7">
        <f>D66+D71</f>
        <v>327565</v>
      </c>
      <c r="E73" s="7">
        <f>E66+E71</f>
        <v>11021</v>
      </c>
    </row>
    <row r="74" spans="1:3" s="5" customFormat="1" ht="12.75">
      <c r="A74" s="2"/>
      <c r="B74" s="18" t="s">
        <v>89</v>
      </c>
      <c r="C74" s="7"/>
    </row>
    <row r="75" spans="2:5" ht="15.75" customHeight="1">
      <c r="B75" s="70" t="s">
        <v>90</v>
      </c>
      <c r="C75" s="71">
        <f>C73-C76</f>
        <v>307694</v>
      </c>
      <c r="D75" s="71">
        <f>D73-D76</f>
        <v>318715</v>
      </c>
      <c r="E75" s="71">
        <f>E73-E76</f>
        <v>11021</v>
      </c>
    </row>
    <row r="76" spans="2:6" ht="19.5" customHeight="1">
      <c r="B76" s="72" t="s">
        <v>88</v>
      </c>
      <c r="C76" s="73">
        <f>C62+C28+C27+C47+C46</f>
        <v>8850</v>
      </c>
      <c r="D76" s="73">
        <f>D62+D28+D27+D47+D46</f>
        <v>8850</v>
      </c>
      <c r="E76" s="73">
        <f>E62+E28+E27+E47+E46</f>
        <v>0</v>
      </c>
      <c r="F76" s="2" t="s">
        <v>265</v>
      </c>
    </row>
    <row r="77" ht="11.25" customHeight="1" hidden="1"/>
    <row r="78" ht="11.25" customHeight="1"/>
    <row r="79" spans="2:3" ht="11.25" customHeight="1">
      <c r="B79" s="18" t="s">
        <v>158</v>
      </c>
      <c r="C79" s="7">
        <f>C73-'4. melléklet'!C44</f>
        <v>0</v>
      </c>
    </row>
    <row r="80" ht="11.25" customHeight="1" hidden="1"/>
    <row r="81" ht="11.25" customHeight="1"/>
    <row r="82" spans="1:2" ht="11.25" customHeight="1">
      <c r="A82" s="2" t="s">
        <v>256</v>
      </c>
      <c r="B82" s="18" t="s">
        <v>151</v>
      </c>
    </row>
    <row r="83" spans="1:3" s="24" customFormat="1" ht="12.75">
      <c r="A83" s="68" t="s">
        <v>6</v>
      </c>
      <c r="B83" s="120" t="s">
        <v>125</v>
      </c>
      <c r="C83" s="121">
        <v>8000</v>
      </c>
    </row>
    <row r="84" spans="1:3" s="24" customFormat="1" ht="12.75">
      <c r="A84" s="68" t="s">
        <v>7</v>
      </c>
      <c r="B84" s="120" t="s">
        <v>135</v>
      </c>
      <c r="C84" s="121">
        <v>12500</v>
      </c>
    </row>
    <row r="85" spans="1:3" s="24" customFormat="1" ht="12.75">
      <c r="A85" s="68" t="s">
        <v>8</v>
      </c>
      <c r="B85" s="2" t="s">
        <v>140</v>
      </c>
      <c r="C85" s="121">
        <v>3000</v>
      </c>
    </row>
    <row r="86" spans="1:4" s="24" customFormat="1" ht="12.75">
      <c r="A86" s="68" t="s">
        <v>9</v>
      </c>
      <c r="B86" s="120" t="s">
        <v>121</v>
      </c>
      <c r="C86" s="121">
        <v>2000</v>
      </c>
      <c r="D86" s="2"/>
    </row>
    <row r="87" spans="1:3" ht="11.25" customHeight="1">
      <c r="A87" s="68" t="s">
        <v>10</v>
      </c>
      <c r="B87" s="14" t="s">
        <v>257</v>
      </c>
      <c r="C87" s="3">
        <v>4800</v>
      </c>
    </row>
    <row r="88" spans="1:3" ht="11.25" customHeight="1">
      <c r="A88" s="68" t="s">
        <v>27</v>
      </c>
      <c r="B88" s="14" t="s">
        <v>258</v>
      </c>
      <c r="C88" s="3">
        <v>2000</v>
      </c>
    </row>
    <row r="89" spans="1:3" ht="12.75">
      <c r="A89" s="68" t="s">
        <v>28</v>
      </c>
      <c r="B89" s="14" t="s">
        <v>259</v>
      </c>
      <c r="C89" s="3">
        <v>1262</v>
      </c>
    </row>
    <row r="90" spans="1:3" s="24" customFormat="1" ht="12.75">
      <c r="A90" s="68" t="s">
        <v>30</v>
      </c>
      <c r="B90" s="120" t="s">
        <v>260</v>
      </c>
      <c r="C90" s="121">
        <v>5000</v>
      </c>
    </row>
    <row r="91" spans="1:3" ht="11.25" customHeight="1">
      <c r="A91" s="68" t="s">
        <v>70</v>
      </c>
      <c r="B91" s="14" t="s">
        <v>149</v>
      </c>
      <c r="C91" s="3">
        <v>12000</v>
      </c>
    </row>
    <row r="92" spans="1:3" ht="12.75">
      <c r="A92" s="68" t="s">
        <v>71</v>
      </c>
      <c r="B92" s="14" t="s">
        <v>150</v>
      </c>
      <c r="C92" s="3">
        <v>6400</v>
      </c>
    </row>
    <row r="93" spans="1:3" s="24" customFormat="1" ht="12.75">
      <c r="A93" s="68" t="s">
        <v>32</v>
      </c>
      <c r="B93" s="120" t="s">
        <v>133</v>
      </c>
      <c r="C93" s="121">
        <v>4300</v>
      </c>
    </row>
    <row r="94" spans="1:3" ht="12.75">
      <c r="A94" s="68" t="s">
        <v>33</v>
      </c>
      <c r="B94" s="14" t="s">
        <v>154</v>
      </c>
      <c r="C94" s="3">
        <v>28000</v>
      </c>
    </row>
    <row r="95" spans="1:3" ht="12.75">
      <c r="A95" s="68" t="s">
        <v>59</v>
      </c>
      <c r="B95" s="14" t="s">
        <v>155</v>
      </c>
      <c r="C95" s="3">
        <v>25000</v>
      </c>
    </row>
    <row r="96" spans="1:3" ht="12.75">
      <c r="A96" s="68" t="s">
        <v>60</v>
      </c>
      <c r="B96" s="122" t="s">
        <v>119</v>
      </c>
      <c r="C96" s="123">
        <v>9000</v>
      </c>
    </row>
    <row r="97" spans="1:3" ht="12.75">
      <c r="A97" s="68" t="s">
        <v>68</v>
      </c>
      <c r="B97" s="122" t="s">
        <v>120</v>
      </c>
      <c r="C97" s="123">
        <v>3000</v>
      </c>
    </row>
    <row r="98" spans="2:3" ht="12.75">
      <c r="B98" s="18" t="s">
        <v>4</v>
      </c>
      <c r="C98" s="47">
        <f>SUM(C83:C97)</f>
        <v>126262</v>
      </c>
    </row>
    <row r="99" ht="12.75" hidden="1"/>
    <row r="100" spans="2:4" ht="39" customHeight="1">
      <c r="B100" s="212" t="s">
        <v>261</v>
      </c>
      <c r="C100" s="212"/>
      <c r="D100" s="212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spans="1:3" s="4" customFormat="1" ht="13.5">
      <c r="A125" s="2"/>
      <c r="B125" s="14"/>
      <c r="C125" s="15"/>
    </row>
    <row r="126" spans="1:3" s="5" customFormat="1" ht="12.75">
      <c r="A126" s="2"/>
      <c r="B126" s="14"/>
      <c r="C126" s="15"/>
    </row>
    <row r="127" spans="1:3" s="8" customFormat="1" ht="12.75">
      <c r="A127" s="2"/>
      <c r="B127" s="14"/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spans="1:3" ht="12.75">
      <c r="A135" s="16"/>
      <c r="C135" s="15"/>
    </row>
    <row r="136" spans="1:3" ht="12.75">
      <c r="A136" s="16"/>
      <c r="C136" s="15"/>
    </row>
    <row r="137" ht="12.75">
      <c r="C137" s="15"/>
    </row>
    <row r="138" ht="12.75">
      <c r="C138" s="15"/>
    </row>
    <row r="139" spans="1:3" ht="12.75">
      <c r="A139" s="5"/>
      <c r="B139" s="18"/>
      <c r="C139" s="6"/>
    </row>
    <row r="142" spans="2:3" s="5" customFormat="1" ht="12.75">
      <c r="B142" s="18"/>
      <c r="C142" s="7"/>
    </row>
    <row r="145" spans="2:3" s="5" customFormat="1" ht="12.75">
      <c r="B145" s="18"/>
      <c r="C145" s="3"/>
    </row>
    <row r="146" ht="12.75">
      <c r="C146" s="10"/>
    </row>
    <row r="147" ht="12.75">
      <c r="C147" s="10"/>
    </row>
    <row r="148" ht="12.75">
      <c r="C148" s="10"/>
    </row>
    <row r="149" ht="12.75">
      <c r="C149" s="10"/>
    </row>
    <row r="150" ht="12.75">
      <c r="C150" s="10"/>
    </row>
    <row r="151" ht="12.75">
      <c r="C151" s="10"/>
    </row>
    <row r="152" ht="12.75">
      <c r="C152" s="10"/>
    </row>
    <row r="153" ht="12.75">
      <c r="C153" s="10"/>
    </row>
    <row r="154" spans="2:3" ht="12.75">
      <c r="B154" s="18"/>
      <c r="C154" s="7"/>
    </row>
    <row r="155" ht="12.75">
      <c r="B155" s="18"/>
    </row>
    <row r="156" ht="12.75">
      <c r="C156" s="7"/>
    </row>
    <row r="157" spans="1:2" ht="12.75">
      <c r="A157" s="5"/>
      <c r="B157" s="18"/>
    </row>
    <row r="159" ht="12.75">
      <c r="C159" s="7"/>
    </row>
    <row r="160" spans="1:3" ht="12.75">
      <c r="A160" s="5"/>
      <c r="B160" s="18"/>
      <c r="C160" s="7"/>
    </row>
    <row r="161" spans="1:2" ht="12.75">
      <c r="A161" s="5"/>
      <c r="B161" s="18"/>
    </row>
    <row r="162" ht="12.75">
      <c r="C162" s="7"/>
    </row>
    <row r="163" spans="1:3" ht="12.75">
      <c r="A163" s="5"/>
      <c r="B163" s="18"/>
      <c r="C163" s="10"/>
    </row>
    <row r="164" spans="2:3" ht="12.75">
      <c r="B164" s="16"/>
      <c r="C164" s="10"/>
    </row>
    <row r="165" spans="2:3" ht="12.75">
      <c r="B165" s="16"/>
      <c r="C165" s="10"/>
    </row>
    <row r="166" spans="2:3" ht="12.75">
      <c r="B166" s="16"/>
      <c r="C166" s="10"/>
    </row>
    <row r="167" spans="2:3" ht="12.75">
      <c r="B167" s="16"/>
      <c r="C167" s="10"/>
    </row>
    <row r="168" spans="2:3" ht="12.75">
      <c r="B168" s="16"/>
      <c r="C168" s="10"/>
    </row>
    <row r="169" spans="2:3" ht="12.75">
      <c r="B169" s="16"/>
      <c r="C169" s="10"/>
    </row>
    <row r="170" spans="2:3" ht="12.75">
      <c r="B170" s="16"/>
      <c r="C170" s="10"/>
    </row>
    <row r="171" spans="2:3" ht="12.75">
      <c r="B171" s="16"/>
      <c r="C171" s="10"/>
    </row>
    <row r="172" ht="12.75">
      <c r="B172" s="16"/>
    </row>
    <row r="179" ht="12.75">
      <c r="C179" s="7"/>
    </row>
    <row r="180" ht="12.75">
      <c r="B180" s="18"/>
    </row>
    <row r="181" ht="12.75">
      <c r="C181" s="7"/>
    </row>
    <row r="182" spans="1:2" ht="12.75">
      <c r="A182" s="5"/>
      <c r="B182" s="18"/>
    </row>
    <row r="185" ht="12.75">
      <c r="C185" s="7"/>
    </row>
    <row r="187" ht="12.75">
      <c r="C187" s="7"/>
    </row>
    <row r="188" spans="1:3" ht="12.75">
      <c r="A188" s="5"/>
      <c r="B188" s="18"/>
      <c r="C188" s="10"/>
    </row>
    <row r="189" ht="12.75">
      <c r="B189" s="16"/>
    </row>
    <row r="190" ht="12.75">
      <c r="C190" s="7"/>
    </row>
    <row r="191" spans="1:2" ht="12.75">
      <c r="A191" s="5"/>
      <c r="B191" s="18"/>
    </row>
    <row r="192" ht="12.75">
      <c r="C192" s="7"/>
    </row>
    <row r="193" spans="1:2" ht="12.75">
      <c r="A193" s="5"/>
      <c r="B193" s="18"/>
    </row>
  </sheetData>
  <sheetProtection/>
  <mergeCells count="2">
    <mergeCell ref="A3:C3"/>
    <mergeCell ref="B100:D100"/>
  </mergeCells>
  <printOptions/>
  <pageMargins left="0.7874015748031497" right="0.7874015748031497" top="1.1023622047244095" bottom="1.1811023622047245" header="0.7874015748031497" footer="0.9055118110236221"/>
  <pageSetup horizontalDpi="300" verticalDpi="300" orientation="portrait" paperSize="9" scale="97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96"/>
  <sheetViews>
    <sheetView zoomScaleSheetLayoutView="100" workbookViewId="0" topLeftCell="A1">
      <selection activeCell="G7" sqref="G7"/>
    </sheetView>
  </sheetViews>
  <sheetFormatPr defaultColWidth="9.00390625" defaultRowHeight="12.75"/>
  <cols>
    <col min="1" max="1" width="7.125" style="160" customWidth="1"/>
    <col min="2" max="2" width="39.375" style="50" customWidth="1"/>
    <col min="3" max="3" width="14.00390625" style="25" customWidth="1"/>
    <col min="4" max="4" width="16.125" style="24" customWidth="1"/>
    <col min="5" max="5" width="0.875" style="24" customWidth="1"/>
    <col min="6" max="16384" width="9.125" style="24" customWidth="1"/>
  </cols>
  <sheetData>
    <row r="1" spans="1:3" ht="12.75" customHeight="1">
      <c r="A1" s="175" t="s">
        <v>304</v>
      </c>
      <c r="C1" s="159"/>
    </row>
    <row r="2" spans="1:3" ht="13.5">
      <c r="A2" s="219" t="s">
        <v>291</v>
      </c>
      <c r="B2" s="219"/>
      <c r="C2" s="159"/>
    </row>
    <row r="3" spans="2:4" ht="13.5">
      <c r="B3" s="215" t="s">
        <v>237</v>
      </c>
      <c r="C3" s="216"/>
      <c r="D3" s="216"/>
    </row>
    <row r="4" spans="1:5" ht="24.75" customHeight="1">
      <c r="A4" s="213" t="s">
        <v>238</v>
      </c>
      <c r="B4" s="214"/>
      <c r="C4" s="214"/>
      <c r="D4" s="214"/>
      <c r="E4" s="214"/>
    </row>
    <row r="5" spans="1:5" ht="12.75">
      <c r="A5" s="214"/>
      <c r="B5" s="214"/>
      <c r="C5" s="214"/>
      <c r="D5" s="214"/>
      <c r="E5" s="214"/>
    </row>
    <row r="6" spans="2:3" ht="13.5">
      <c r="B6" s="162"/>
      <c r="C6" s="163"/>
    </row>
    <row r="7" spans="1:4" ht="29.25" customHeight="1">
      <c r="A7" s="164" t="s">
        <v>239</v>
      </c>
      <c r="B7" s="217" t="s">
        <v>252</v>
      </c>
      <c r="C7" s="218"/>
      <c r="D7" s="218"/>
    </row>
    <row r="8" spans="1:4" ht="19.5" customHeight="1">
      <c r="A8" s="164"/>
      <c r="B8" s="165"/>
      <c r="C8" s="166"/>
      <c r="D8" s="166"/>
    </row>
    <row r="9" spans="1:4" ht="13.5">
      <c r="A9" s="160" t="s">
        <v>6</v>
      </c>
      <c r="B9" s="167" t="s">
        <v>240</v>
      </c>
      <c r="C9" s="168" t="s">
        <v>253</v>
      </c>
      <c r="D9" s="168" t="s">
        <v>4</v>
      </c>
    </row>
    <row r="10" spans="2:4" ht="13.5">
      <c r="B10" s="169" t="s">
        <v>241</v>
      </c>
      <c r="C10" s="170"/>
      <c r="D10" s="25"/>
    </row>
    <row r="11" spans="2:4" ht="13.5">
      <c r="B11" s="24" t="s">
        <v>242</v>
      </c>
      <c r="C11" s="25">
        <f>38481+9908</f>
        <v>48389</v>
      </c>
      <c r="D11" s="25">
        <f>SUM(C11:C11)</f>
        <v>48389</v>
      </c>
    </row>
    <row r="12" spans="2:4" ht="13.5">
      <c r="B12" s="24" t="s">
        <v>243</v>
      </c>
      <c r="D12" s="25">
        <f>SUM(C12:C12)</f>
        <v>0</v>
      </c>
    </row>
    <row r="13" spans="2:4" ht="13.5">
      <c r="B13" s="24" t="s">
        <v>244</v>
      </c>
      <c r="C13" s="25">
        <v>13614</v>
      </c>
      <c r="D13" s="25">
        <f>SUM(C13:C13)</f>
        <v>13614</v>
      </c>
    </row>
    <row r="14" spans="2:4" ht="13.5">
      <c r="B14" s="24" t="s">
        <v>245</v>
      </c>
      <c r="C14" s="25">
        <f>C21-C11-C12-C13</f>
        <v>0</v>
      </c>
      <c r="D14" s="25">
        <f>SUM(C14:C14)</f>
        <v>0</v>
      </c>
    </row>
    <row r="15" spans="2:4" ht="13.5">
      <c r="B15" s="169" t="s">
        <v>4</v>
      </c>
      <c r="C15" s="170">
        <f>SUM(C11:C14)</f>
        <v>62003</v>
      </c>
      <c r="D15" s="170">
        <f>SUM(C15:C15)</f>
        <v>62003</v>
      </c>
    </row>
    <row r="16" spans="2:4" ht="9.75" customHeight="1">
      <c r="B16" s="24"/>
      <c r="D16" s="25"/>
    </row>
    <row r="17" spans="2:4" ht="13.5">
      <c r="B17" s="169" t="s">
        <v>246</v>
      </c>
      <c r="C17" s="170"/>
      <c r="D17" s="25"/>
    </row>
    <row r="18" spans="2:4" ht="13.5">
      <c r="B18" s="24" t="s">
        <v>26</v>
      </c>
      <c r="D18" s="25"/>
    </row>
    <row r="19" spans="2:4" ht="13.5">
      <c r="B19" s="24" t="s">
        <v>102</v>
      </c>
      <c r="C19" s="25">
        <f>52095</f>
        <v>52095</v>
      </c>
      <c r="D19" s="25">
        <f>SUM(C19:C19)</f>
        <v>52095</v>
      </c>
    </row>
    <row r="20" spans="2:4" ht="13.5">
      <c r="B20" s="24" t="s">
        <v>247</v>
      </c>
      <c r="C20" s="25">
        <f>360+100+9448</f>
        <v>9908</v>
      </c>
      <c r="D20" s="25"/>
    </row>
    <row r="21" spans="2:4" ht="13.5">
      <c r="B21" s="169" t="s">
        <v>4</v>
      </c>
      <c r="C21" s="170">
        <f>SUM(C18:C20)</f>
        <v>62003</v>
      </c>
      <c r="D21" s="25">
        <f>SUM(C21:C21)</f>
        <v>62003</v>
      </c>
    </row>
    <row r="22" spans="2:4" ht="13.5">
      <c r="B22" s="169"/>
      <c r="C22" s="170"/>
      <c r="D22" s="25"/>
    </row>
    <row r="23" spans="2:3" ht="9" customHeight="1">
      <c r="B23" s="171"/>
      <c r="C23" s="159"/>
    </row>
    <row r="24" spans="1:4" ht="13.5">
      <c r="A24" s="160" t="s">
        <v>7</v>
      </c>
      <c r="B24" s="167" t="s">
        <v>248</v>
      </c>
      <c r="C24" s="168" t="s">
        <v>253</v>
      </c>
      <c r="D24" s="168" t="s">
        <v>4</v>
      </c>
    </row>
    <row r="25" spans="2:4" ht="13.5">
      <c r="B25" s="169" t="s">
        <v>241</v>
      </c>
      <c r="C25" s="170"/>
      <c r="D25" s="25"/>
    </row>
    <row r="26" spans="2:4" ht="13.5">
      <c r="B26" s="24" t="s">
        <v>242</v>
      </c>
      <c r="C26" s="25">
        <v>9113</v>
      </c>
      <c r="D26" s="25">
        <f>SUM(C26:C26)</f>
        <v>9113</v>
      </c>
    </row>
    <row r="27" spans="2:4" ht="13.5">
      <c r="B27" s="24" t="s">
        <v>243</v>
      </c>
      <c r="D27" s="25">
        <f>SUM(C27:C27)</f>
        <v>0</v>
      </c>
    </row>
    <row r="28" spans="2:4" ht="13.5">
      <c r="B28" s="24" t="s">
        <v>244</v>
      </c>
      <c r="D28" s="25">
        <f>SUM(C28:C28)</f>
        <v>0</v>
      </c>
    </row>
    <row r="29" spans="2:4" ht="13.5">
      <c r="B29" s="24" t="s">
        <v>245</v>
      </c>
      <c r="C29" s="25">
        <f>C36-C26-C27-C28</f>
        <v>12887</v>
      </c>
      <c r="D29" s="25">
        <f>SUM(C29:C29)</f>
        <v>12887</v>
      </c>
    </row>
    <row r="30" spans="2:4" ht="13.5">
      <c r="B30" s="169" t="s">
        <v>4</v>
      </c>
      <c r="C30" s="170">
        <f>SUM(C26:C29)</f>
        <v>22000</v>
      </c>
      <c r="D30" s="170">
        <f>SUM(C30:C30)</f>
        <v>22000</v>
      </c>
    </row>
    <row r="31" spans="2:4" ht="9.75" customHeight="1">
      <c r="B31" s="24"/>
      <c r="D31" s="25"/>
    </row>
    <row r="32" spans="2:4" ht="13.5">
      <c r="B32" s="169" t="s">
        <v>246</v>
      </c>
      <c r="C32" s="170"/>
      <c r="D32" s="25"/>
    </row>
    <row r="33" spans="2:4" ht="13.5">
      <c r="B33" s="24" t="s">
        <v>26</v>
      </c>
      <c r="D33" s="25"/>
    </row>
    <row r="34" spans="2:4" ht="13.5">
      <c r="B34" s="24" t="s">
        <v>102</v>
      </c>
      <c r="C34" s="25">
        <v>2096</v>
      </c>
      <c r="D34" s="25">
        <f>SUM(C34:C34)</f>
        <v>2096</v>
      </c>
    </row>
    <row r="35" spans="2:4" ht="13.5">
      <c r="B35" s="24" t="s">
        <v>247</v>
      </c>
      <c r="C35" s="25">
        <v>19904</v>
      </c>
      <c r="D35" s="25">
        <f>SUM(C35:C35)</f>
        <v>19904</v>
      </c>
    </row>
    <row r="36" spans="2:4" ht="13.5">
      <c r="B36" s="169" t="s">
        <v>4</v>
      </c>
      <c r="C36" s="170">
        <f>SUM(C33:C35)</f>
        <v>22000</v>
      </c>
      <c r="D36" s="25">
        <f>SUM(C36:C36)</f>
        <v>22000</v>
      </c>
    </row>
    <row r="37" spans="2:4" ht="13.5">
      <c r="B37" s="169"/>
      <c r="C37" s="170"/>
      <c r="D37" s="25"/>
    </row>
    <row r="39" spans="1:4" ht="13.5">
      <c r="A39" s="160" t="s">
        <v>8</v>
      </c>
      <c r="B39" s="167" t="s">
        <v>249</v>
      </c>
      <c r="C39" s="168" t="s">
        <v>253</v>
      </c>
      <c r="D39" s="168" t="s">
        <v>4</v>
      </c>
    </row>
    <row r="40" spans="2:4" ht="13.5">
      <c r="B40" s="169" t="s">
        <v>241</v>
      </c>
      <c r="C40" s="170"/>
      <c r="D40" s="25"/>
    </row>
    <row r="41" spans="2:4" ht="13.5">
      <c r="B41" s="24" t="s">
        <v>242</v>
      </c>
      <c r="C41" s="25">
        <v>4690</v>
      </c>
      <c r="D41" s="25">
        <f>SUM(C41:C41)</f>
        <v>4690</v>
      </c>
    </row>
    <row r="42" spans="2:4" ht="13.5">
      <c r="B42" s="24" t="s">
        <v>243</v>
      </c>
      <c r="D42" s="25">
        <f>SUM(C42:C42)</f>
        <v>0</v>
      </c>
    </row>
    <row r="43" spans="2:4" ht="13.5">
      <c r="B43" s="24" t="s">
        <v>244</v>
      </c>
      <c r="D43" s="25">
        <f>SUM(C43:C43)</f>
        <v>0</v>
      </c>
    </row>
    <row r="44" spans="2:4" ht="13.5">
      <c r="B44" s="24" t="s">
        <v>245</v>
      </c>
      <c r="C44" s="25">
        <f>C51-C41-C42-C43</f>
        <v>-4690</v>
      </c>
      <c r="D44" s="25">
        <f>SUM(C44:C44)</f>
        <v>-4690</v>
      </c>
    </row>
    <row r="45" spans="2:4" ht="13.5">
      <c r="B45" s="169" t="s">
        <v>4</v>
      </c>
      <c r="C45" s="170">
        <f>SUM(C41:C44)</f>
        <v>0</v>
      </c>
      <c r="D45" s="170">
        <f>SUM(C45:C45)</f>
        <v>0</v>
      </c>
    </row>
    <row r="46" spans="2:4" ht="9.75" customHeight="1">
      <c r="B46" s="24"/>
      <c r="D46" s="25"/>
    </row>
    <row r="47" spans="2:4" ht="13.5">
      <c r="B47" s="169" t="s">
        <v>246</v>
      </c>
      <c r="C47" s="170"/>
      <c r="D47" s="25"/>
    </row>
    <row r="48" spans="2:4" ht="13.5">
      <c r="B48" s="24" t="s">
        <v>26</v>
      </c>
      <c r="D48" s="25"/>
    </row>
    <row r="49" spans="2:4" ht="13.5">
      <c r="B49" s="24" t="s">
        <v>102</v>
      </c>
      <c r="D49" s="25">
        <f>SUM(C49:C49)</f>
        <v>0</v>
      </c>
    </row>
    <row r="50" spans="2:4" ht="13.5">
      <c r="B50" s="24" t="s">
        <v>247</v>
      </c>
      <c r="C50" s="25">
        <v>0</v>
      </c>
      <c r="D50" s="25">
        <f>SUM(C50:C50)</f>
        <v>0</v>
      </c>
    </row>
    <row r="51" spans="2:4" ht="13.5">
      <c r="B51" s="169" t="s">
        <v>4</v>
      </c>
      <c r="C51" s="170">
        <f>SUM(C48:C50)</f>
        <v>0</v>
      </c>
      <c r="D51" s="25">
        <f>SUM(C51:C51)</f>
        <v>0</v>
      </c>
    </row>
    <row r="52" spans="2:4" ht="13.5">
      <c r="B52" s="169"/>
      <c r="C52" s="170"/>
      <c r="D52" s="25"/>
    </row>
    <row r="53" ht="13.5">
      <c r="L53" s="24" t="s">
        <v>250</v>
      </c>
    </row>
    <row r="54" spans="1:4" ht="13.5">
      <c r="A54" s="160" t="s">
        <v>9</v>
      </c>
      <c r="B54" s="167" t="s">
        <v>255</v>
      </c>
      <c r="C54" s="168" t="s">
        <v>253</v>
      </c>
      <c r="D54" s="168" t="s">
        <v>4</v>
      </c>
    </row>
    <row r="55" spans="2:4" ht="13.5">
      <c r="B55" s="169" t="s">
        <v>241</v>
      </c>
      <c r="C55" s="170"/>
      <c r="D55" s="25"/>
    </row>
    <row r="56" spans="2:4" ht="13.5">
      <c r="B56" s="24" t="s">
        <v>242</v>
      </c>
      <c r="C56" s="25">
        <v>10120</v>
      </c>
      <c r="D56" s="25">
        <f>SUM(C56:C56)</f>
        <v>10120</v>
      </c>
    </row>
    <row r="57" spans="2:4" ht="13.5">
      <c r="B57" s="24" t="s">
        <v>243</v>
      </c>
      <c r="D57" s="25">
        <f>SUM(C57:C57)</f>
        <v>0</v>
      </c>
    </row>
    <row r="58" spans="2:4" ht="13.5">
      <c r="B58" s="24" t="s">
        <v>244</v>
      </c>
      <c r="D58" s="25">
        <f>SUM(C58:C58)</f>
        <v>0</v>
      </c>
    </row>
    <row r="59" spans="2:4" ht="13.5">
      <c r="B59" s="24" t="s">
        <v>245</v>
      </c>
      <c r="C59" s="25">
        <f>C66-C56-C57-C58</f>
        <v>0</v>
      </c>
      <c r="D59" s="25">
        <f>SUM(C59:C59)</f>
        <v>0</v>
      </c>
    </row>
    <row r="60" spans="2:4" ht="13.5">
      <c r="B60" s="169" t="s">
        <v>4</v>
      </c>
      <c r="C60" s="170">
        <f>SUM(C56:C59)</f>
        <v>10120</v>
      </c>
      <c r="D60" s="170">
        <f>SUM(C60:C60)</f>
        <v>10120</v>
      </c>
    </row>
    <row r="61" spans="2:4" ht="9.75" customHeight="1">
      <c r="B61" s="24"/>
      <c r="D61" s="25"/>
    </row>
    <row r="62" spans="2:4" ht="13.5">
      <c r="B62" s="169" t="s">
        <v>246</v>
      </c>
      <c r="C62" s="170"/>
      <c r="D62" s="25"/>
    </row>
    <row r="63" spans="2:4" ht="13.5">
      <c r="B63" s="24" t="s">
        <v>26</v>
      </c>
      <c r="D63" s="25"/>
    </row>
    <row r="64" spans="2:4" ht="13.5">
      <c r="B64" s="24" t="s">
        <v>102</v>
      </c>
      <c r="D64" s="25">
        <f>SUM(C64:C64)</f>
        <v>0</v>
      </c>
    </row>
    <row r="65" spans="2:4" ht="13.5">
      <c r="B65" s="24" t="s">
        <v>247</v>
      </c>
      <c r="C65" s="25">
        <v>10120</v>
      </c>
      <c r="D65" s="25">
        <f>SUM(C65:C65)</f>
        <v>10120</v>
      </c>
    </row>
    <row r="66" spans="2:4" ht="13.5">
      <c r="B66" s="169" t="s">
        <v>4</v>
      </c>
      <c r="C66" s="170">
        <f>SUM(C63:C65)</f>
        <v>10120</v>
      </c>
      <c r="D66" s="25">
        <f>SUM(C66:C66)</f>
        <v>10120</v>
      </c>
    </row>
    <row r="67" spans="2:4" ht="13.5">
      <c r="B67" s="169"/>
      <c r="C67" s="170"/>
      <c r="D67" s="25"/>
    </row>
    <row r="69" spans="1:4" ht="13.5">
      <c r="A69" s="160" t="s">
        <v>27</v>
      </c>
      <c r="B69" s="167" t="s">
        <v>251</v>
      </c>
      <c r="C69" s="168" t="s">
        <v>253</v>
      </c>
      <c r="D69" s="168" t="s">
        <v>4</v>
      </c>
    </row>
    <row r="70" spans="2:4" ht="13.5">
      <c r="B70" s="169" t="s">
        <v>241</v>
      </c>
      <c r="C70" s="170"/>
      <c r="D70" s="25"/>
    </row>
    <row r="71" spans="2:4" ht="13.5">
      <c r="B71" s="24" t="s">
        <v>242</v>
      </c>
      <c r="C71" s="25">
        <v>1521</v>
      </c>
      <c r="D71" s="25">
        <f>SUM(C71:C71)</f>
        <v>1521</v>
      </c>
    </row>
    <row r="72" spans="2:4" ht="13.5">
      <c r="B72" s="24" t="s">
        <v>243</v>
      </c>
      <c r="D72" s="25">
        <f>SUM(C72:C72)</f>
        <v>0</v>
      </c>
    </row>
    <row r="73" spans="2:4" ht="13.5">
      <c r="B73" s="24" t="s">
        <v>244</v>
      </c>
      <c r="D73" s="25">
        <f>SUM(C73:C73)</f>
        <v>0</v>
      </c>
    </row>
    <row r="74" spans="2:4" ht="13.5">
      <c r="B74" s="24" t="s">
        <v>245</v>
      </c>
      <c r="C74" s="25">
        <f>C81-C71-C72-C73</f>
        <v>-1521</v>
      </c>
      <c r="D74" s="25">
        <f>SUM(C74:C74)</f>
        <v>-1521</v>
      </c>
    </row>
    <row r="75" spans="2:4" ht="13.5">
      <c r="B75" s="169" t="s">
        <v>4</v>
      </c>
      <c r="C75" s="170">
        <f>SUM(C71:C74)</f>
        <v>0</v>
      </c>
      <c r="D75" s="170">
        <f>SUM(C75:C75)</f>
        <v>0</v>
      </c>
    </row>
    <row r="76" spans="2:4" ht="9.75" customHeight="1">
      <c r="B76" s="24"/>
      <c r="D76" s="25"/>
    </row>
    <row r="77" spans="2:4" ht="13.5">
      <c r="B77" s="169" t="s">
        <v>246</v>
      </c>
      <c r="C77" s="170"/>
      <c r="D77" s="25"/>
    </row>
    <row r="78" spans="2:4" ht="13.5">
      <c r="B78" s="24" t="s">
        <v>26</v>
      </c>
      <c r="D78" s="25"/>
    </row>
    <row r="79" spans="2:4" ht="13.5">
      <c r="B79" s="24" t="s">
        <v>102</v>
      </c>
      <c r="D79" s="25">
        <f>SUM(C79:C79)</f>
        <v>0</v>
      </c>
    </row>
    <row r="80" spans="2:4" ht="13.5">
      <c r="B80" s="24" t="s">
        <v>247</v>
      </c>
      <c r="C80" s="25">
        <v>0</v>
      </c>
      <c r="D80" s="25">
        <f>SUM(C80:C80)</f>
        <v>0</v>
      </c>
    </row>
    <row r="81" spans="2:4" ht="13.5">
      <c r="B81" s="169" t="s">
        <v>4</v>
      </c>
      <c r="C81" s="170">
        <f>SUM(C78:C80)</f>
        <v>0</v>
      </c>
      <c r="D81" s="25">
        <f>SUM(C81:C81)</f>
        <v>0</v>
      </c>
    </row>
    <row r="82" spans="2:4" ht="13.5">
      <c r="B82" s="169"/>
      <c r="C82" s="170"/>
      <c r="D82" s="25"/>
    </row>
    <row r="83" spans="1:4" ht="13.5">
      <c r="A83" s="160" t="s">
        <v>27</v>
      </c>
      <c r="B83" s="167" t="s">
        <v>254</v>
      </c>
      <c r="C83" s="168" t="s">
        <v>253</v>
      </c>
      <c r="D83" s="168" t="s">
        <v>4</v>
      </c>
    </row>
    <row r="84" spans="2:4" ht="13.5">
      <c r="B84" s="169" t="s">
        <v>241</v>
      </c>
      <c r="C84" s="170"/>
      <c r="D84" s="25"/>
    </row>
    <row r="85" spans="2:4" ht="13.5">
      <c r="B85" s="24" t="s">
        <v>242</v>
      </c>
      <c r="C85" s="25">
        <v>21996</v>
      </c>
      <c r="D85" s="25">
        <f>SUM(C85:C85)</f>
        <v>21996</v>
      </c>
    </row>
    <row r="86" spans="2:4" ht="13.5">
      <c r="B86" s="24" t="s">
        <v>243</v>
      </c>
      <c r="D86" s="25">
        <f>SUM(C86:C86)</f>
        <v>0</v>
      </c>
    </row>
    <row r="87" spans="2:4" ht="13.5">
      <c r="B87" s="24" t="s">
        <v>244</v>
      </c>
      <c r="D87" s="25">
        <f>SUM(C87:C87)</f>
        <v>0</v>
      </c>
    </row>
    <row r="88" spans="2:4" ht="13.5">
      <c r="B88" s="24" t="s">
        <v>245</v>
      </c>
      <c r="D88" s="25">
        <f>SUM(C88:C88)</f>
        <v>0</v>
      </c>
    </row>
    <row r="89" spans="2:4" ht="13.5">
      <c r="B89" s="169" t="s">
        <v>4</v>
      </c>
      <c r="C89" s="170">
        <f>SUM(C85:C88)</f>
        <v>21996</v>
      </c>
      <c r="D89" s="170">
        <f>SUM(C89:C89)</f>
        <v>21996</v>
      </c>
    </row>
    <row r="90" spans="2:4" ht="9.75" customHeight="1">
      <c r="B90" s="24"/>
      <c r="D90" s="25"/>
    </row>
    <row r="91" spans="2:4" ht="13.5">
      <c r="B91" s="169" t="s">
        <v>246</v>
      </c>
      <c r="C91" s="170"/>
      <c r="D91" s="25"/>
    </row>
    <row r="92" spans="2:4" ht="13.5">
      <c r="B92" s="24" t="s">
        <v>26</v>
      </c>
      <c r="D92" s="25"/>
    </row>
    <row r="93" spans="2:4" ht="13.5">
      <c r="B93" s="24" t="s">
        <v>102</v>
      </c>
      <c r="C93" s="25">
        <v>635</v>
      </c>
      <c r="D93" s="25">
        <f>SUM(C93:C93)</f>
        <v>635</v>
      </c>
    </row>
    <row r="94" spans="2:4" ht="13.5">
      <c r="B94" s="24" t="s">
        <v>247</v>
      </c>
      <c r="C94" s="25">
        <f>21996-635</f>
        <v>21361</v>
      </c>
      <c r="D94" s="25">
        <f>SUM(C94:C94)</f>
        <v>21361</v>
      </c>
    </row>
    <row r="95" spans="2:5" ht="13.5">
      <c r="B95" s="169" t="s">
        <v>4</v>
      </c>
      <c r="C95" s="170">
        <f>SUM(C92:C94)</f>
        <v>21996</v>
      </c>
      <c r="D95" s="25">
        <f>SUM(C95:C95)</f>
        <v>21996</v>
      </c>
      <c r="E95" s="24" t="s">
        <v>265</v>
      </c>
    </row>
    <row r="96" spans="2:4" ht="13.5">
      <c r="B96" s="169"/>
      <c r="C96" s="170"/>
      <c r="D96" s="25"/>
    </row>
  </sheetData>
  <sheetProtection/>
  <mergeCells count="4">
    <mergeCell ref="A4:E5"/>
    <mergeCell ref="B3:D3"/>
    <mergeCell ref="B7:D7"/>
    <mergeCell ref="A2:B2"/>
  </mergeCells>
  <printOptions/>
  <pageMargins left="0.7874015748031497" right="0.7874015748031497" top="1.1023622047244095" bottom="1.1811023622047245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Felhasználói név</dc:creator>
  <cp:keywords/>
  <dc:description/>
  <cp:lastModifiedBy>Otthon</cp:lastModifiedBy>
  <cp:lastPrinted>2015-10-14T11:48:19Z</cp:lastPrinted>
  <dcterms:created xsi:type="dcterms:W3CDTF">2007-11-15T07:32:30Z</dcterms:created>
  <dcterms:modified xsi:type="dcterms:W3CDTF">2015-12-02T13:38:17Z</dcterms:modified>
  <cp:category/>
  <cp:version/>
  <cp:contentType/>
  <cp:contentStatus/>
</cp:coreProperties>
</file>