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9" activeTab="15"/>
  </bookViews>
  <sheets>
    <sheet name="Segédlet" sheetId="1" r:id="rId1"/>
    <sheet name="Segédlet 2" sheetId="2" r:id="rId2"/>
    <sheet name="Segédlet óvoda" sheetId="3" r:id="rId3"/>
    <sheet name="Segédlet konyha" sheetId="4" r:id="rId4"/>
    <sheet name="Bérek" sheetId="5" state="hidden" r:id="rId5"/>
    <sheet name="1 melléklet" sheetId="6" r:id="rId6"/>
    <sheet name="2 melléklet" sheetId="7" r:id="rId7"/>
    <sheet name="3 melléklet" sheetId="8" r:id="rId8"/>
    <sheet name="4 melléklet" sheetId="9" r:id="rId9"/>
    <sheet name="5 melléklet" sheetId="10" r:id="rId10"/>
    <sheet name="6a melléklet" sheetId="11" r:id="rId11"/>
    <sheet name="6b melléklet" sheetId="12" r:id="rId12"/>
    <sheet name="6c melléklet" sheetId="13" r:id="rId13"/>
    <sheet name="7 melléklet" sheetId="14" r:id="rId14"/>
    <sheet name="8 melléklet" sheetId="15" r:id="rId15"/>
    <sheet name="9 melléklet" sheetId="16" r:id="rId16"/>
  </sheets>
  <definedNames>
    <definedName name="_xlnm.Print_Area" localSheetId="1">'Segédlet 2'!$A$1:$T$57</definedName>
  </definedNames>
  <calcPr fullCalcOnLoad="1"/>
</workbook>
</file>

<file path=xl/sharedStrings.xml><?xml version="1.0" encoding="utf-8"?>
<sst xmlns="http://schemas.openxmlformats.org/spreadsheetml/2006/main" count="1592" uniqueCount="426">
  <si>
    <t>Tartalék</t>
  </si>
  <si>
    <t>Munkaadókat terhelő járulékok és szociális hozzájárulási adó</t>
  </si>
  <si>
    <t>KIADÁSOK</t>
  </si>
  <si>
    <t>Működési bevételek</t>
  </si>
  <si>
    <t>Közhatalmi bevételek</t>
  </si>
  <si>
    <t>Iparűzési adó</t>
  </si>
  <si>
    <t>Eredeti előirányzat</t>
  </si>
  <si>
    <t>BEVÉTELEK</t>
  </si>
  <si>
    <t>Egyéb közhatalmi bevételek</t>
  </si>
  <si>
    <t>forintban</t>
  </si>
  <si>
    <t>a)</t>
  </si>
  <si>
    <t>MŰKÖDÉSI KÖLTSÉGVETÉSI BEVÉTELEK</t>
  </si>
  <si>
    <t>MŰKÖDÉSI KÖLTSÉGVETÉSI KIADÁSOK</t>
  </si>
  <si>
    <t>aa)</t>
  </si>
  <si>
    <t>Önkormányzatok működési támogatásai</t>
  </si>
  <si>
    <t>Személyi jellegű kiadások</t>
  </si>
  <si>
    <t>Helyi önkormányzatok működésének általános támogatása</t>
  </si>
  <si>
    <t>ab)</t>
  </si>
  <si>
    <t>Települési önkormányzat szociális, gyermekjóléti és gyermekétkeztetés feladatainak támogatása</t>
  </si>
  <si>
    <t>ac)</t>
  </si>
  <si>
    <t>Dologi jellegű kiadások</t>
  </si>
  <si>
    <t>Települési önkormányzatok kulturális támogatása - Könyvtári közművelődési feladatok támogatása</t>
  </si>
  <si>
    <t>ad)</t>
  </si>
  <si>
    <t>Önkormányzat szociális támogatásai</t>
  </si>
  <si>
    <t>Elvonások és befizetések bevételei</t>
  </si>
  <si>
    <t>ae)</t>
  </si>
  <si>
    <t>Egyéb működési célú kiadások</t>
  </si>
  <si>
    <t>Egyéb működési célú támogatások bevételei áht-n belülről</t>
  </si>
  <si>
    <t>af)</t>
  </si>
  <si>
    <t>Működési tartalék</t>
  </si>
  <si>
    <t>b)</t>
  </si>
  <si>
    <t>FELHALMOZÁSI KÖLTSÉGVETÉSI KIADÁSOK</t>
  </si>
  <si>
    <t>ba)</t>
  </si>
  <si>
    <t xml:space="preserve">Beruházási kiadások </t>
  </si>
  <si>
    <t>Működési célú visszatérítendő támogatás, kölcsön</t>
  </si>
  <si>
    <t>bb)</t>
  </si>
  <si>
    <t>Felújítási kiadások</t>
  </si>
  <si>
    <t>ag)</t>
  </si>
  <si>
    <t>Egyéb működési célú átvett pénzeszközök</t>
  </si>
  <si>
    <t>bc)</t>
  </si>
  <si>
    <t>Egyéb felhalmozási kiadások</t>
  </si>
  <si>
    <t>FELHALMOZÁSI KÖLTSÉGVETÉSI BEVÉTELEK</t>
  </si>
  <si>
    <t>c)</t>
  </si>
  <si>
    <t>FINANSZÍROZÁSI KIADÁSOK</t>
  </si>
  <si>
    <t>Felhalmozási célú önkormányzati támogatások</t>
  </si>
  <si>
    <t>ca)</t>
  </si>
  <si>
    <t>Kölcsönök, hitelek törlesztése</t>
  </si>
  <si>
    <t>Egyéb felhalmozási célú támogatások államháztartások belülről</t>
  </si>
  <si>
    <t>cb)</t>
  </si>
  <si>
    <t>Államháztartáson belüli megelőlegezés visszafizetése</t>
  </si>
  <si>
    <t>Immateriális javak, tárgyi eszközök értékesítése</t>
  </si>
  <si>
    <t>cc)</t>
  </si>
  <si>
    <t>Pénzeszközök lekötött bankbetétként elhelyezése</t>
  </si>
  <si>
    <t>bd)</t>
  </si>
  <si>
    <t>cd)</t>
  </si>
  <si>
    <t>Belföldi értékpapírok kiadásai</t>
  </si>
  <si>
    <t>be)</t>
  </si>
  <si>
    <t>Egyéb felhalmozási célú átvett pénzeszköz</t>
  </si>
  <si>
    <t>FINANSZÍROZÁSI BEVÉTELEK</t>
  </si>
  <si>
    <t>Maradvány igénybevétele</t>
  </si>
  <si>
    <t>Államháztartáson belüli megelőlegezés</t>
  </si>
  <si>
    <t>Lekötött bankbetétek megszüntetése</t>
  </si>
  <si>
    <t>Belföldi értékpapírok bevételei</t>
  </si>
  <si>
    <t>ÖSSZES BEVÉTEL</t>
  </si>
  <si>
    <t>ÖSSZES 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</si>
  <si>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</si>
  <si>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</si>
  <si>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</si>
  <si>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</si>
  <si>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</si>
  <si>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</si>
  <si>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</si>
  <si>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</si>
  <si>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</si>
  <si>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</si>
  <si>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</si>
  <si>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</si>
  <si>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KÖTELEZŐ FELADATOK</t>
  </si>
  <si>
    <t>Bevételek</t>
  </si>
  <si>
    <t>Kiadások</t>
  </si>
  <si>
    <t>ÖNKÉNT VÁLLALT FELADATOK</t>
  </si>
  <si>
    <t>ÁLLAMI (ÁLLAMIGAZGATÁSI FELADATOK)</t>
  </si>
  <si>
    <t>ÖSSZESEN</t>
  </si>
  <si>
    <t>Felhalmozási célú visszatérítendő támogatás, kölcsön</t>
  </si>
  <si>
    <t>Munkába járás költségtérítése</t>
  </si>
  <si>
    <t>Zöldségbolt bevétele</t>
  </si>
  <si>
    <t>telefondíj</t>
  </si>
  <si>
    <t>Bank költség</t>
  </si>
  <si>
    <t>fizetendő áfa</t>
  </si>
  <si>
    <t>Rezsiköltség</t>
  </si>
  <si>
    <t>Internet díj</t>
  </si>
  <si>
    <t>Vendég étkezők térítési díja</t>
  </si>
  <si>
    <t>A települési önkormányzatok köznevelési támogatásai</t>
  </si>
  <si>
    <t>ce)</t>
  </si>
  <si>
    <t>Központi irányító szervi támogatás</t>
  </si>
  <si>
    <t>Pénzügyi lízing kiadásai</t>
  </si>
  <si>
    <t>Irányító szervi támogatás</t>
  </si>
  <si>
    <t>Egerági Közétkeztetési Intézmény 2019. évi előirányzat felhasználási ütemterve</t>
  </si>
  <si>
    <t>Egerági Táltos Csikó Óvoda 2019. évi előirányzat felhasználási ütemterve</t>
  </si>
  <si>
    <t>Közvetett támogatások (adó mentességek)</t>
  </si>
  <si>
    <t>Ft értékben</t>
  </si>
  <si>
    <t>Adómentességek összesen:</t>
  </si>
  <si>
    <t>Kimutatás a következő 3 évre tervezett saját bevételek és adósságot keletkeztető ügyletek várható állományáról</t>
  </si>
  <si>
    <t>Év</t>
  </si>
  <si>
    <t>Saját bevétel típusa</t>
  </si>
  <si>
    <t>Saját bevétel várható összege (Ft)</t>
  </si>
  <si>
    <t>Magánszemélyek kommunális adója</t>
  </si>
  <si>
    <t>Gépjárműadó helyi önkormányzatot illető része</t>
  </si>
  <si>
    <t>Egyéb pótlékok, bírságok</t>
  </si>
  <si>
    <t>Bérbeadási bevétel</t>
  </si>
  <si>
    <t>Térítési díjak bevétele (iskola, óvoda)</t>
  </si>
  <si>
    <t>Vendég étkezők bevétele</t>
  </si>
  <si>
    <t>START munkában megtermelt készlet értékesítés</t>
  </si>
  <si>
    <t>Közvetített szolgáltatások (telefondíj, vízdíj)</t>
  </si>
  <si>
    <t>Kiszámlázott áfa</t>
  </si>
  <si>
    <t>Adósságot keletkeztető ügyletekből származó várható fizetési kötelezettségek (eFt)</t>
  </si>
  <si>
    <t>Sorszám</t>
  </si>
  <si>
    <t>Többéves elkötelezettséggel járó kiadási tételek</t>
  </si>
  <si>
    <t>Hivatkozás</t>
  </si>
  <si>
    <t>1.</t>
  </si>
  <si>
    <t>Egerág Község Önkormányzata több éves kihatással járó feladatai éves bontásban</t>
  </si>
  <si>
    <t>Unicredit lízing orvosi szolgálati gépjárműre</t>
  </si>
  <si>
    <t>01P11 BP 1751761 sz. lízingszerződés</t>
  </si>
  <si>
    <t>Egerág Község Önkormányzata általános és céltartalékai</t>
  </si>
  <si>
    <t>2.</t>
  </si>
  <si>
    <t>Grenke lízing közvilágítás karbantartásra</t>
  </si>
  <si>
    <t>08604959 sz. lízingszerződés</t>
  </si>
  <si>
    <t>Lehetséges felhasználás</t>
  </si>
  <si>
    <t xml:space="preserve">Eredeti előirányzat </t>
  </si>
  <si>
    <t>Működési célú támogatások államháztartáson belülről</t>
  </si>
  <si>
    <t>MŰKÖDÉSI KIADÁSOK ÖSSZESEN:</t>
  </si>
  <si>
    <t>Helyi önkormányzatok működési feladatai</t>
  </si>
  <si>
    <t>általános településüzemeltetési költségek</t>
  </si>
  <si>
    <t>Személyi juttatások kiadásai</t>
  </si>
  <si>
    <t>Települési önkormányzatok köznevelési feladatai</t>
  </si>
  <si>
    <t>az Egerági Táltos Csikó Óvoda működési és fejlesztési költségei</t>
  </si>
  <si>
    <t>Polgármesteri illetmény és járuléka</t>
  </si>
  <si>
    <t>Települési önkormányzatok szociális feladatai</t>
  </si>
  <si>
    <t>települési támogatások, egyéb szociális célú kiadások, intézményi gyermekétkeztetés önerő</t>
  </si>
  <si>
    <t>Orvosi szolgálat bérei és járulékai</t>
  </si>
  <si>
    <t>Intézményi gyermekétkeztetés</t>
  </si>
  <si>
    <t>az Egerági Közétkeztetési Intézmény kiadásainak  intézményi gyermekétkeztetéssel arányos része</t>
  </si>
  <si>
    <t>Védőnői szolgálat bére és járuléka</t>
  </si>
  <si>
    <t>Rászoruló gyermekek szünidei étkeztetésének támogatása</t>
  </si>
  <si>
    <t>az Egerági Közétkeztetési Intézmény kiadásainak szünidei gyermekétkeztetéssel arányos része</t>
  </si>
  <si>
    <t>Fizikai dolgozók bérei és járulékai</t>
  </si>
  <si>
    <t>Települési önkormányzatok kulturális feladatai</t>
  </si>
  <si>
    <t>közművelődési célú kiadások</t>
  </si>
  <si>
    <t>Pályázatíró bére és járuléka</t>
  </si>
  <si>
    <t>Elszámolásból fakadó pótlólagos támogatás</t>
  </si>
  <si>
    <t>2019 évből pótlólagosan igényelhető állami normatíva</t>
  </si>
  <si>
    <t>START programvezető bére és járulékai</t>
  </si>
  <si>
    <t>Zöldségbolti eladó bére és járuléka</t>
  </si>
  <si>
    <t>Közfoglalkoztatási támogatás</t>
  </si>
  <si>
    <t>2020. februárjáig fennálló közfoglalkoztatási program bérköltségei</t>
  </si>
  <si>
    <t>Egyszerűsített foglalkoztatottak bére és járulékai</t>
  </si>
  <si>
    <t>Közfoglalkoztatottak bérei és járulékai</t>
  </si>
  <si>
    <t>Egészségbiztosítási szolgálatok támogatása</t>
  </si>
  <si>
    <t>orvosi és védőnői szolgálat finanszírozása</t>
  </si>
  <si>
    <t>Dologi kiadások</t>
  </si>
  <si>
    <t>Rezsi orvosi szolgálat</t>
  </si>
  <si>
    <t>orvosi gépjármű fenntartási költség</t>
  </si>
  <si>
    <t>orvos egyéb költségek</t>
  </si>
  <si>
    <t>Rezsi védőnő</t>
  </si>
  <si>
    <t>Védőnő dologi kiadások</t>
  </si>
  <si>
    <t>Ingatlan bérbeadásból származó bevételek (Szoceg)</t>
  </si>
  <si>
    <t>Kangoo fenntartási költség</t>
  </si>
  <si>
    <t>Ingatlan bérbeadásból származó bevétel (termőföld)</t>
  </si>
  <si>
    <t>Falubusz fenntartási költség</t>
  </si>
  <si>
    <t>Víziközmű használati bevétel</t>
  </si>
  <si>
    <t>Egyéb üzemanyag (traktor, fűkasza)</t>
  </si>
  <si>
    <t>Zöldségbolti értékesítés bevétele</t>
  </si>
  <si>
    <t>Rezsi művelődési ház</t>
  </si>
  <si>
    <t>START értékesítés bevétele</t>
  </si>
  <si>
    <t>művelődési ház karbantartás</t>
  </si>
  <si>
    <t>Közvetített szolgáltatások (rezsidíj)</t>
  </si>
  <si>
    <t>artisjus jogdíj</t>
  </si>
  <si>
    <t>Felhalmozási célú bevételek</t>
  </si>
  <si>
    <t>Rezsi zöldségfeldolgozó</t>
  </si>
  <si>
    <t>zöldségfeldolgozó kiadások</t>
  </si>
  <si>
    <t>Előző évi költségvetési maradvány</t>
  </si>
  <si>
    <t>Zöldségbolt kiadások</t>
  </si>
  <si>
    <t>START munka dologi költség visszaforgatás</t>
  </si>
  <si>
    <t>Önkormányzati bevétel mindösszesen:</t>
  </si>
  <si>
    <t>Rezsi hivatal, sportpálya, egyéb</t>
  </si>
  <si>
    <t>Közvilágítás karbantartás</t>
  </si>
  <si>
    <t>ingatlankataszter karbantartás</t>
  </si>
  <si>
    <t>biztosítási díjak</t>
  </si>
  <si>
    <t>riasztó- és kamerarendszer</t>
  </si>
  <si>
    <t>internet díj</t>
  </si>
  <si>
    <t>hulladékszállítás</t>
  </si>
  <si>
    <t>bankszámla költség</t>
  </si>
  <si>
    <t>Továbbszámlázott rezsiköltség</t>
  </si>
  <si>
    <t>Szociális támogatások</t>
  </si>
  <si>
    <t>Települési támogatások</t>
  </si>
  <si>
    <t>Általános tartalék</t>
  </si>
  <si>
    <t>Víziközmű használati díj céltartalék</t>
  </si>
  <si>
    <t>szociális szövetkezet átadott támogatás</t>
  </si>
  <si>
    <t>Pécsi Agglomerációs Társulás működési hozzájárulás</t>
  </si>
  <si>
    <t>civil szervezetek támogatása</t>
  </si>
  <si>
    <t>FELHALMOZÁSI KIADÁSOK ÖSSZESEN:</t>
  </si>
  <si>
    <t>Beruházás</t>
  </si>
  <si>
    <t>Külterületi út - híd javítása</t>
  </si>
  <si>
    <t>Felújítás</t>
  </si>
  <si>
    <t>Óvodaudvar felújítása</t>
  </si>
  <si>
    <t>FINANSZÍROZÁSI KIADÁSOK ÖSSZESEN:</t>
  </si>
  <si>
    <t>Állami támogatás megelőlegezés visszafizetés</t>
  </si>
  <si>
    <t>Intézmény finanszírozás</t>
  </si>
  <si>
    <t>Önkormányzati kiadás mindösszesen:</t>
  </si>
  <si>
    <t>Munkaadókat terhelő szociális hozzájárulási adó</t>
  </si>
  <si>
    <t>Intézményi bevétel mindösszesen:</t>
  </si>
  <si>
    <t>Tisztítószer, egyéb eszköz vásárlás</t>
  </si>
  <si>
    <t>Közüzemi díjak + szippantás</t>
  </si>
  <si>
    <t>Egyéb szolgáltatás, karbantartás</t>
  </si>
  <si>
    <t>Pedagógus nap</t>
  </si>
  <si>
    <t>Továbbképzés</t>
  </si>
  <si>
    <t>Foglalkozás-egészségügy</t>
  </si>
  <si>
    <t>Játék vásárlás</t>
  </si>
  <si>
    <t>Laptop vásárlás</t>
  </si>
  <si>
    <t>Konyhabútorok</t>
  </si>
  <si>
    <t>Iroda padlózat felújítás</t>
  </si>
  <si>
    <t>Intézményi kiadás mindösszesen:</t>
  </si>
  <si>
    <t>Óvodai étkeztetés térítési díja</t>
  </si>
  <si>
    <t>Iskolai étkeztetés térítési díja</t>
  </si>
  <si>
    <t>Élelmiszer vásárlás</t>
  </si>
  <si>
    <t>Fizetendő áfa</t>
  </si>
  <si>
    <t>Diétás gyermekek étkeztetése</t>
  </si>
  <si>
    <t>Konyhára csomagolóanyag, tisztítószer, egyéb anyag</t>
  </si>
  <si>
    <t>Kangoo fenntartási költségei</t>
  </si>
  <si>
    <t>Szippantás</t>
  </si>
  <si>
    <t>Ételhulladék szállítás</t>
  </si>
  <si>
    <t>Élelmezési program</t>
  </si>
  <si>
    <t>Javítás, karbantartás</t>
  </si>
  <si>
    <t>Munkaruha</t>
  </si>
  <si>
    <t>Ipari botmixer</t>
  </si>
  <si>
    <t>Kétmedencés rozsdamentes mosogató</t>
  </si>
  <si>
    <t>Fedőtartó állvány</t>
  </si>
  <si>
    <t>3 db rozsdamentes munkaasztal</t>
  </si>
  <si>
    <t>Festés és mázolás</t>
  </si>
  <si>
    <t>Egerág Község Önkormányzata 2020. évi költségvetési segédlet</t>
  </si>
  <si>
    <t>Egerági Táltos Csikó Óvoda 2020. évi költségvetési segédlet</t>
  </si>
  <si>
    <t>Egerági Közétkeztetési Intézmény 2020. évi költségvetési segédlet</t>
  </si>
  <si>
    <t>Bérköltség</t>
  </si>
  <si>
    <t>Járulék</t>
  </si>
  <si>
    <t>Orvosi gépjármű lízing</t>
  </si>
  <si>
    <t>orvosi gépjármű lízing áfa és kamatok</t>
  </si>
  <si>
    <t>Egerág Község Önkormányzata 2020. évi költségvetési mérlege</t>
  </si>
  <si>
    <t>Egerági Táltos Csikó Óvoda 2020. évi költségvetési mérlege</t>
  </si>
  <si>
    <t>Egerági Közétkeztetési Intézmény 2020. évi költségvetési mérlege</t>
  </si>
  <si>
    <t>Általános tartalék (/2020. (...) Önkormányzati rendelet)</t>
  </si>
  <si>
    <t>Egerág Község Önkormányzata 2020. évi előirányzat felhasználási ütemterve</t>
  </si>
  <si>
    <t>Egerág Község Önkormányzata és intézményei 2020. évi költségvetési bevételei és kiadásai kötelező feladatok, önként vállalt feladatok, állami (államigazgatási) feladatok szerinti bontásban</t>
  </si>
  <si>
    <t>Egerági Táltos Csikó Óvoda 2020. évi költségvetési bevételei és kiadásai kötelező feladatok, önként vállalt feladatok, állami (államigazgatási) feladatok szerinti bontásban</t>
  </si>
  <si>
    <t>Egerági Közétkeztetési Intézmény 2020. évi költségvetési bevételei és kiadásai kötelező feladatok, önként vállalt feladatok, állami (államigazgatási) feladatok szerinti bontásban</t>
  </si>
  <si>
    <t>Bruttó bér december</t>
  </si>
  <si>
    <t>Szocho december</t>
  </si>
  <si>
    <t>Bruttó bér 2020</t>
  </si>
  <si>
    <t>Szocho 2020</t>
  </si>
  <si>
    <t>Rácz János</t>
  </si>
  <si>
    <t>Rácz János munkába járás</t>
  </si>
  <si>
    <t>Árvai Béláné</t>
  </si>
  <si>
    <t>Kistótné Hujber Éva</t>
  </si>
  <si>
    <t>Dr. Kordély Norbert</t>
  </si>
  <si>
    <t>Dr. Kordély Norbert illetménykiegészítés</t>
  </si>
  <si>
    <t>Dr. Kordély Norbert megbízási</t>
  </si>
  <si>
    <t>Szegedi Veronika</t>
  </si>
  <si>
    <t>Sztergár Tímea</t>
  </si>
  <si>
    <t>Tar László</t>
  </si>
  <si>
    <t>Horváth Alíz</t>
  </si>
  <si>
    <t>Darabánt-Péli Erika</t>
  </si>
  <si>
    <t>Bognár Róbert</t>
  </si>
  <si>
    <t>Egyszerűsített bér</t>
  </si>
  <si>
    <t>Deli Győző</t>
  </si>
  <si>
    <t>Kontár Kornélné</t>
  </si>
  <si>
    <t>Némethné Kisgadó Szilvia</t>
  </si>
  <si>
    <t>Szentirmai Andrea</t>
  </si>
  <si>
    <t>Bogdán Richárd</t>
  </si>
  <si>
    <t>dr. Horváthné Hosszu Beatrix</t>
  </si>
  <si>
    <t>Scheffer Gabriella</t>
  </si>
  <si>
    <t>Sirokné Forray Beáta</t>
  </si>
  <si>
    <t>Tamási Piroska</t>
  </si>
  <si>
    <t>Morvai-Nagy Timea</t>
  </si>
  <si>
    <t>Kuthy Sarolta</t>
  </si>
  <si>
    <t>Kontárné Antal Zsófia</t>
  </si>
  <si>
    <t>Kollár Tamás</t>
  </si>
  <si>
    <t>Pappné Liebermann Erzsébet</t>
  </si>
  <si>
    <t>Bán Mária Ildikó</t>
  </si>
  <si>
    <t>Fehér Renáta</t>
  </si>
  <si>
    <t>Katona Gábor</t>
  </si>
  <si>
    <t>Kovács Rudolf</t>
  </si>
  <si>
    <t>Margittainé</t>
  </si>
  <si>
    <t>Szabó Nándor</t>
  </si>
  <si>
    <t>Szabó Nándorné</t>
  </si>
  <si>
    <t>Törökné Székely M</t>
  </si>
  <si>
    <t>Bér összes</t>
  </si>
  <si>
    <t>Szocho összes</t>
  </si>
  <si>
    <t>Szegedi Veronika megbízás</t>
  </si>
  <si>
    <t>Deli Győző megbízás</t>
  </si>
  <si>
    <t>Rendezvényszervező megbízási díja</t>
  </si>
  <si>
    <t>Ételszállítás megbízási díj</t>
  </si>
  <si>
    <t>Munkába járás</t>
  </si>
  <si>
    <t>weblappal kapcsolatos működési kiadások</t>
  </si>
  <si>
    <t>weblap készítés</t>
  </si>
  <si>
    <t>közművelődési dologi kiadások (rendezvények, stb)</t>
  </si>
  <si>
    <t>Közvilágítás lízing</t>
  </si>
  <si>
    <t xml:space="preserve">Önkorm. Jogalkotás </t>
  </si>
  <si>
    <t>Zöldterület gazdálkodás</t>
  </si>
  <si>
    <t>Közvilágítás</t>
  </si>
  <si>
    <t>Köztemető fenntartás</t>
  </si>
  <si>
    <t>Közutak fenntartása</t>
  </si>
  <si>
    <t>Város és községgazd.</t>
  </si>
  <si>
    <t>Közfoglalkoztatás</t>
  </si>
  <si>
    <t>Háziorvosi szolgálat</t>
  </si>
  <si>
    <t>Védőnői szolg.</t>
  </si>
  <si>
    <t>Zöldségbolt</t>
  </si>
  <si>
    <t>Önkorm.elszám.költségvetési szervekkel</t>
  </si>
  <si>
    <t>Közművelődés</t>
  </si>
  <si>
    <t>Kormányzati funkció összesen</t>
  </si>
  <si>
    <t xml:space="preserve">Személyi juttatások </t>
  </si>
  <si>
    <t>K1101</t>
  </si>
  <si>
    <t>Törvény szerinti illetmények, munkabérek</t>
  </si>
  <si>
    <t>K1109</t>
  </si>
  <si>
    <t>Közlekedési költségtérítés</t>
  </si>
  <si>
    <t>K121</t>
  </si>
  <si>
    <t>Választott tisztségviselők juttatásai</t>
  </si>
  <si>
    <t>K122</t>
  </si>
  <si>
    <t>Munkavégzésre irányuló egyéb jogviszonyban nem saját fogl.</t>
  </si>
  <si>
    <t>K123</t>
  </si>
  <si>
    <t>Egyéb külső személyi juttatások</t>
  </si>
  <si>
    <t>Személyi juttatások összesen</t>
  </si>
  <si>
    <t>K2</t>
  </si>
  <si>
    <t>K311</t>
  </si>
  <si>
    <t>Szakmai anyagok beszerzése - gyógyszer beszerzése</t>
  </si>
  <si>
    <t>K312</t>
  </si>
  <si>
    <t>Üzemeltetési anyagok beszerzése</t>
  </si>
  <si>
    <t>K313</t>
  </si>
  <si>
    <t>Árubeszerzés  /Zöldségbolt/</t>
  </si>
  <si>
    <t xml:space="preserve">Készletbeszerzés </t>
  </si>
  <si>
    <t>K321</t>
  </si>
  <si>
    <t xml:space="preserve">Informatikai szolgáltatások </t>
  </si>
  <si>
    <t>K322</t>
  </si>
  <si>
    <t>Egyéb kommunikációs szolgáltatások</t>
  </si>
  <si>
    <t xml:space="preserve">Kommunikációs szolgáltatások </t>
  </si>
  <si>
    <t>K331</t>
  </si>
  <si>
    <t>Közüzemi díjak (gáz, víz, áram)</t>
  </si>
  <si>
    <t>K332</t>
  </si>
  <si>
    <t>Szünidei gyermekétkeztetés</t>
  </si>
  <si>
    <t>K333</t>
  </si>
  <si>
    <t>Bérleti és lízing díjak</t>
  </si>
  <si>
    <t>K334</t>
  </si>
  <si>
    <t>Karbantartási, kisjavítási szolgáltatások kiadásai</t>
  </si>
  <si>
    <t>K335</t>
  </si>
  <si>
    <t>Közvetített szolgáltatások kiadásai</t>
  </si>
  <si>
    <t>K336</t>
  </si>
  <si>
    <t>Szakmai szolgáltatások</t>
  </si>
  <si>
    <t>K337</t>
  </si>
  <si>
    <t>Egyéb szolgáltatási kiadások</t>
  </si>
  <si>
    <t>K337-01</t>
  </si>
  <si>
    <t>Egyéb szolgáltatási kiadások - Biztosítási díjak</t>
  </si>
  <si>
    <t>K352</t>
  </si>
  <si>
    <t>Fizetendő ÁFA</t>
  </si>
  <si>
    <t>K341</t>
  </si>
  <si>
    <t>Kiküldetések kiadásai</t>
  </si>
  <si>
    <t>K342</t>
  </si>
  <si>
    <t>Reklám, propagandaköltség</t>
  </si>
  <si>
    <t xml:space="preserve">Kiküldetés, reprezentáció, reklámkiadások </t>
  </si>
  <si>
    <t>K353</t>
  </si>
  <si>
    <t>Kamatkiadások</t>
  </si>
  <si>
    <t>K355</t>
  </si>
  <si>
    <t>Egyéb dologi kiadások</t>
  </si>
  <si>
    <t>K506</t>
  </si>
  <si>
    <t>Működési célú pénzeszköz átadás áht-n belülre (Álhubál, Bursa)</t>
  </si>
  <si>
    <t>K512</t>
  </si>
  <si>
    <t>Működési célú pénzeszköz átadás áht-n kívülre</t>
  </si>
  <si>
    <t>K5021</t>
  </si>
  <si>
    <t>Állami támogatással szembeni elszámolás</t>
  </si>
  <si>
    <t xml:space="preserve">Különféle költségvetési befizetések </t>
  </si>
  <si>
    <t>Dologi kiadások összesen</t>
  </si>
  <si>
    <t>Önkormányzati szociális ellátások</t>
  </si>
  <si>
    <t>K48</t>
  </si>
  <si>
    <t>Települési támogatás</t>
  </si>
  <si>
    <t>Önkormányzati szociális ellátások összesen</t>
  </si>
  <si>
    <t>MŰKÖDÉSI KIADÁSOK ÖSSZESEN</t>
  </si>
  <si>
    <t>K62</t>
  </si>
  <si>
    <t>Ingatlanok beszerzése, létesítése</t>
  </si>
  <si>
    <t>K64</t>
  </si>
  <si>
    <t>Egyéb tárgyi eszközök beszerzése, létesítése</t>
  </si>
  <si>
    <t>K71</t>
  </si>
  <si>
    <t>Ingatlanok felújítása</t>
  </si>
  <si>
    <t>K914</t>
  </si>
  <si>
    <t>Állami megelőlegezés visszafizetése</t>
  </si>
  <si>
    <t>K915</t>
  </si>
  <si>
    <t>Irányító szerv alá tartozó ktgvi szervnek folyósított műk.tám. (Óvoda)</t>
  </si>
  <si>
    <t>Irányító szerv alá tartozó ktgvi szervnek folyósított műk.tám. (Közétkeztetés)</t>
  </si>
  <si>
    <t>K917</t>
  </si>
  <si>
    <t>Lízingdíj</t>
  </si>
  <si>
    <t>K513</t>
  </si>
  <si>
    <t>KIADÁSOK MINDÖSSZESEN:</t>
  </si>
  <si>
    <t>Szociális hozzájárulási adó 17,5 %</t>
  </si>
  <si>
    <t>Egyszerűsített közteher</t>
  </si>
  <si>
    <t>Gyermekétkeztetés</t>
  </si>
  <si>
    <t>K351</t>
  </si>
  <si>
    <t>Vételárban lévő áfa</t>
  </si>
  <si>
    <t>Szikla Éva megbízás</t>
  </si>
  <si>
    <t>HEP megbízási díj</t>
  </si>
  <si>
    <t>Civil szervezetek támogatása</t>
  </si>
  <si>
    <t>K67</t>
  </si>
  <si>
    <t>Beruházás áfa</t>
  </si>
  <si>
    <t>K74</t>
  </si>
  <si>
    <t>Felújítás áfa</t>
  </si>
  <si>
    <t>Szocho és járulékok összesen</t>
  </si>
  <si>
    <t>Bursa Hungarica támogatás</t>
  </si>
  <si>
    <t>Céltartalék a víziközművel kapcsolatos kiadásokra</t>
  </si>
  <si>
    <t>Kommunális adó mentességben 73 fő részesül</t>
  </si>
  <si>
    <t>Növénytermesztés és feldolgozás</t>
  </si>
  <si>
    <t>1. számú melléklet az 1/2020. (II.17.) önkormányzati rendelethez</t>
  </si>
  <si>
    <t>2. számú melléklet az 1/2020. (II.17.) önkormányzati rendelethez</t>
  </si>
  <si>
    <t>3. számú melléklet az 1/2020. (II.17.) önkormányzati rendelethez</t>
  </si>
  <si>
    <t>4. számú melléklet az 1/2020. (II.17.) önkormányzati rendelethez</t>
  </si>
  <si>
    <t>5. számú melléklet az 1/2020. (II.17.) önkormányzati rendelethez</t>
  </si>
  <si>
    <t>6.a számú melléklet az 1/2020. (II.17.) önkormányzati rendelethez</t>
  </si>
  <si>
    <t>6.b számú melléklet az 1/2020. (II.17.) önkormányzati rendelethez</t>
  </si>
  <si>
    <t>6.c számú melléklet az 1/2020. (II.17.) önkormányzati rendelethez</t>
  </si>
  <si>
    <t>7. számú melléklet az 1/2020. (II.17.) önkormányzati rendelethez</t>
  </si>
  <si>
    <t>8. számú melléklet az 1/2020. (II.17.) önkormányzati rendelethez</t>
  </si>
  <si>
    <t>9. számú melléklet az 1/2020. (II.17.)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</si>
</sst>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;[Red]\-#,##0_);"/>
    <numFmt numFmtId="167" formatCode="_-* #,##0\ &quot;Ft&quot;_-;\-* #,##0\ &quot;Ft&quot;_-;_-* &quot;-&quot;??\ &quot;Ft&quot;_-;_-@_-"/>
    <numFmt numFmtId="168" formatCode="_-* #,##0.0\ _F_t_-;\-* #,##0.0\ _F_t_-;_-* &quot;-&quot;??\ _F_t_-;_-@_-"/>
    <numFmt numFmtId="169" formatCode="_-* #,##0\ _F_t_-;\-* #,##0\ _F_t_-;_-* &quot;-&quot;??\ _F_t_-;_-@_-"/>
    <numFmt numFmtId="170" formatCode="#,##0_ ;[Red]\-#,##0\ "/>
    <numFmt numFmtId="171" formatCode="#,##0.00\ _F_t"/>
    <numFmt numFmtId="172" formatCode="#,##0_ ;\-#,##0\ "/>
    <numFmt numFmtId="173" formatCode="\ * #,##0&quot;     &quot;;\-* #,##0&quot;     &quot;;\ * \-#&quot;     &quot;;@\ "/>
    <numFmt numFmtId="174" formatCode="#,##0\ &quot;Ft&quot;"/>
    <numFmt numFmtId="175" formatCode="_-* #,##0_-;\-* #,##0_-;_-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7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libri"/>
      <family val="2"/>
    </font>
    <font>
      <sz val="18"/>
      <color indexed="8"/>
      <name val="Arial Narrow"/>
      <family val="2"/>
    </font>
    <font>
      <sz val="11"/>
      <color indexed="8"/>
      <name val="Arial Narrow"/>
      <family val="2"/>
    </font>
    <font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11"/>
      <color theme="1"/>
      <name val="Cambria"/>
      <family val="1"/>
    </font>
    <font>
      <sz val="12"/>
      <color rgb="FF000000"/>
      <name val="Calibri"/>
      <family val="2"/>
    </font>
    <font>
      <sz val="18"/>
      <color theme="1"/>
      <name val="Arial Narrow"/>
      <family val="2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AFB1"/>
        <bgColor indexed="64"/>
      </patternFill>
    </fill>
    <fill>
      <patternFill patternType="solid">
        <fgColor theme="6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Dashed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166" fontId="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6" fontId="5" fillId="0" borderId="0" xfId="62" applyFont="1" applyAlignment="1">
      <alignment wrapText="1"/>
      <protection/>
    </xf>
    <xf numFmtId="166" fontId="5" fillId="0" borderId="0" xfId="62" applyNumberFormat="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6" fontId="7" fillId="0" borderId="10" xfId="62" applyFont="1" applyBorder="1" applyAlignment="1">
      <alignment horizontal="center" vertical="center" wrapText="1"/>
      <protection/>
    </xf>
    <xf numFmtId="166" fontId="7" fillId="0" borderId="10" xfId="62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166" fontId="10" fillId="0" borderId="11" xfId="62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center" vertical="center"/>
    </xf>
    <xf numFmtId="166" fontId="6" fillId="0" borderId="11" xfId="62" applyFont="1" applyBorder="1" applyAlignment="1">
      <alignment horizontal="left" vertical="center" wrapText="1"/>
      <protection/>
    </xf>
    <xf numFmtId="166" fontId="6" fillId="0" borderId="11" xfId="62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66" fontId="2" fillId="0" borderId="11" xfId="62" applyFont="1" applyBorder="1" applyAlignment="1">
      <alignment horizontal="left" vertical="center" wrapText="1"/>
      <protection/>
    </xf>
    <xf numFmtId="166" fontId="2" fillId="0" borderId="11" xfId="6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169" fontId="16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16" fillId="0" borderId="0" xfId="42" applyNumberFormat="1" applyFont="1" applyAlignment="1">
      <alignment horizontal="right"/>
    </xf>
    <xf numFmtId="169" fontId="11" fillId="0" borderId="11" xfId="42" applyNumberFormat="1" applyFont="1" applyBorder="1" applyAlignment="1">
      <alignment horizontal="center" vertical="center"/>
    </xf>
    <xf numFmtId="169" fontId="11" fillId="0" borderId="11" xfId="42" applyNumberFormat="1" applyFont="1" applyBorder="1" applyAlignment="1">
      <alignment horizontal="center" vertical="center" wrapText="1"/>
    </xf>
    <xf numFmtId="169" fontId="16" fillId="0" borderId="11" xfId="42" applyNumberFormat="1" applyFont="1" applyBorder="1" applyAlignment="1">
      <alignment horizontal="center" vertical="center" wrapText="1"/>
    </xf>
    <xf numFmtId="169" fontId="11" fillId="0" borderId="0" xfId="42" applyNumberFormat="1" applyFont="1" applyAlignment="1">
      <alignment/>
    </xf>
    <xf numFmtId="169" fontId="16" fillId="0" borderId="11" xfId="42" applyNumberFormat="1" applyFont="1" applyBorder="1" applyAlignment="1">
      <alignment horizontal="center" vertical="center"/>
    </xf>
    <xf numFmtId="169" fontId="11" fillId="0" borderId="11" xfId="42" applyNumberFormat="1" applyFont="1" applyFill="1" applyBorder="1" applyAlignment="1">
      <alignment horizontal="center" vertical="center"/>
    </xf>
    <xf numFmtId="169" fontId="16" fillId="0" borderId="11" xfId="42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49" fontId="11" fillId="0" borderId="11" xfId="0" applyNumberFormat="1" applyFont="1" applyBorder="1" applyAlignment="1">
      <alignment horizontal="center" vertical="center"/>
    </xf>
    <xf numFmtId="166" fontId="11" fillId="0" borderId="11" xfId="62" applyFont="1" applyBorder="1" applyAlignment="1">
      <alignment horizontal="left" vertical="center" wrapText="1"/>
      <protection/>
    </xf>
    <xf numFmtId="166" fontId="11" fillId="0" borderId="11" xfId="62" applyNumberFormat="1" applyFont="1" applyBorder="1" applyAlignment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166" fontId="16" fillId="0" borderId="11" xfId="62" applyFont="1" applyBorder="1" applyAlignment="1">
      <alignment horizontal="left" vertical="center" wrapText="1"/>
      <protection/>
    </xf>
    <xf numFmtId="166" fontId="16" fillId="0" borderId="11" xfId="62" applyNumberFormat="1" applyFont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66" fontId="11" fillId="0" borderId="11" xfId="62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/>
    </xf>
    <xf numFmtId="169" fontId="79" fillId="0" borderId="0" xfId="42" applyNumberFormat="1" applyFont="1" applyAlignment="1">
      <alignment/>
    </xf>
    <xf numFmtId="0" fontId="11" fillId="0" borderId="16" xfId="0" applyFont="1" applyFill="1" applyBorder="1" applyAlignment="1">
      <alignment horizontal="center" vertical="center" wrapText="1" shrinkToFit="1"/>
    </xf>
    <xf numFmtId="169" fontId="79" fillId="0" borderId="11" xfId="42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166" fontId="11" fillId="0" borderId="17" xfId="62" applyFont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75" fillId="0" borderId="11" xfId="0" applyFont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9" fontId="2" fillId="0" borderId="17" xfId="42" applyNumberFormat="1" applyFont="1" applyBorder="1" applyAlignment="1">
      <alignment wrapText="1"/>
    </xf>
    <xf numFmtId="169" fontId="2" fillId="0" borderId="11" xfId="42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169" fontId="6" fillId="0" borderId="19" xfId="42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169" fontId="6" fillId="0" borderId="20" xfId="42" applyNumberFormat="1" applyFont="1" applyBorder="1" applyAlignment="1">
      <alignment wrapText="1"/>
    </xf>
    <xf numFmtId="0" fontId="19" fillId="0" borderId="21" xfId="0" applyFont="1" applyBorder="1" applyAlignment="1">
      <alignment wrapText="1"/>
    </xf>
    <xf numFmtId="169" fontId="19" fillId="0" borderId="21" xfId="42" applyNumberFormat="1" applyFont="1" applyBorder="1" applyAlignment="1">
      <alignment wrapText="1"/>
    </xf>
    <xf numFmtId="0" fontId="2" fillId="0" borderId="11" xfId="59" applyBorder="1" applyAlignment="1">
      <alignment horizontal="center" wrapText="1"/>
      <protection/>
    </xf>
    <xf numFmtId="0" fontId="2" fillId="0" borderId="0" xfId="59" applyAlignment="1">
      <alignment horizontal="center" wrapText="1"/>
      <protection/>
    </xf>
    <xf numFmtId="0" fontId="16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2" fillId="0" borderId="0" xfId="59" applyAlignment="1">
      <alignment wrapText="1"/>
      <protection/>
    </xf>
    <xf numFmtId="0" fontId="8" fillId="0" borderId="0" xfId="59" applyFont="1" applyAlignment="1">
      <alignment horizontal="right" wrapText="1"/>
      <protection/>
    </xf>
    <xf numFmtId="3" fontId="2" fillId="0" borderId="11" xfId="59" applyNumberFormat="1" applyBorder="1" applyAlignment="1">
      <alignment horizontal="center" wrapText="1"/>
      <protection/>
    </xf>
    <xf numFmtId="169" fontId="80" fillId="0" borderId="0" xfId="42" applyNumberFormat="1" applyFont="1" applyAlignment="1">
      <alignment/>
    </xf>
    <xf numFmtId="169" fontId="9" fillId="0" borderId="11" xfId="40" applyNumberFormat="1" applyFont="1" applyBorder="1" applyAlignment="1">
      <alignment horizontal="center" vertical="center"/>
    </xf>
    <xf numFmtId="169" fontId="6" fillId="0" borderId="11" xfId="40" applyNumberFormat="1" applyFont="1" applyBorder="1" applyAlignment="1">
      <alignment horizontal="left" vertical="center" wrapText="1"/>
    </xf>
    <xf numFmtId="169" fontId="6" fillId="0" borderId="11" xfId="40" applyNumberFormat="1" applyFont="1" applyFill="1" applyBorder="1" applyAlignment="1">
      <alignment horizontal="left" vertical="center" wrapText="1"/>
    </xf>
    <xf numFmtId="169" fontId="3" fillId="0" borderId="15" xfId="40" applyNumberFormat="1" applyFont="1" applyBorder="1" applyAlignment="1">
      <alignment horizontal="center" vertical="center"/>
    </xf>
    <xf numFmtId="169" fontId="3" fillId="0" borderId="11" xfId="40" applyNumberFormat="1" applyFont="1" applyBorder="1" applyAlignment="1">
      <alignment horizontal="center"/>
    </xf>
    <xf numFmtId="172" fontId="3" fillId="0" borderId="11" xfId="40" applyNumberFormat="1" applyFont="1" applyBorder="1" applyAlignment="1">
      <alignment horizontal="center" vertical="center"/>
    </xf>
    <xf numFmtId="172" fontId="2" fillId="0" borderId="11" xfId="40" applyNumberFormat="1" applyFont="1" applyFill="1" applyBorder="1" applyAlignment="1">
      <alignment horizontal="left" vertical="center" wrapText="1"/>
    </xf>
    <xf numFmtId="172" fontId="6" fillId="0" borderId="11" xfId="40" applyNumberFormat="1" applyFont="1" applyBorder="1" applyAlignment="1">
      <alignment horizontal="center" vertical="center" wrapText="1"/>
    </xf>
    <xf numFmtId="172" fontId="9" fillId="0" borderId="11" xfId="40" applyNumberFormat="1" applyFont="1" applyBorder="1" applyAlignment="1">
      <alignment horizontal="center" vertical="center"/>
    </xf>
    <xf numFmtId="172" fontId="6" fillId="0" borderId="11" xfId="40" applyNumberFormat="1" applyFont="1" applyFill="1" applyBorder="1" applyAlignment="1">
      <alignment horizontal="left" vertical="center" wrapText="1"/>
    </xf>
    <xf numFmtId="169" fontId="2" fillId="0" borderId="11" xfId="40" applyNumberFormat="1" applyFont="1" applyBorder="1" applyAlignment="1">
      <alignment horizontal="right" wrapText="1"/>
    </xf>
    <xf numFmtId="169" fontId="75" fillId="0" borderId="11" xfId="40" applyNumberFormat="1" applyFont="1" applyBorder="1" applyAlignment="1">
      <alignment horizontal="right" wrapText="1"/>
    </xf>
    <xf numFmtId="0" fontId="45" fillId="0" borderId="0" xfId="59" applyFont="1" applyAlignment="1">
      <alignment horizontal="left" wrapText="1"/>
      <protection/>
    </xf>
    <xf numFmtId="0" fontId="45" fillId="0" borderId="0" xfId="60" applyFont="1" applyAlignment="1">
      <alignment horizontal="center" wrapText="1"/>
      <protection/>
    </xf>
    <xf numFmtId="0" fontId="45" fillId="0" borderId="0" xfId="60" applyFont="1" applyAlignment="1">
      <alignment wrapText="1"/>
      <protection/>
    </xf>
    <xf numFmtId="0" fontId="46" fillId="0" borderId="11" xfId="59" applyFont="1" applyBorder="1" applyAlignment="1">
      <alignment horizontal="center" vertical="center" wrapText="1"/>
      <protection/>
    </xf>
    <xf numFmtId="0" fontId="46" fillId="0" borderId="11" xfId="59" applyFont="1" applyBorder="1" applyAlignment="1">
      <alignment horizontal="center" vertical="center" wrapText="1" shrinkToFit="1"/>
      <protection/>
    </xf>
    <xf numFmtId="0" fontId="46" fillId="33" borderId="0" xfId="59" applyFont="1" applyFill="1" applyAlignment="1">
      <alignment horizontal="center" vertical="center" wrapText="1" shrinkToFit="1"/>
      <protection/>
    </xf>
    <xf numFmtId="3" fontId="46" fillId="34" borderId="11" xfId="59" applyNumberFormat="1" applyFont="1" applyFill="1" applyBorder="1" applyAlignment="1">
      <alignment vertical="center" wrapText="1"/>
      <protection/>
    </xf>
    <xf numFmtId="3" fontId="46" fillId="34" borderId="11" xfId="42" applyNumberFormat="1" applyFont="1" applyFill="1" applyBorder="1" applyAlignment="1" applyProtection="1">
      <alignment horizontal="center" vertical="center" wrapText="1"/>
      <protection/>
    </xf>
    <xf numFmtId="3" fontId="45" fillId="2" borderId="11" xfId="42" applyNumberFormat="1" applyFont="1" applyFill="1" applyBorder="1" applyAlignment="1" applyProtection="1">
      <alignment horizontal="center" vertical="center" wrapText="1"/>
      <protection/>
    </xf>
    <xf numFmtId="3" fontId="45" fillId="3" borderId="11" xfId="42" applyNumberFormat="1" applyFont="1" applyFill="1" applyBorder="1" applyAlignment="1" applyProtection="1">
      <alignment horizontal="center" vertical="center" wrapText="1"/>
      <protection/>
    </xf>
    <xf numFmtId="3" fontId="45" fillId="7" borderId="11" xfId="42" applyNumberFormat="1" applyFont="1" applyFill="1" applyBorder="1" applyAlignment="1" applyProtection="1">
      <alignment horizontal="center" vertical="center" wrapText="1"/>
      <protection/>
    </xf>
    <xf numFmtId="0" fontId="45" fillId="35" borderId="11" xfId="59" applyFont="1" applyFill="1" applyBorder="1" applyAlignment="1">
      <alignment horizontal="left" vertical="center" wrapText="1"/>
      <protection/>
    </xf>
    <xf numFmtId="3" fontId="45" fillId="35" borderId="11" xfId="42" applyNumberFormat="1" applyFont="1" applyFill="1" applyBorder="1" applyAlignment="1" applyProtection="1">
      <alignment horizontal="center" vertical="center" wrapText="1"/>
      <protection/>
    </xf>
    <xf numFmtId="3" fontId="45" fillId="0" borderId="11" xfId="42" applyNumberFormat="1" applyFont="1" applyFill="1" applyBorder="1" applyAlignment="1" applyProtection="1">
      <alignment horizontal="center" vertical="center" wrapText="1"/>
      <protection/>
    </xf>
    <xf numFmtId="3" fontId="45" fillId="5" borderId="11" xfId="42" applyNumberFormat="1" applyFont="1" applyFill="1" applyBorder="1" applyAlignment="1" applyProtection="1">
      <alignment horizontal="center" vertical="center" wrapText="1"/>
      <protection/>
    </xf>
    <xf numFmtId="0" fontId="45" fillId="0" borderId="11" xfId="59" applyFont="1" applyBorder="1" applyAlignment="1">
      <alignment horizontal="left" vertical="center" wrapText="1"/>
      <protection/>
    </xf>
    <xf numFmtId="0" fontId="45" fillId="33" borderId="0" xfId="60" applyFont="1" applyFill="1" applyAlignment="1">
      <alignment wrapText="1"/>
      <protection/>
    </xf>
    <xf numFmtId="3" fontId="46" fillId="36" borderId="11" xfId="59" applyNumberFormat="1" applyFont="1" applyFill="1" applyBorder="1" applyAlignment="1">
      <alignment vertical="center" wrapText="1"/>
      <protection/>
    </xf>
    <xf numFmtId="3" fontId="46" fillId="36" borderId="11" xfId="42" applyNumberFormat="1" applyFont="1" applyFill="1" applyBorder="1" applyAlignment="1" applyProtection="1">
      <alignment horizontal="center" vertical="center" wrapText="1"/>
      <protection/>
    </xf>
    <xf numFmtId="0" fontId="45" fillId="4" borderId="11" xfId="59" applyFont="1" applyFill="1" applyBorder="1" applyAlignment="1">
      <alignment horizontal="left" vertical="center" wrapText="1"/>
      <protection/>
    </xf>
    <xf numFmtId="3" fontId="45" fillId="4" borderId="11" xfId="42" applyNumberFormat="1" applyFont="1" applyFill="1" applyBorder="1" applyAlignment="1" applyProtection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3" fontId="45" fillId="0" borderId="11" xfId="59" applyNumberFormat="1" applyFont="1" applyBorder="1" applyAlignment="1">
      <alignment vertical="center" wrapText="1"/>
      <protection/>
    </xf>
    <xf numFmtId="0" fontId="45" fillId="33" borderId="11" xfId="60" applyFont="1" applyFill="1" applyBorder="1" applyAlignment="1">
      <alignment vertical="center" wrapText="1"/>
      <protection/>
    </xf>
    <xf numFmtId="0" fontId="47" fillId="33" borderId="11" xfId="60" applyFont="1" applyFill="1" applyBorder="1" applyAlignment="1">
      <alignment vertical="center" wrapText="1"/>
      <protection/>
    </xf>
    <xf numFmtId="3" fontId="45" fillId="0" borderId="0" xfId="60" applyNumberFormat="1" applyFont="1" applyAlignment="1">
      <alignment horizontal="center" wrapText="1"/>
      <protection/>
    </xf>
    <xf numFmtId="0" fontId="45" fillId="7" borderId="11" xfId="59" applyFont="1" applyFill="1" applyBorder="1" applyAlignment="1">
      <alignment horizontal="left" vertical="center" wrapText="1"/>
      <protection/>
    </xf>
    <xf numFmtId="0" fontId="45" fillId="0" borderId="11" xfId="60" applyFont="1" applyBorder="1" applyAlignment="1">
      <alignment vertical="center" wrapText="1"/>
      <protection/>
    </xf>
    <xf numFmtId="37" fontId="46" fillId="34" borderId="11" xfId="59" applyNumberFormat="1" applyFont="1" applyFill="1" applyBorder="1" applyAlignment="1">
      <alignment vertical="center" wrapText="1"/>
      <protection/>
    </xf>
    <xf numFmtId="37" fontId="46" fillId="34" borderId="11" xfId="42" applyNumberFormat="1" applyFont="1" applyFill="1" applyBorder="1" applyAlignment="1" applyProtection="1">
      <alignment horizontal="center" vertical="center" wrapText="1"/>
      <protection/>
    </xf>
    <xf numFmtId="0" fontId="46" fillId="0" borderId="0" xfId="59" applyFont="1" applyAlignment="1">
      <alignment horizontal="center" vertical="center"/>
      <protection/>
    </xf>
    <xf numFmtId="0" fontId="46" fillId="0" borderId="22" xfId="59" applyFont="1" applyBorder="1" applyAlignment="1">
      <alignment horizontal="center" vertical="center" wrapText="1" shrinkToFit="1"/>
      <protection/>
    </xf>
    <xf numFmtId="3" fontId="46" fillId="34" borderId="23" xfId="42" applyNumberFormat="1" applyFont="1" applyFill="1" applyBorder="1" applyAlignment="1" applyProtection="1">
      <alignment horizontal="center" vertical="center"/>
      <protection/>
    </xf>
    <xf numFmtId="0" fontId="47" fillId="33" borderId="0" xfId="60" applyFont="1" applyFill="1" applyAlignment="1">
      <alignment wrapText="1"/>
      <protection/>
    </xf>
    <xf numFmtId="3" fontId="46" fillId="34" borderId="11" xfId="42" applyNumberFormat="1" applyFont="1" applyFill="1" applyBorder="1" applyAlignment="1" applyProtection="1">
      <alignment horizontal="center" vertical="center"/>
      <protection/>
    </xf>
    <xf numFmtId="0" fontId="45" fillId="33" borderId="0" xfId="60" applyFont="1" applyFill="1" applyAlignment="1">
      <alignment horizontal="center" wrapText="1"/>
      <protection/>
    </xf>
    <xf numFmtId="3" fontId="46" fillId="34" borderId="22" xfId="42" applyNumberFormat="1" applyFont="1" applyFill="1" applyBorder="1" applyAlignment="1" applyProtection="1">
      <alignment horizontal="center" vertical="center"/>
      <protection/>
    </xf>
    <xf numFmtId="3" fontId="46" fillId="34" borderId="17" xfId="59" applyNumberFormat="1" applyFont="1" applyFill="1" applyBorder="1" applyAlignment="1">
      <alignment vertical="center" wrapText="1"/>
      <protection/>
    </xf>
    <xf numFmtId="3" fontId="45" fillId="0" borderId="11" xfId="42" applyNumberFormat="1" applyFont="1" applyFill="1" applyBorder="1" applyAlignment="1" applyProtection="1">
      <alignment horizontal="center" vertical="center"/>
      <protection/>
    </xf>
    <xf numFmtId="3" fontId="45" fillId="0" borderId="22" xfId="42" applyNumberFormat="1" applyFont="1" applyFill="1" applyBorder="1" applyAlignment="1" applyProtection="1">
      <alignment horizontal="center" vertical="center"/>
      <protection/>
    </xf>
    <xf numFmtId="3" fontId="45" fillId="0" borderId="0" xfId="42" applyNumberFormat="1" applyFont="1" applyFill="1" applyBorder="1" applyAlignment="1" applyProtection="1">
      <alignment horizontal="center" vertical="center"/>
      <protection/>
    </xf>
    <xf numFmtId="3" fontId="45" fillId="0" borderId="24" xfId="42" applyNumberFormat="1" applyFont="1" applyFill="1" applyBorder="1" applyAlignment="1" applyProtection="1">
      <alignment horizontal="center" vertical="center"/>
      <protection/>
    </xf>
    <xf numFmtId="37" fontId="46" fillId="34" borderId="11" xfId="42" applyNumberFormat="1" applyFont="1" applyFill="1" applyBorder="1" applyAlignment="1" applyProtection="1">
      <alignment horizontal="center" vertical="center"/>
      <protection/>
    </xf>
    <xf numFmtId="3" fontId="45" fillId="33" borderId="0" xfId="60" applyNumberFormat="1" applyFont="1" applyFill="1" applyAlignment="1">
      <alignment wrapText="1"/>
      <protection/>
    </xf>
    <xf numFmtId="3" fontId="46" fillId="34" borderId="17" xfId="59" applyNumberFormat="1" applyFont="1" applyFill="1" applyBorder="1" applyAlignment="1">
      <alignment vertical="center" wrapText="1"/>
      <protection/>
    </xf>
    <xf numFmtId="3" fontId="45" fillId="0" borderId="11" xfId="59" applyNumberFormat="1" applyFont="1" applyBorder="1" applyAlignment="1">
      <alignment vertical="center" wrapText="1"/>
      <protection/>
    </xf>
    <xf numFmtId="3" fontId="46" fillId="34" borderId="11" xfId="59" applyNumberFormat="1" applyFont="1" applyFill="1" applyBorder="1" applyAlignment="1">
      <alignment vertical="center" wrapText="1"/>
      <protection/>
    </xf>
    <xf numFmtId="3" fontId="2" fillId="0" borderId="11" xfId="0" applyNumberFormat="1" applyFont="1" applyFill="1" applyBorder="1" applyAlignment="1">
      <alignment horizontal="left" vertical="center"/>
    </xf>
    <xf numFmtId="0" fontId="46" fillId="0" borderId="0" xfId="59" applyFont="1" applyAlignment="1">
      <alignment horizontal="center" vertical="center" wrapText="1"/>
      <protection/>
    </xf>
    <xf numFmtId="0" fontId="45" fillId="0" borderId="0" xfId="60" applyFont="1" applyAlignment="1">
      <alignment vertical="center" wrapText="1"/>
      <protection/>
    </xf>
    <xf numFmtId="0" fontId="45" fillId="0" borderId="0" xfId="59" applyFont="1" applyAlignment="1">
      <alignment horizontal="left" vertical="center" wrapText="1"/>
      <protection/>
    </xf>
    <xf numFmtId="0" fontId="45" fillId="0" borderId="0" xfId="60" applyFont="1" applyAlignment="1">
      <alignment horizontal="center" vertical="center" wrapText="1"/>
      <protection/>
    </xf>
    <xf numFmtId="174" fontId="45" fillId="33" borderId="15" xfId="60" applyNumberFormat="1" applyFont="1" applyFill="1" applyBorder="1" applyAlignment="1">
      <alignment horizontal="center" vertical="center" wrapText="1"/>
      <protection/>
    </xf>
    <xf numFmtId="175" fontId="45" fillId="33" borderId="15" xfId="40" applyNumberFormat="1" applyFont="1" applyFill="1" applyBorder="1" applyAlignment="1">
      <alignment horizontal="center" vertical="center" wrapText="1"/>
    </xf>
    <xf numFmtId="3" fontId="45" fillId="0" borderId="0" xfId="60" applyNumberFormat="1" applyFont="1" applyAlignment="1">
      <alignment vertical="center" wrapText="1"/>
      <protection/>
    </xf>
    <xf numFmtId="3" fontId="45" fillId="33" borderId="15" xfId="60" applyNumberFormat="1" applyFont="1" applyFill="1" applyBorder="1" applyAlignment="1">
      <alignment horizontal="center" vertical="center" wrapText="1"/>
      <protection/>
    </xf>
    <xf numFmtId="0" fontId="45" fillId="33" borderId="0" xfId="60" applyFont="1" applyFill="1" applyAlignment="1">
      <alignment vertical="center" wrapText="1"/>
      <protection/>
    </xf>
    <xf numFmtId="0" fontId="45" fillId="33" borderId="15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horizontal="center" vertical="center" wrapText="1"/>
      <protection/>
    </xf>
    <xf numFmtId="0" fontId="47" fillId="0" borderId="0" xfId="60" applyFont="1" applyAlignment="1">
      <alignment vertical="center" wrapText="1"/>
      <protection/>
    </xf>
    <xf numFmtId="3" fontId="45" fillId="0" borderId="0" xfId="60" applyNumberFormat="1" applyFont="1" applyAlignment="1">
      <alignment horizontal="center" vertical="center" wrapText="1"/>
      <protection/>
    </xf>
    <xf numFmtId="0" fontId="81" fillId="0" borderId="0" xfId="0" applyFont="1" applyAlignment="1">
      <alignment vertical="center"/>
    </xf>
    <xf numFmtId="174" fontId="45" fillId="0" borderId="14" xfId="60" applyNumberFormat="1" applyFont="1" applyBorder="1" applyAlignment="1">
      <alignment horizontal="center" vertical="center" wrapText="1"/>
      <protection/>
    </xf>
    <xf numFmtId="175" fontId="45" fillId="0" borderId="14" xfId="40" applyNumberFormat="1" applyFont="1" applyBorder="1" applyAlignment="1">
      <alignment horizontal="center" vertical="center" wrapText="1"/>
    </xf>
    <xf numFmtId="3" fontId="45" fillId="0" borderId="14" xfId="60" applyNumberFormat="1" applyFont="1" applyBorder="1" applyAlignment="1">
      <alignment horizontal="center" vertical="center" wrapText="1"/>
      <protection/>
    </xf>
    <xf numFmtId="0" fontId="45" fillId="0" borderId="14" xfId="60" applyFont="1" applyBorder="1" applyAlignment="1">
      <alignment horizontal="center" vertical="center" wrapText="1"/>
      <protection/>
    </xf>
    <xf numFmtId="0" fontId="46" fillId="35" borderId="11" xfId="59" applyFont="1" applyFill="1" applyBorder="1" applyAlignment="1">
      <alignment horizontal="left" vertical="center" wrapText="1"/>
      <protection/>
    </xf>
    <xf numFmtId="3" fontId="46" fillId="35" borderId="11" xfId="42" applyNumberFormat="1" applyFont="1" applyFill="1" applyBorder="1" applyAlignment="1" applyProtection="1">
      <alignment horizontal="center" vertical="center" wrapText="1"/>
      <protection/>
    </xf>
    <xf numFmtId="3" fontId="45" fillId="2" borderId="11" xfId="59" applyNumberFormat="1" applyFont="1" applyFill="1" applyBorder="1" applyAlignment="1">
      <alignment vertical="center" wrapText="1"/>
      <protection/>
    </xf>
    <xf numFmtId="3" fontId="45" fillId="3" borderId="11" xfId="59" applyNumberFormat="1" applyFont="1" applyFill="1" applyBorder="1" applyAlignment="1">
      <alignment vertical="center" wrapText="1"/>
      <protection/>
    </xf>
    <xf numFmtId="3" fontId="45" fillId="7" borderId="11" xfId="59" applyNumberFormat="1" applyFont="1" applyFill="1" applyBorder="1" applyAlignment="1">
      <alignment vertical="center" wrapText="1"/>
      <protection/>
    </xf>
    <xf numFmtId="3" fontId="45" fillId="5" borderId="11" xfId="59" applyNumberFormat="1" applyFont="1" applyFill="1" applyBorder="1" applyAlignment="1">
      <alignment vertical="center" wrapText="1"/>
      <protection/>
    </xf>
    <xf numFmtId="167" fontId="0" fillId="0" borderId="0" xfId="64" applyNumberFormat="1" applyFont="1" applyAlignment="1">
      <alignment wrapText="1"/>
    </xf>
    <xf numFmtId="167" fontId="82" fillId="0" borderId="11" xfId="64" applyNumberFormat="1" applyFont="1" applyBorder="1" applyAlignment="1">
      <alignment wrapText="1"/>
    </xf>
    <xf numFmtId="167" fontId="82" fillId="0" borderId="25" xfId="64" applyNumberFormat="1" applyFont="1" applyBorder="1" applyAlignment="1">
      <alignment wrapText="1"/>
    </xf>
    <xf numFmtId="167" fontId="82" fillId="0" borderId="11" xfId="64" applyNumberFormat="1" applyFont="1" applyBorder="1" applyAlignment="1">
      <alignment wrapText="1"/>
    </xf>
    <xf numFmtId="167" fontId="0" fillId="0" borderId="26" xfId="64" applyNumberFormat="1" applyFont="1" applyBorder="1" applyAlignment="1">
      <alignment wrapText="1"/>
    </xf>
    <xf numFmtId="167" fontId="82" fillId="0" borderId="26" xfId="64" applyNumberFormat="1" applyFont="1" applyBorder="1" applyAlignment="1">
      <alignment wrapText="1"/>
    </xf>
    <xf numFmtId="167" fontId="0" fillId="0" borderId="0" xfId="64" applyNumberFormat="1" applyFont="1" applyBorder="1" applyAlignment="1">
      <alignment wrapText="1"/>
    </xf>
    <xf numFmtId="0" fontId="82" fillId="0" borderId="11" xfId="0" applyFont="1" applyBorder="1" applyAlignment="1">
      <alignment/>
    </xf>
    <xf numFmtId="0" fontId="82" fillId="0" borderId="11" xfId="0" applyFont="1" applyBorder="1" applyAlignment="1">
      <alignment wrapText="1"/>
    </xf>
    <xf numFmtId="0" fontId="82" fillId="0" borderId="11" xfId="61" applyFont="1" applyBorder="1" applyAlignment="1">
      <alignment wrapText="1"/>
      <protection/>
    </xf>
    <xf numFmtId="167" fontId="0" fillId="0" borderId="11" xfId="64" applyNumberFormat="1" applyFont="1" applyBorder="1" applyAlignment="1">
      <alignment wrapText="1"/>
    </xf>
    <xf numFmtId="0" fontId="82" fillId="0" borderId="11" xfId="61" applyFont="1" applyBorder="1">
      <alignment/>
      <protection/>
    </xf>
    <xf numFmtId="0" fontId="82" fillId="0" borderId="0" xfId="0" applyFont="1" applyBorder="1" applyAlignment="1">
      <alignment/>
    </xf>
    <xf numFmtId="167" fontId="82" fillId="0" borderId="0" xfId="64" applyNumberFormat="1" applyFont="1" applyBorder="1" applyAlignment="1">
      <alignment wrapText="1"/>
    </xf>
    <xf numFmtId="3" fontId="45" fillId="5" borderId="11" xfId="59" applyNumberFormat="1" applyFont="1" applyFill="1" applyBorder="1" applyAlignment="1">
      <alignment horizontal="center" vertical="center" wrapText="1"/>
      <protection/>
    </xf>
    <xf numFmtId="3" fontId="45" fillId="0" borderId="11" xfId="59" applyNumberFormat="1" applyFont="1" applyFill="1" applyBorder="1" applyAlignment="1">
      <alignment vertical="center" wrapText="1"/>
      <protection/>
    </xf>
    <xf numFmtId="3" fontId="45" fillId="0" borderId="11" xfId="59" applyNumberFormat="1" applyFont="1" applyFill="1" applyBorder="1" applyAlignment="1">
      <alignment horizontal="center" vertical="center" wrapText="1"/>
      <protection/>
    </xf>
    <xf numFmtId="3" fontId="47" fillId="0" borderId="0" xfId="60" applyNumberFormat="1" applyFont="1" applyAlignment="1">
      <alignment horizontal="center" vertical="center" wrapText="1"/>
      <protection/>
    </xf>
    <xf numFmtId="0" fontId="83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3" fontId="85" fillId="0" borderId="11" xfId="0" applyNumberFormat="1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6" fillId="0" borderId="11" xfId="0" applyFont="1" applyBorder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88" fillId="0" borderId="11" xfId="0" applyNumberFormat="1" applyFont="1" applyBorder="1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3" fontId="83" fillId="0" borderId="11" xfId="0" applyNumberFormat="1" applyFont="1" applyBorder="1" applyAlignment="1">
      <alignment/>
    </xf>
    <xf numFmtId="3" fontId="84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169" fontId="20" fillId="0" borderId="11" xfId="40" applyNumberFormat="1" applyFont="1" applyBorder="1" applyAlignment="1">
      <alignment horizontal="center" vertical="center" wrapText="1"/>
    </xf>
    <xf numFmtId="3" fontId="84" fillId="0" borderId="0" xfId="0" applyNumberFormat="1" applyFont="1" applyAlignment="1">
      <alignment/>
    </xf>
    <xf numFmtId="3" fontId="83" fillId="0" borderId="27" xfId="0" applyNumberFormat="1" applyFont="1" applyBorder="1" applyAlignment="1">
      <alignment/>
    </xf>
    <xf numFmtId="3" fontId="84" fillId="0" borderId="14" xfId="0" applyNumberFormat="1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83" fillId="0" borderId="27" xfId="0" applyNumberFormat="1" applyFont="1" applyBorder="1" applyAlignment="1">
      <alignment horizontal="left"/>
    </xf>
    <xf numFmtId="3" fontId="84" fillId="0" borderId="14" xfId="0" applyNumberFormat="1" applyFont="1" applyBorder="1" applyAlignment="1">
      <alignment horizontal="left"/>
    </xf>
    <xf numFmtId="3" fontId="89" fillId="0" borderId="11" xfId="0" applyNumberFormat="1" applyFont="1" applyBorder="1" applyAlignment="1">
      <alignment/>
    </xf>
    <xf numFmtId="3" fontId="90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3" fontId="90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" fontId="86" fillId="0" borderId="11" xfId="0" applyNumberFormat="1" applyFont="1" applyBorder="1" applyAlignment="1">
      <alignment/>
    </xf>
    <xf numFmtId="3" fontId="87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87" fillId="0" borderId="0" xfId="0" applyNumberFormat="1" applyFont="1" applyAlignment="1">
      <alignment/>
    </xf>
    <xf numFmtId="3" fontId="24" fillId="0" borderId="11" xfId="0" applyNumberFormat="1" applyFont="1" applyBorder="1" applyAlignment="1">
      <alignment/>
    </xf>
    <xf numFmtId="3" fontId="91" fillId="0" borderId="11" xfId="0" applyNumberFormat="1" applyFont="1" applyBorder="1" applyAlignment="1">
      <alignment/>
    </xf>
    <xf numFmtId="3" fontId="91" fillId="0" borderId="0" xfId="0" applyNumberFormat="1" applyFont="1" applyAlignment="1">
      <alignment/>
    </xf>
    <xf numFmtId="0" fontId="87" fillId="0" borderId="11" xfId="0" applyFont="1" applyBorder="1" applyAlignment="1">
      <alignment/>
    </xf>
    <xf numFmtId="0" fontId="87" fillId="0" borderId="0" xfId="0" applyFont="1" applyAlignment="1">
      <alignment/>
    </xf>
    <xf numFmtId="0" fontId="83" fillId="0" borderId="11" xfId="0" applyFont="1" applyBorder="1" applyAlignment="1">
      <alignment/>
    </xf>
    <xf numFmtId="0" fontId="84" fillId="0" borderId="11" xfId="0" applyFont="1" applyBorder="1" applyAlignment="1">
      <alignment/>
    </xf>
    <xf numFmtId="3" fontId="88" fillId="0" borderId="11" xfId="0" applyNumberFormat="1" applyFont="1" applyBorder="1" applyAlignment="1">
      <alignment/>
    </xf>
    <xf numFmtId="0" fontId="84" fillId="0" borderId="0" xfId="0" applyFont="1" applyAlignment="1">
      <alignment/>
    </xf>
    <xf numFmtId="0" fontId="89" fillId="0" borderId="11" xfId="0" applyFont="1" applyBorder="1" applyAlignment="1">
      <alignment/>
    </xf>
    <xf numFmtId="3" fontId="92" fillId="0" borderId="11" xfId="0" applyNumberFormat="1" applyFont="1" applyBorder="1" applyAlignment="1">
      <alignment/>
    </xf>
    <xf numFmtId="0" fontId="83" fillId="0" borderId="0" xfId="0" applyFont="1" applyAlignment="1">
      <alignment/>
    </xf>
    <xf numFmtId="3" fontId="47" fillId="0" borderId="0" xfId="60" applyNumberFormat="1" applyFont="1" applyAlignment="1">
      <alignment vertical="center" wrapText="1"/>
      <protection/>
    </xf>
    <xf numFmtId="0" fontId="46" fillId="0" borderId="0" xfId="59" applyFont="1" applyAlignment="1">
      <alignment horizontal="center" vertical="center" wrapText="1"/>
      <protection/>
    </xf>
    <xf numFmtId="170" fontId="6" fillId="0" borderId="11" xfId="62" applyNumberFormat="1" applyFont="1" applyBorder="1" applyAlignment="1">
      <alignment horizontal="center" vertical="center" wrapText="1"/>
      <protection/>
    </xf>
    <xf numFmtId="170" fontId="2" fillId="0" borderId="11" xfId="62" applyNumberFormat="1" applyFont="1" applyBorder="1" applyAlignment="1">
      <alignment horizontal="center" vertical="center" wrapText="1"/>
      <protection/>
    </xf>
    <xf numFmtId="172" fontId="2" fillId="0" borderId="11" xfId="4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1" fillId="0" borderId="0" xfId="0" applyNumberFormat="1" applyFont="1" applyAlignment="1">
      <alignment vertical="center"/>
    </xf>
    <xf numFmtId="3" fontId="46" fillId="34" borderId="22" xfId="42" applyNumberFormat="1" applyFont="1" applyFill="1" applyBorder="1" applyAlignment="1" applyProtection="1">
      <alignment horizontal="center" vertical="center" wrapText="1"/>
      <protection/>
    </xf>
    <xf numFmtId="3" fontId="45" fillId="0" borderId="22" xfId="42" applyNumberFormat="1" applyFont="1" applyFill="1" applyBorder="1" applyAlignment="1" applyProtection="1">
      <alignment horizontal="center" vertical="center" wrapText="1"/>
      <protection/>
    </xf>
    <xf numFmtId="3" fontId="46" fillId="34" borderId="23" xfId="42" applyNumberFormat="1" applyFont="1" applyFill="1" applyBorder="1" applyAlignment="1" applyProtection="1">
      <alignment horizontal="center" vertical="center" wrapText="1"/>
      <protection/>
    </xf>
    <xf numFmtId="3" fontId="45" fillId="0" borderId="28" xfId="42" applyNumberFormat="1" applyFont="1" applyFill="1" applyBorder="1" applyAlignment="1" applyProtection="1">
      <alignment horizontal="center" vertical="center" wrapText="1"/>
      <protection/>
    </xf>
    <xf numFmtId="3" fontId="45" fillId="0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wrapText="1"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wrapText="1"/>
      <protection/>
    </xf>
    <xf numFmtId="0" fontId="46" fillId="0" borderId="0" xfId="59" applyFont="1" applyAlignment="1">
      <alignment horizontal="center" vertical="center" wrapText="1"/>
      <protection/>
    </xf>
    <xf numFmtId="0" fontId="46" fillId="0" borderId="29" xfId="59" applyFont="1" applyBorder="1" applyAlignment="1">
      <alignment horizontal="center" vertical="center" wrapText="1" shrinkToFit="1"/>
      <protection/>
    </xf>
    <xf numFmtId="0" fontId="46" fillId="0" borderId="0" xfId="59" applyFont="1" applyAlignment="1">
      <alignment horizontal="center" vertical="center" wrapText="1" shrinkToFit="1"/>
      <protection/>
    </xf>
    <xf numFmtId="3" fontId="46" fillId="34" borderId="25" xfId="59" applyNumberFormat="1" applyFont="1" applyFill="1" applyBorder="1" applyAlignment="1">
      <alignment horizontal="center" vertical="center" wrapText="1"/>
      <protection/>
    </xf>
    <xf numFmtId="3" fontId="46" fillId="34" borderId="17" xfId="59" applyNumberFormat="1" applyFont="1" applyFill="1" applyBorder="1" applyAlignment="1">
      <alignment horizontal="center" vertical="center" wrapText="1"/>
      <protection/>
    </xf>
    <xf numFmtId="3" fontId="89" fillId="0" borderId="27" xfId="0" applyNumberFormat="1" applyFont="1" applyBorder="1" applyAlignment="1">
      <alignment horizontal="left"/>
    </xf>
    <xf numFmtId="3" fontId="89" fillId="0" borderId="14" xfId="0" applyNumberFormat="1" applyFont="1" applyBorder="1" applyAlignment="1">
      <alignment horizontal="left"/>
    </xf>
    <xf numFmtId="3" fontId="83" fillId="0" borderId="27" xfId="0" applyNumberFormat="1" applyFont="1" applyBorder="1" applyAlignment="1">
      <alignment horizontal="left"/>
    </xf>
    <xf numFmtId="3" fontId="83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42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59" applyFont="1" applyAlignment="1">
      <alignment horizontal="center" wrapText="1"/>
      <protection/>
    </xf>
    <xf numFmtId="0" fontId="6" fillId="0" borderId="11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2" fontId="18" fillId="0" borderId="13" xfId="64" applyNumberFormat="1" applyFont="1" applyBorder="1" applyAlignment="1">
      <alignment horizontal="right" vertical="top" wrapText="1"/>
    </xf>
    <xf numFmtId="172" fontId="18" fillId="0" borderId="30" xfId="64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9" fontId="6" fillId="0" borderId="0" xfId="42" applyNumberFormat="1" applyFont="1" applyAlignment="1">
      <alignment horizontal="right"/>
    </xf>
    <xf numFmtId="0" fontId="6" fillId="0" borderId="0" xfId="59" applyFont="1" applyAlignment="1">
      <alignment horizontal="right" wrapText="1"/>
      <protection/>
    </xf>
    <xf numFmtId="0" fontId="6" fillId="0" borderId="3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Normál_MERLEG.XLS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36.57421875" style="180" customWidth="1"/>
    <col min="2" max="2" width="18.8515625" style="180" customWidth="1"/>
    <col min="3" max="3" width="35.00390625" style="180" customWidth="1"/>
    <col min="4" max="4" width="6.7109375" style="180" customWidth="1"/>
    <col min="5" max="5" width="32.00390625" style="180" customWidth="1"/>
    <col min="6" max="6" width="17.57421875" style="180" customWidth="1"/>
    <col min="7" max="7" width="15.140625" style="180" customWidth="1"/>
    <col min="8" max="8" width="15.421875" style="180" customWidth="1"/>
    <col min="9" max="9" width="12.7109375" style="180" bestFit="1" customWidth="1"/>
    <col min="10" max="16384" width="9.140625" style="180" customWidth="1"/>
  </cols>
  <sheetData>
    <row r="1" spans="1:8" ht="14.25">
      <c r="A1" s="169"/>
      <c r="B1" s="167"/>
      <c r="C1" s="170"/>
      <c r="D1" s="170"/>
      <c r="E1" s="168"/>
      <c r="F1" s="168"/>
      <c r="G1" s="168"/>
      <c r="H1" s="168"/>
    </row>
    <row r="2" spans="1:8" ht="15" customHeight="1">
      <c r="A2" s="269" t="s">
        <v>239</v>
      </c>
      <c r="B2" s="269"/>
      <c r="C2" s="269"/>
      <c r="D2" s="269"/>
      <c r="E2" s="269"/>
      <c r="F2" s="269"/>
      <c r="G2" s="168"/>
      <c r="H2" s="168"/>
    </row>
    <row r="3" spans="1:8" ht="14.25">
      <c r="A3" s="168"/>
      <c r="B3" s="170"/>
      <c r="C3" s="170"/>
      <c r="D3" s="170"/>
      <c r="E3" s="168"/>
      <c r="F3" s="168"/>
      <c r="G3" s="168"/>
      <c r="H3" s="168"/>
    </row>
    <row r="4" spans="1:8" ht="28.5">
      <c r="A4" s="122" t="s">
        <v>7</v>
      </c>
      <c r="B4" s="123" t="s">
        <v>6</v>
      </c>
      <c r="C4" s="270" t="s">
        <v>127</v>
      </c>
      <c r="D4" s="124"/>
      <c r="E4" s="122" t="s">
        <v>2</v>
      </c>
      <c r="F4" s="123" t="s">
        <v>128</v>
      </c>
      <c r="G4" s="168"/>
      <c r="H4" s="168"/>
    </row>
    <row r="5" spans="1:8" ht="28.5">
      <c r="A5" s="165" t="s">
        <v>129</v>
      </c>
      <c r="B5" s="126">
        <f>SUM(B6:B12)</f>
        <v>77038255</v>
      </c>
      <c r="C5" s="271"/>
      <c r="D5" s="124"/>
      <c r="E5" s="165" t="s">
        <v>130</v>
      </c>
      <c r="F5" s="126">
        <f>F7+G7+F21+F55+F57+F60</f>
        <v>90058586.8375</v>
      </c>
      <c r="G5" s="168"/>
      <c r="H5" s="168"/>
    </row>
    <row r="6" spans="1:8" ht="28.5">
      <c r="A6" s="187" t="s">
        <v>131</v>
      </c>
      <c r="B6" s="127">
        <v>19352357</v>
      </c>
      <c r="C6" s="181" t="s">
        <v>132</v>
      </c>
      <c r="D6" s="171"/>
      <c r="E6" s="272" t="s">
        <v>133</v>
      </c>
      <c r="F6" s="126" t="s">
        <v>242</v>
      </c>
      <c r="G6" s="126" t="s">
        <v>243</v>
      </c>
      <c r="H6" s="168"/>
    </row>
    <row r="7" spans="1:8" ht="28.5">
      <c r="A7" s="188" t="s">
        <v>134</v>
      </c>
      <c r="B7" s="128">
        <v>28583180</v>
      </c>
      <c r="C7" s="182" t="s">
        <v>135</v>
      </c>
      <c r="D7" s="172"/>
      <c r="E7" s="273"/>
      <c r="F7" s="126">
        <f>SUM(F8:F20)</f>
        <v>39755835</v>
      </c>
      <c r="G7" s="126">
        <f>SUM(G8:G20)</f>
        <v>6576538.6125</v>
      </c>
      <c r="H7" s="173"/>
    </row>
    <row r="8" spans="1:8" ht="42.75">
      <c r="A8" s="189" t="s">
        <v>137</v>
      </c>
      <c r="B8" s="129">
        <v>6592532</v>
      </c>
      <c r="C8" s="183" t="s">
        <v>138</v>
      </c>
      <c r="D8" s="174"/>
      <c r="E8" s="187" t="s">
        <v>136</v>
      </c>
      <c r="F8" s="127">
        <f>Bérek!F2+Bérek!F3</f>
        <v>5504820</v>
      </c>
      <c r="G8" s="127">
        <f>Bérek!G2</f>
        <v>837690</v>
      </c>
      <c r="H8" s="173"/>
    </row>
    <row r="9" spans="1:9" ht="42.75">
      <c r="A9" s="164" t="s">
        <v>140</v>
      </c>
      <c r="B9" s="132">
        <v>19396617</v>
      </c>
      <c r="C9" s="182" t="s">
        <v>141</v>
      </c>
      <c r="D9" s="172"/>
      <c r="E9" s="130" t="s">
        <v>139</v>
      </c>
      <c r="F9" s="131">
        <f>Bérek!F6+Bérek!F7+Bérek!F8+Bérek!F9</f>
        <v>10560960</v>
      </c>
      <c r="G9" s="131">
        <f>Bérek!G6+Bérek!G7+Bérek!G8+Bérek!G9</f>
        <v>1846068</v>
      </c>
      <c r="H9" s="173"/>
      <c r="I9" s="260"/>
    </row>
    <row r="10" spans="1:8" ht="42.75">
      <c r="A10" s="164" t="s">
        <v>143</v>
      </c>
      <c r="B10" s="132">
        <v>71820</v>
      </c>
      <c r="C10" s="182" t="s">
        <v>144</v>
      </c>
      <c r="D10" s="172"/>
      <c r="E10" s="130" t="s">
        <v>142</v>
      </c>
      <c r="F10" s="131">
        <f>Bérek!F10</f>
        <v>5185436</v>
      </c>
      <c r="G10" s="131">
        <f>Bérek!G10</f>
        <v>907451.2999999999</v>
      </c>
      <c r="H10" s="173"/>
    </row>
    <row r="11" spans="1:8" ht="28.5">
      <c r="A11" s="190" t="s">
        <v>146</v>
      </c>
      <c r="B11" s="133">
        <v>1800000</v>
      </c>
      <c r="C11" s="183" t="s">
        <v>147</v>
      </c>
      <c r="D11" s="174"/>
      <c r="E11" s="187" t="s">
        <v>145</v>
      </c>
      <c r="F11" s="127">
        <f>Bérek!F4+Bérek!F11+Bérek!F14</f>
        <v>6506125</v>
      </c>
      <c r="G11" s="127">
        <f>Bérek!G4+Bérek!G11+Bérek!G14</f>
        <v>1138571.875</v>
      </c>
      <c r="H11" s="173"/>
    </row>
    <row r="12" spans="1:8" ht="28.5">
      <c r="A12" s="164" t="s">
        <v>149</v>
      </c>
      <c r="B12" s="132">
        <v>1241749</v>
      </c>
      <c r="C12" s="183" t="s">
        <v>150</v>
      </c>
      <c r="D12" s="174"/>
      <c r="E12" s="187" t="s">
        <v>148</v>
      </c>
      <c r="F12" s="127">
        <f>Bérek!F12</f>
        <v>3420000</v>
      </c>
      <c r="G12" s="127">
        <f>Bérek!G12</f>
        <v>598500</v>
      </c>
      <c r="H12" s="173"/>
    </row>
    <row r="13" spans="1:8" ht="28.5">
      <c r="A13" s="142"/>
      <c r="B13" s="142"/>
      <c r="C13" s="175"/>
      <c r="D13" s="175"/>
      <c r="E13" s="134" t="s">
        <v>151</v>
      </c>
      <c r="F13" s="132">
        <f>Bérek!F5</f>
        <v>2905600</v>
      </c>
      <c r="G13" s="132">
        <f>Bérek!G5</f>
        <v>508480</v>
      </c>
      <c r="H13" s="173"/>
    </row>
    <row r="14" spans="1:8" ht="44.25" customHeight="1">
      <c r="A14" s="136" t="s">
        <v>153</v>
      </c>
      <c r="B14" s="137">
        <f>Bérek!F28+Bérek!G28</f>
        <v>2154603.9375</v>
      </c>
      <c r="C14" s="184" t="s">
        <v>154</v>
      </c>
      <c r="D14" s="176"/>
      <c r="E14" s="134" t="s">
        <v>152</v>
      </c>
      <c r="F14" s="132">
        <f>Bérek!F13</f>
        <v>1883700</v>
      </c>
      <c r="G14" s="132">
        <f>Bérek!G13</f>
        <v>329647.5</v>
      </c>
      <c r="H14" s="173"/>
    </row>
    <row r="15" spans="1:8" ht="28.5">
      <c r="A15" s="142"/>
      <c r="B15" s="142"/>
      <c r="C15" s="175"/>
      <c r="D15" s="175"/>
      <c r="E15" s="134" t="s">
        <v>155</v>
      </c>
      <c r="F15" s="132">
        <f>Bérek!F15</f>
        <v>800000</v>
      </c>
      <c r="G15" s="132">
        <f>Bérek!G15</f>
        <v>117000</v>
      </c>
      <c r="H15" s="173"/>
    </row>
    <row r="16" spans="1:8" ht="28.5">
      <c r="A16" s="185" t="s">
        <v>157</v>
      </c>
      <c r="B16" s="186">
        <v>26758200</v>
      </c>
      <c r="C16" s="184" t="s">
        <v>158</v>
      </c>
      <c r="D16" s="176"/>
      <c r="E16" s="138" t="s">
        <v>156</v>
      </c>
      <c r="F16" s="139">
        <f>Bérek!F28</f>
        <v>1981245</v>
      </c>
      <c r="G16" s="139">
        <f>Bérek!G28</f>
        <v>173358.9375</v>
      </c>
      <c r="H16" s="173"/>
    </row>
    <row r="17" spans="1:8" ht="28.5">
      <c r="A17" s="142"/>
      <c r="B17" s="142"/>
      <c r="C17" s="170"/>
      <c r="D17" s="170"/>
      <c r="E17" s="190" t="s">
        <v>298</v>
      </c>
      <c r="F17" s="205">
        <f>Bérek!F16</f>
        <v>400000</v>
      </c>
      <c r="G17" s="205">
        <f>Bérek!G16</f>
        <v>63000</v>
      </c>
      <c r="H17" s="168"/>
    </row>
    <row r="18" spans="1:8" ht="14.25">
      <c r="A18" s="142"/>
      <c r="B18" s="142"/>
      <c r="C18" s="170"/>
      <c r="D18" s="170"/>
      <c r="E18" s="190" t="s">
        <v>404</v>
      </c>
      <c r="F18" s="205">
        <f>Bérek!F18</f>
        <v>140449</v>
      </c>
      <c r="G18" s="205">
        <f>Bérek!G18</f>
        <v>22121</v>
      </c>
      <c r="H18" s="168"/>
    </row>
    <row r="19" spans="1:8" ht="14.25">
      <c r="A19" s="165" t="s">
        <v>4</v>
      </c>
      <c r="B19" s="126">
        <f>SUM(B20:B22)</f>
        <v>13714021</v>
      </c>
      <c r="C19" s="170"/>
      <c r="D19" s="170"/>
      <c r="E19" s="206" t="s">
        <v>299</v>
      </c>
      <c r="F19" s="207">
        <f>Bérek!F17</f>
        <v>220000</v>
      </c>
      <c r="G19" s="207">
        <f>Bérek!G17</f>
        <v>34650</v>
      </c>
      <c r="H19" s="168"/>
    </row>
    <row r="20" spans="1:8" ht="14.25">
      <c r="A20" s="164" t="s">
        <v>106</v>
      </c>
      <c r="B20" s="132">
        <v>1767370</v>
      </c>
      <c r="C20" s="170"/>
      <c r="D20" s="170"/>
      <c r="E20" s="134" t="s">
        <v>84</v>
      </c>
      <c r="F20" s="132">
        <v>247500</v>
      </c>
      <c r="G20" s="132">
        <v>0</v>
      </c>
      <c r="H20" s="168"/>
    </row>
    <row r="21" spans="1:8" ht="14.25">
      <c r="A21" s="164" t="s">
        <v>5</v>
      </c>
      <c r="B21" s="132">
        <v>9318943</v>
      </c>
      <c r="C21" s="170"/>
      <c r="D21" s="170"/>
      <c r="E21" s="165" t="s">
        <v>159</v>
      </c>
      <c r="F21" s="126">
        <f>SUM(F22:F54)</f>
        <v>24275584</v>
      </c>
      <c r="G21" s="168"/>
      <c r="H21" s="168"/>
    </row>
    <row r="22" spans="1:8" ht="28.5">
      <c r="A22" s="164" t="s">
        <v>107</v>
      </c>
      <c r="B22" s="132">
        <v>2627708</v>
      </c>
      <c r="C22" s="170"/>
      <c r="D22" s="170"/>
      <c r="E22" s="130" t="s">
        <v>160</v>
      </c>
      <c r="F22" s="131">
        <v>498771</v>
      </c>
      <c r="G22" s="168"/>
      <c r="H22" s="168"/>
    </row>
    <row r="23" spans="1:8" ht="28.5">
      <c r="A23" s="142"/>
      <c r="B23" s="142"/>
      <c r="C23" s="170"/>
      <c r="D23" s="170"/>
      <c r="E23" s="130" t="s">
        <v>245</v>
      </c>
      <c r="F23" s="131">
        <v>117351</v>
      </c>
      <c r="G23" s="168"/>
      <c r="H23" s="168"/>
    </row>
    <row r="24" spans="1:8" ht="28.5">
      <c r="A24" s="165" t="s">
        <v>3</v>
      </c>
      <c r="B24" s="126">
        <f>SUM(B25:B30)</f>
        <v>15522305</v>
      </c>
      <c r="C24" s="170"/>
      <c r="D24" s="170"/>
      <c r="E24" s="130" t="s">
        <v>161</v>
      </c>
      <c r="F24" s="131">
        <v>376151</v>
      </c>
      <c r="G24" s="168"/>
      <c r="H24" s="168"/>
    </row>
    <row r="25" spans="1:8" ht="28.5">
      <c r="A25" s="164" t="s">
        <v>165</v>
      </c>
      <c r="B25" s="132">
        <v>600000</v>
      </c>
      <c r="C25" s="170"/>
      <c r="D25" s="170"/>
      <c r="E25" s="130" t="s">
        <v>162</v>
      </c>
      <c r="F25" s="131">
        <v>1597452</v>
      </c>
      <c r="G25" s="168"/>
      <c r="H25" s="168"/>
    </row>
    <row r="26" spans="1:8" ht="28.5">
      <c r="A26" s="164" t="s">
        <v>167</v>
      </c>
      <c r="B26" s="132">
        <v>420000</v>
      </c>
      <c r="C26" s="170"/>
      <c r="D26" s="170"/>
      <c r="E26" s="130" t="s">
        <v>163</v>
      </c>
      <c r="F26" s="131">
        <v>271403</v>
      </c>
      <c r="G26" s="168"/>
      <c r="H26" s="168"/>
    </row>
    <row r="27" spans="1:8" ht="14.25">
      <c r="A27" s="164" t="s">
        <v>169</v>
      </c>
      <c r="B27" s="132">
        <v>1055000</v>
      </c>
      <c r="C27" s="179"/>
      <c r="D27" s="170"/>
      <c r="E27" s="130" t="s">
        <v>164</v>
      </c>
      <c r="F27" s="131">
        <v>455391</v>
      </c>
      <c r="G27" s="173"/>
      <c r="H27" s="168"/>
    </row>
    <row r="28" spans="1:8" ht="14.25">
      <c r="A28" s="164" t="s">
        <v>171</v>
      </c>
      <c r="B28" s="132">
        <v>8368554</v>
      </c>
      <c r="C28" s="170"/>
      <c r="D28" s="170"/>
      <c r="E28" s="164" t="s">
        <v>166</v>
      </c>
      <c r="F28" s="132">
        <v>675212</v>
      </c>
      <c r="G28" s="173"/>
      <c r="H28" s="168"/>
    </row>
    <row r="29" spans="1:8" ht="14.25">
      <c r="A29" s="164" t="s">
        <v>173</v>
      </c>
      <c r="B29" s="132">
        <v>2688565</v>
      </c>
      <c r="C29" s="170"/>
      <c r="D29" s="170"/>
      <c r="E29" s="164" t="s">
        <v>168</v>
      </c>
      <c r="F29" s="132">
        <v>314737</v>
      </c>
      <c r="G29" s="168"/>
      <c r="H29" s="168"/>
    </row>
    <row r="30" spans="1:8" ht="28.5">
      <c r="A30" s="164" t="s">
        <v>175</v>
      </c>
      <c r="B30" s="132">
        <f>F54</f>
        <v>2390186</v>
      </c>
      <c r="C30" s="208"/>
      <c r="D30" s="177"/>
      <c r="E30" s="164" t="s">
        <v>170</v>
      </c>
      <c r="F30" s="132">
        <v>591155</v>
      </c>
      <c r="G30" s="168"/>
      <c r="H30" s="178"/>
    </row>
    <row r="31" spans="1:8" ht="14.25">
      <c r="A31" s="143"/>
      <c r="B31" s="143"/>
      <c r="C31" s="177"/>
      <c r="D31" s="177"/>
      <c r="E31" s="190" t="s">
        <v>172</v>
      </c>
      <c r="F31" s="133">
        <v>712320</v>
      </c>
      <c r="G31" s="168"/>
      <c r="H31" s="178"/>
    </row>
    <row r="32" spans="1:8" ht="14.25">
      <c r="A32" s="165" t="s">
        <v>177</v>
      </c>
      <c r="B32" s="126">
        <f>SUM(0)</f>
        <v>0</v>
      </c>
      <c r="C32" s="177"/>
      <c r="D32" s="177"/>
      <c r="E32" s="190" t="s">
        <v>174</v>
      </c>
      <c r="F32" s="133">
        <v>500000</v>
      </c>
      <c r="G32" s="168"/>
      <c r="H32" s="178"/>
    </row>
    <row r="33" spans="1:8" ht="28.5">
      <c r="A33" s="164"/>
      <c r="B33" s="132">
        <v>0</v>
      </c>
      <c r="C33" s="208"/>
      <c r="D33" s="177"/>
      <c r="E33" s="190" t="s">
        <v>303</v>
      </c>
      <c r="F33" s="133">
        <v>1221379</v>
      </c>
      <c r="G33" s="178"/>
      <c r="H33" s="178"/>
    </row>
    <row r="34" spans="1:8" ht="14.25">
      <c r="A34" s="165" t="s">
        <v>180</v>
      </c>
      <c r="B34" s="126">
        <v>18381022</v>
      </c>
      <c r="C34" s="170"/>
      <c r="D34" s="170"/>
      <c r="E34" s="190" t="s">
        <v>176</v>
      </c>
      <c r="F34" s="133">
        <v>200000</v>
      </c>
      <c r="G34" s="254"/>
      <c r="H34" s="168"/>
    </row>
    <row r="35" spans="1:8" ht="14.25">
      <c r="A35" s="142"/>
      <c r="B35" s="142"/>
      <c r="C35" s="170"/>
      <c r="D35" s="170"/>
      <c r="E35" s="134" t="s">
        <v>178</v>
      </c>
      <c r="F35" s="132">
        <v>876751</v>
      </c>
      <c r="G35" s="178"/>
      <c r="H35" s="168"/>
    </row>
    <row r="36" spans="1:8" ht="28.5">
      <c r="A36" s="165" t="s">
        <v>183</v>
      </c>
      <c r="B36" s="126">
        <f>B5+B14+B16+B19+B24+B32+B34</f>
        <v>153568406.9375</v>
      </c>
      <c r="C36" s="170"/>
      <c r="D36" s="170"/>
      <c r="E36" s="134" t="s">
        <v>179</v>
      </c>
      <c r="F36" s="132">
        <v>706074</v>
      </c>
      <c r="G36" s="168"/>
      <c r="H36" s="168"/>
    </row>
    <row r="37" spans="1:8" ht="14.25">
      <c r="A37" s="168"/>
      <c r="B37" s="170"/>
      <c r="C37" s="170"/>
      <c r="D37" s="170"/>
      <c r="E37" s="134" t="s">
        <v>181</v>
      </c>
      <c r="F37" s="132">
        <f>4941265+22860</f>
        <v>4964125</v>
      </c>
      <c r="G37" s="173"/>
      <c r="H37" s="168"/>
    </row>
    <row r="38" spans="1:8" ht="28.5">
      <c r="A38" s="168"/>
      <c r="B38" s="170"/>
      <c r="C38" s="170"/>
      <c r="D38" s="170"/>
      <c r="E38" s="134" t="s">
        <v>182</v>
      </c>
      <c r="F38" s="132">
        <v>1000000</v>
      </c>
      <c r="G38" s="168"/>
      <c r="H38" s="168"/>
    </row>
    <row r="39" spans="1:8" ht="14.25">
      <c r="A39" s="168"/>
      <c r="B39" s="170"/>
      <c r="C39" s="170"/>
      <c r="D39" s="170"/>
      <c r="E39" s="134" t="s">
        <v>369</v>
      </c>
      <c r="F39" s="132">
        <v>50000</v>
      </c>
      <c r="G39" s="168"/>
      <c r="H39" s="168"/>
    </row>
    <row r="40" spans="1:8" ht="14.25">
      <c r="A40" s="168"/>
      <c r="B40" s="170"/>
      <c r="C40" s="170"/>
      <c r="D40" s="170"/>
      <c r="E40" s="187" t="s">
        <v>184</v>
      </c>
      <c r="F40" s="127">
        <v>1567088</v>
      </c>
      <c r="G40" s="168"/>
      <c r="H40" s="168"/>
    </row>
    <row r="41" spans="1:8" ht="14.25">
      <c r="A41" s="168"/>
      <c r="B41" s="170"/>
      <c r="C41" s="170"/>
      <c r="D41" s="170"/>
      <c r="E41" s="187" t="s">
        <v>185</v>
      </c>
      <c r="F41" s="127">
        <v>125730</v>
      </c>
      <c r="G41" s="168"/>
      <c r="H41" s="168"/>
    </row>
    <row r="42" spans="1:8" ht="14.25">
      <c r="A42" s="168"/>
      <c r="B42" s="170"/>
      <c r="C42" s="170"/>
      <c r="D42" s="170"/>
      <c r="E42" s="187" t="s">
        <v>186</v>
      </c>
      <c r="F42" s="127">
        <v>107696</v>
      </c>
      <c r="G42" s="168"/>
      <c r="H42" s="168"/>
    </row>
    <row r="43" spans="1:8" ht="14.25">
      <c r="A43" s="168"/>
      <c r="B43" s="170"/>
      <c r="C43" s="170"/>
      <c r="D43" s="170"/>
      <c r="E43" s="187" t="s">
        <v>304</v>
      </c>
      <c r="F43" s="127">
        <v>1069608</v>
      </c>
      <c r="G43" s="168"/>
      <c r="H43" s="168"/>
    </row>
    <row r="44" spans="1:8" ht="28.5">
      <c r="A44" s="168"/>
      <c r="B44" s="170"/>
      <c r="C44" s="170"/>
      <c r="D44" s="170"/>
      <c r="E44" s="187" t="s">
        <v>301</v>
      </c>
      <c r="F44" s="127">
        <v>135000</v>
      </c>
      <c r="G44" s="168"/>
      <c r="H44" s="168"/>
    </row>
    <row r="45" spans="1:8" ht="14.25">
      <c r="A45" s="168"/>
      <c r="B45" s="170"/>
      <c r="C45" s="170"/>
      <c r="D45" s="170"/>
      <c r="E45" s="187" t="s">
        <v>302</v>
      </c>
      <c r="F45" s="127">
        <v>200000</v>
      </c>
      <c r="G45" s="168"/>
      <c r="H45" s="168"/>
    </row>
    <row r="46" spans="1:8" ht="14.25">
      <c r="A46" s="168"/>
      <c r="B46" s="170"/>
      <c r="C46" s="170"/>
      <c r="D46" s="170"/>
      <c r="E46" s="187" t="s">
        <v>187</v>
      </c>
      <c r="F46" s="127">
        <v>421134</v>
      </c>
      <c r="G46" s="168"/>
      <c r="H46" s="168"/>
    </row>
    <row r="47" spans="1:8" ht="14.25">
      <c r="A47" s="168"/>
      <c r="B47" s="170"/>
      <c r="C47" s="170"/>
      <c r="D47" s="170"/>
      <c r="E47" s="187" t="s">
        <v>188</v>
      </c>
      <c r="F47" s="127">
        <v>165367</v>
      </c>
      <c r="G47" s="168"/>
      <c r="H47" s="168"/>
    </row>
    <row r="48" spans="1:8" ht="14.25">
      <c r="A48" s="168"/>
      <c r="B48" s="170"/>
      <c r="C48" s="170"/>
      <c r="D48" s="170"/>
      <c r="E48" s="187" t="s">
        <v>189</v>
      </c>
      <c r="F48" s="127">
        <v>62920</v>
      </c>
      <c r="G48" s="168"/>
      <c r="H48" s="168"/>
    </row>
    <row r="49" spans="1:8" ht="14.25">
      <c r="A49" s="168"/>
      <c r="B49" s="170"/>
      <c r="C49" s="170"/>
      <c r="D49" s="170"/>
      <c r="E49" s="187" t="s">
        <v>86</v>
      </c>
      <c r="F49" s="127">
        <v>371803</v>
      </c>
      <c r="G49" s="168"/>
      <c r="H49" s="168"/>
    </row>
    <row r="50" spans="1:8" ht="14.25">
      <c r="A50" s="168"/>
      <c r="B50" s="170"/>
      <c r="C50" s="170"/>
      <c r="D50" s="170"/>
      <c r="E50" s="187" t="s">
        <v>190</v>
      </c>
      <c r="F50" s="127">
        <v>133000</v>
      </c>
      <c r="G50" s="168"/>
      <c r="H50" s="168"/>
    </row>
    <row r="51" spans="1:8" ht="14.25">
      <c r="A51" s="168"/>
      <c r="B51" s="170"/>
      <c r="C51" s="170"/>
      <c r="D51" s="170"/>
      <c r="E51" s="187" t="s">
        <v>191</v>
      </c>
      <c r="F51" s="127">
        <v>772780</v>
      </c>
      <c r="G51" s="168"/>
      <c r="H51" s="168"/>
    </row>
    <row r="52" spans="1:8" ht="14.25">
      <c r="A52" s="168"/>
      <c r="B52" s="170"/>
      <c r="C52" s="170"/>
      <c r="D52" s="170"/>
      <c r="E52" s="145" t="s">
        <v>411</v>
      </c>
      <c r="F52" s="129">
        <v>120000</v>
      </c>
      <c r="G52" s="168"/>
      <c r="H52" s="168"/>
    </row>
    <row r="53" spans="1:8" ht="14.25">
      <c r="A53" s="168"/>
      <c r="B53" s="170"/>
      <c r="C53" s="170"/>
      <c r="D53" s="170"/>
      <c r="E53" s="164" t="s">
        <v>88</v>
      </c>
      <c r="F53" s="132">
        <v>1505000</v>
      </c>
      <c r="G53" s="168"/>
      <c r="H53" s="168"/>
    </row>
    <row r="54" spans="1:8" ht="14.25">
      <c r="A54" s="168"/>
      <c r="B54" s="170"/>
      <c r="C54" s="170"/>
      <c r="D54" s="170"/>
      <c r="E54" s="134" t="s">
        <v>192</v>
      </c>
      <c r="F54" s="132">
        <v>2390186</v>
      </c>
      <c r="G54" s="168"/>
      <c r="H54" s="168"/>
    </row>
    <row r="55" spans="1:8" ht="14.25">
      <c r="A55" s="168"/>
      <c r="B55" s="170"/>
      <c r="C55" s="170"/>
      <c r="D55" s="170"/>
      <c r="E55" s="165" t="s">
        <v>193</v>
      </c>
      <c r="F55" s="126">
        <f>SUM(F56:F56)</f>
        <v>1228700</v>
      </c>
      <c r="G55" s="168"/>
      <c r="H55" s="168"/>
    </row>
    <row r="56" spans="1:8" ht="14.25">
      <c r="A56" s="168"/>
      <c r="B56" s="170"/>
      <c r="C56" s="170"/>
      <c r="D56" s="170"/>
      <c r="E56" s="145" t="s">
        <v>194</v>
      </c>
      <c r="F56" s="129">
        <v>1228700</v>
      </c>
      <c r="G56" s="168"/>
      <c r="H56" s="168"/>
    </row>
    <row r="57" spans="1:8" ht="14.25">
      <c r="A57" s="168"/>
      <c r="B57" s="170"/>
      <c r="C57" s="170"/>
      <c r="D57" s="170"/>
      <c r="E57" s="165" t="s">
        <v>0</v>
      </c>
      <c r="F57" s="126">
        <f>SUM(F58:F59)</f>
        <v>13968305.225000001</v>
      </c>
      <c r="G57" s="168"/>
      <c r="H57" s="168"/>
    </row>
    <row r="58" spans="1:8" ht="14.25">
      <c r="A58" s="168"/>
      <c r="B58" s="170"/>
      <c r="C58" s="170"/>
      <c r="D58" s="170"/>
      <c r="E58" s="164" t="s">
        <v>195</v>
      </c>
      <c r="F58" s="132">
        <f>B36-F7-G7-F21-F55-F60-F65-F71-F59</f>
        <v>5754642.2250000015</v>
      </c>
      <c r="G58" s="168"/>
      <c r="H58" s="168"/>
    </row>
    <row r="59" spans="1:8" ht="28.5">
      <c r="A59" s="168"/>
      <c r="B59" s="170"/>
      <c r="C59" s="170"/>
      <c r="D59" s="170"/>
      <c r="E59" s="146" t="s">
        <v>196</v>
      </c>
      <c r="F59" s="132">
        <v>8213663</v>
      </c>
      <c r="G59" s="168"/>
      <c r="H59" s="168"/>
    </row>
    <row r="60" spans="1:8" ht="28.5">
      <c r="A60" s="168"/>
      <c r="B60" s="170"/>
      <c r="C60" s="170"/>
      <c r="D60" s="170"/>
      <c r="E60" s="165" t="s">
        <v>26</v>
      </c>
      <c r="F60" s="126">
        <f>SUM(F61:F63)</f>
        <v>4253624</v>
      </c>
      <c r="G60" s="168"/>
      <c r="H60" s="168"/>
    </row>
    <row r="61" spans="1:8" ht="28.5">
      <c r="A61" s="168"/>
      <c r="B61" s="170"/>
      <c r="C61" s="170"/>
      <c r="D61" s="170"/>
      <c r="E61" s="187" t="s">
        <v>197</v>
      </c>
      <c r="F61" s="127">
        <v>3851349</v>
      </c>
      <c r="G61" s="168"/>
      <c r="H61" s="168"/>
    </row>
    <row r="62" spans="1:8" ht="28.5">
      <c r="A62" s="168"/>
      <c r="B62" s="170"/>
      <c r="C62" s="170"/>
      <c r="D62" s="170"/>
      <c r="E62" s="164" t="s">
        <v>198</v>
      </c>
      <c r="F62" s="132">
        <v>247275</v>
      </c>
      <c r="G62" s="168"/>
      <c r="H62" s="168"/>
    </row>
    <row r="63" spans="1:8" ht="14.25">
      <c r="A63" s="168"/>
      <c r="B63" s="170"/>
      <c r="C63" s="170"/>
      <c r="D63" s="170"/>
      <c r="E63" s="164" t="s">
        <v>199</v>
      </c>
      <c r="F63" s="132">
        <v>155000</v>
      </c>
      <c r="G63" s="168"/>
      <c r="H63" s="168"/>
    </row>
    <row r="64" spans="1:8" ht="14.25">
      <c r="A64" s="168"/>
      <c r="B64" s="170"/>
      <c r="C64" s="170"/>
      <c r="D64" s="170"/>
      <c r="E64" s="142"/>
      <c r="F64" s="142"/>
      <c r="G64" s="168"/>
      <c r="H64" s="168"/>
    </row>
    <row r="65" spans="1:8" ht="28.5">
      <c r="A65" s="168"/>
      <c r="B65" s="170"/>
      <c r="C65" s="170"/>
      <c r="D65" s="170"/>
      <c r="E65" s="165" t="s">
        <v>200</v>
      </c>
      <c r="F65" s="126">
        <f>SUM(F66+F68)</f>
        <v>5189108</v>
      </c>
      <c r="G65" s="168"/>
      <c r="H65" s="168"/>
    </row>
    <row r="66" spans="1:8" ht="14.25">
      <c r="A66" s="168"/>
      <c r="B66" s="170"/>
      <c r="C66" s="170"/>
      <c r="D66" s="170"/>
      <c r="E66" s="165" t="s">
        <v>201</v>
      </c>
      <c r="F66" s="126">
        <f>SUM(F67:F67)</f>
        <v>500000</v>
      </c>
      <c r="G66" s="168"/>
      <c r="H66" s="168"/>
    </row>
    <row r="67" spans="1:8" ht="14.25">
      <c r="A67" s="168"/>
      <c r="B67" s="170"/>
      <c r="C67" s="170"/>
      <c r="D67" s="170"/>
      <c r="E67" s="164" t="s">
        <v>202</v>
      </c>
      <c r="F67" s="132">
        <v>500000</v>
      </c>
      <c r="G67" s="168"/>
      <c r="H67" s="168"/>
    </row>
    <row r="68" spans="1:8" ht="14.25">
      <c r="A68" s="168"/>
      <c r="B68" s="170"/>
      <c r="C68" s="170"/>
      <c r="D68" s="170"/>
      <c r="E68" s="165" t="s">
        <v>203</v>
      </c>
      <c r="F68" s="126">
        <f>SUM(F69:F69)</f>
        <v>4689108</v>
      </c>
      <c r="G68" s="168"/>
      <c r="H68" s="168"/>
    </row>
    <row r="69" spans="1:8" ht="14.25">
      <c r="A69" s="168"/>
      <c r="B69" s="170"/>
      <c r="C69" s="170"/>
      <c r="D69" s="170"/>
      <c r="E69" s="164" t="s">
        <v>204</v>
      </c>
      <c r="F69" s="132">
        <v>4689108</v>
      </c>
      <c r="G69" s="168"/>
      <c r="H69" s="168"/>
    </row>
    <row r="70" spans="1:8" ht="14.25">
      <c r="A70" s="168"/>
      <c r="B70" s="170"/>
      <c r="C70" s="170"/>
      <c r="D70" s="170"/>
      <c r="E70" s="142"/>
      <c r="F70" s="142"/>
      <c r="G70" s="168"/>
      <c r="H70" s="168"/>
    </row>
    <row r="71" spans="1:8" ht="28.5">
      <c r="A71" s="168"/>
      <c r="B71" s="170"/>
      <c r="C71" s="170"/>
      <c r="D71" s="170"/>
      <c r="E71" s="165" t="s">
        <v>205</v>
      </c>
      <c r="F71" s="126">
        <f>SUM(F72:F74)</f>
        <v>58320712.1</v>
      </c>
      <c r="G71" s="168"/>
      <c r="H71" s="168"/>
    </row>
    <row r="72" spans="1:8" ht="28.5">
      <c r="A72" s="168"/>
      <c r="B72" s="170"/>
      <c r="C72" s="170"/>
      <c r="D72" s="170"/>
      <c r="E72" s="164" t="s">
        <v>206</v>
      </c>
      <c r="F72" s="132">
        <v>3031859</v>
      </c>
      <c r="G72" s="168"/>
      <c r="H72" s="168"/>
    </row>
    <row r="73" spans="1:8" ht="14.25">
      <c r="A73" s="168"/>
      <c r="B73" s="170"/>
      <c r="C73" s="179"/>
      <c r="D73" s="179"/>
      <c r="E73" s="164" t="s">
        <v>207</v>
      </c>
      <c r="F73" s="132">
        <f>'Segédlet óvoda'!B5+'Segédlet konyha'!B10</f>
        <v>55027226.1</v>
      </c>
      <c r="G73" s="168"/>
      <c r="H73" s="168"/>
    </row>
    <row r="74" spans="1:8" ht="14.25">
      <c r="A74" s="168"/>
      <c r="B74" s="170"/>
      <c r="C74" s="179"/>
      <c r="D74" s="179"/>
      <c r="E74" s="164" t="s">
        <v>244</v>
      </c>
      <c r="F74" s="132">
        <v>261627</v>
      </c>
      <c r="G74" s="168"/>
      <c r="H74" s="168"/>
    </row>
    <row r="75" spans="1:8" ht="14.25">
      <c r="A75" s="168"/>
      <c r="B75" s="170"/>
      <c r="C75" s="170"/>
      <c r="D75" s="170"/>
      <c r="E75" s="142"/>
      <c r="F75" s="142"/>
      <c r="G75" s="168"/>
      <c r="H75" s="168"/>
    </row>
    <row r="76" spans="1:8" ht="28.5">
      <c r="A76" s="168"/>
      <c r="B76" s="170"/>
      <c r="C76" s="170"/>
      <c r="D76" s="170"/>
      <c r="E76" s="147" t="s">
        <v>208</v>
      </c>
      <c r="F76" s="148">
        <f>SUM(F5+F65+F71)</f>
        <v>153568406.9375</v>
      </c>
      <c r="G76" s="168"/>
      <c r="H76" s="168"/>
    </row>
    <row r="77" spans="1:8" ht="14.25">
      <c r="A77" s="168"/>
      <c r="B77" s="170"/>
      <c r="C77" s="170"/>
      <c r="D77" s="170"/>
      <c r="E77" s="168"/>
      <c r="F77" s="168"/>
      <c r="G77" s="168"/>
      <c r="H77" s="168"/>
    </row>
    <row r="78" spans="1:8" ht="14.25">
      <c r="A78" s="168"/>
      <c r="B78" s="170"/>
      <c r="C78" s="170"/>
      <c r="D78" s="170"/>
      <c r="E78" s="168"/>
      <c r="F78" s="168"/>
      <c r="G78" s="168"/>
      <c r="H78" s="168"/>
    </row>
    <row r="79" spans="1:8" ht="14.25">
      <c r="A79" s="168"/>
      <c r="B79" s="170"/>
      <c r="C79" s="170"/>
      <c r="D79" s="170"/>
      <c r="E79" s="168"/>
      <c r="F79" s="168"/>
      <c r="G79" s="168"/>
      <c r="H79" s="168"/>
    </row>
    <row r="80" spans="1:8" ht="14.25">
      <c r="A80" s="168"/>
      <c r="B80" s="168"/>
      <c r="C80" s="170"/>
      <c r="D80" s="170"/>
      <c r="E80" s="168"/>
      <c r="F80" s="168"/>
      <c r="G80" s="168"/>
      <c r="H80" s="168"/>
    </row>
    <row r="81" spans="1:8" ht="14.25">
      <c r="A81" s="168"/>
      <c r="B81" s="168"/>
      <c r="C81" s="170"/>
      <c r="D81" s="170"/>
      <c r="E81" s="168"/>
      <c r="F81" s="168"/>
      <c r="G81" s="168"/>
      <c r="H81" s="168"/>
    </row>
    <row r="82" spans="1:8" ht="14.25">
      <c r="A82" s="168"/>
      <c r="B82" s="170"/>
      <c r="C82" s="170"/>
      <c r="D82" s="170"/>
      <c r="E82" s="168"/>
      <c r="F82" s="168"/>
      <c r="G82" s="168"/>
      <c r="H82" s="168"/>
    </row>
    <row r="83" spans="1:8" ht="14.25">
      <c r="A83" s="168"/>
      <c r="B83" s="170"/>
      <c r="C83" s="170"/>
      <c r="D83" s="170"/>
      <c r="E83" s="168"/>
      <c r="F83" s="168"/>
      <c r="G83" s="168"/>
      <c r="H83" s="168"/>
    </row>
    <row r="84" spans="1:8" ht="14.25">
      <c r="A84" s="168"/>
      <c r="B84" s="170"/>
      <c r="C84" s="170"/>
      <c r="D84" s="170"/>
      <c r="E84" s="168"/>
      <c r="F84" s="168"/>
      <c r="G84" s="168"/>
      <c r="H84" s="168"/>
    </row>
    <row r="85" spans="1:8" ht="14.25">
      <c r="A85" s="168"/>
      <c r="B85" s="170"/>
      <c r="C85" s="170"/>
      <c r="D85" s="170"/>
      <c r="E85" s="168"/>
      <c r="F85" s="168"/>
      <c r="G85" s="168"/>
      <c r="H85" s="168"/>
    </row>
    <row r="86" spans="1:8" ht="14.25">
      <c r="A86" s="168"/>
      <c r="B86" s="170"/>
      <c r="C86" s="170"/>
      <c r="D86" s="170"/>
      <c r="E86" s="168"/>
      <c r="F86" s="168"/>
      <c r="G86" s="168"/>
      <c r="H86" s="168"/>
    </row>
    <row r="87" spans="1:8" ht="14.25">
      <c r="A87" s="168"/>
      <c r="B87" s="170"/>
      <c r="C87" s="170"/>
      <c r="D87" s="170"/>
      <c r="E87" s="168"/>
      <c r="F87" s="168"/>
      <c r="G87" s="168"/>
      <c r="H87" s="168"/>
    </row>
    <row r="88" spans="1:8" ht="14.25">
      <c r="A88" s="168"/>
      <c r="B88" s="170"/>
      <c r="C88" s="170"/>
      <c r="D88" s="170"/>
      <c r="E88" s="168"/>
      <c r="F88" s="168"/>
      <c r="G88" s="168"/>
      <c r="H88" s="168"/>
    </row>
    <row r="89" spans="1:8" ht="14.25">
      <c r="A89" s="168"/>
      <c r="B89" s="170"/>
      <c r="C89" s="170"/>
      <c r="D89" s="170"/>
      <c r="E89" s="168"/>
      <c r="F89" s="168"/>
      <c r="G89" s="168"/>
      <c r="H89" s="168"/>
    </row>
    <row r="90" spans="1:8" ht="14.25">
      <c r="A90" s="168"/>
      <c r="B90" s="170"/>
      <c r="C90" s="170"/>
      <c r="D90" s="170"/>
      <c r="E90" s="168"/>
      <c r="F90" s="168"/>
      <c r="G90" s="168"/>
      <c r="H90" s="168"/>
    </row>
    <row r="91" spans="1:8" ht="14.25">
      <c r="A91" s="168"/>
      <c r="B91" s="170"/>
      <c r="C91" s="170"/>
      <c r="D91" s="170"/>
      <c r="E91" s="168"/>
      <c r="F91" s="168"/>
      <c r="G91" s="168"/>
      <c r="H91" s="168"/>
    </row>
    <row r="92" spans="1:8" ht="14.25">
      <c r="A92" s="168"/>
      <c r="B92" s="170"/>
      <c r="C92" s="170"/>
      <c r="D92" s="170"/>
      <c r="E92" s="168"/>
      <c r="F92" s="168"/>
      <c r="G92" s="168"/>
      <c r="H92" s="168"/>
    </row>
    <row r="93" spans="1:8" ht="14.25">
      <c r="A93" s="168"/>
      <c r="B93" s="170"/>
      <c r="C93" s="170"/>
      <c r="D93" s="170"/>
      <c r="E93" s="168"/>
      <c r="F93" s="168"/>
      <c r="G93" s="168"/>
      <c r="H93" s="168"/>
    </row>
    <row r="94" spans="1:8" ht="14.25">
      <c r="A94" s="168"/>
      <c r="B94" s="179"/>
      <c r="C94" s="170"/>
      <c r="D94" s="170"/>
      <c r="E94" s="168"/>
      <c r="F94" s="168"/>
      <c r="G94" s="168"/>
      <c r="H94" s="168"/>
    </row>
    <row r="95" spans="1:8" ht="14.25">
      <c r="A95" s="168"/>
      <c r="B95" s="179"/>
      <c r="C95" s="170"/>
      <c r="D95" s="170"/>
      <c r="E95" s="168"/>
      <c r="F95" s="168"/>
      <c r="G95" s="168"/>
      <c r="H95" s="168"/>
    </row>
    <row r="96" spans="1:8" ht="14.25">
      <c r="A96" s="168"/>
      <c r="B96" s="179"/>
      <c r="C96" s="170"/>
      <c r="D96" s="170"/>
      <c r="E96" s="168"/>
      <c r="F96" s="168"/>
      <c r="G96" s="168"/>
      <c r="H96" s="168"/>
    </row>
    <row r="97" spans="1:8" ht="14.25">
      <c r="A97" s="168"/>
      <c r="B97" s="179"/>
      <c r="C97" s="170"/>
      <c r="D97" s="170"/>
      <c r="E97" s="168"/>
      <c r="F97" s="168"/>
      <c r="G97" s="168"/>
      <c r="H97" s="168"/>
    </row>
    <row r="98" spans="1:8" ht="14.25">
      <c r="A98" s="168"/>
      <c r="B98" s="170"/>
      <c r="C98" s="170"/>
      <c r="D98" s="170"/>
      <c r="E98" s="168"/>
      <c r="F98" s="168"/>
      <c r="G98" s="168"/>
      <c r="H98" s="168"/>
    </row>
    <row r="99" spans="1:8" ht="14.25">
      <c r="A99" s="168"/>
      <c r="B99" s="170"/>
      <c r="C99" s="170"/>
      <c r="D99" s="170"/>
      <c r="E99" s="168"/>
      <c r="F99" s="168"/>
      <c r="G99" s="168"/>
      <c r="H99" s="168"/>
    </row>
    <row r="100" spans="1:8" ht="14.25">
      <c r="A100" s="168"/>
      <c r="B100" s="170"/>
      <c r="C100" s="170"/>
      <c r="D100" s="170"/>
      <c r="E100" s="168"/>
      <c r="F100" s="168"/>
      <c r="G100" s="168"/>
      <c r="H100" s="168"/>
    </row>
    <row r="101" spans="1:8" ht="14.25">
      <c r="A101" s="168"/>
      <c r="B101" s="170"/>
      <c r="C101" s="170"/>
      <c r="D101" s="170"/>
      <c r="E101" s="168"/>
      <c r="F101" s="168"/>
      <c r="G101" s="168"/>
      <c r="H101" s="168"/>
    </row>
    <row r="102" spans="1:8" ht="14.25">
      <c r="A102" s="168"/>
      <c r="B102" s="170"/>
      <c r="C102" s="170"/>
      <c r="D102" s="170"/>
      <c r="E102" s="168"/>
      <c r="F102" s="168"/>
      <c r="G102" s="168"/>
      <c r="H102" s="168"/>
    </row>
    <row r="103" spans="1:8" ht="14.25">
      <c r="A103" s="168"/>
      <c r="B103" s="170"/>
      <c r="C103" s="170"/>
      <c r="D103" s="170"/>
      <c r="E103" s="168"/>
      <c r="F103" s="168"/>
      <c r="G103" s="168"/>
      <c r="H103" s="168"/>
    </row>
    <row r="104" spans="1:8" ht="14.25">
      <c r="A104" s="168"/>
      <c r="B104" s="170"/>
      <c r="C104" s="170"/>
      <c r="D104" s="170"/>
      <c r="E104" s="168"/>
      <c r="F104" s="168"/>
      <c r="G104" s="168"/>
      <c r="H104" s="168"/>
    </row>
    <row r="105" spans="1:8" ht="14.25">
      <c r="A105" s="168"/>
      <c r="B105" s="170"/>
      <c r="C105" s="170"/>
      <c r="D105" s="170"/>
      <c r="E105" s="168"/>
      <c r="F105" s="168"/>
      <c r="G105" s="168"/>
      <c r="H105" s="168"/>
    </row>
    <row r="106" spans="1:8" ht="14.25">
      <c r="A106" s="168"/>
      <c r="B106" s="170"/>
      <c r="C106" s="170"/>
      <c r="D106" s="170"/>
      <c r="E106" s="168"/>
      <c r="F106" s="168"/>
      <c r="G106" s="168"/>
      <c r="H106" s="168"/>
    </row>
    <row r="107" spans="1:8" ht="14.25">
      <c r="A107" s="168"/>
      <c r="B107" s="170"/>
      <c r="C107" s="170"/>
      <c r="D107" s="170"/>
      <c r="E107" s="168"/>
      <c r="F107" s="168"/>
      <c r="G107" s="168"/>
      <c r="H107" s="168"/>
    </row>
    <row r="108" spans="1:8" ht="14.25">
      <c r="A108" s="168"/>
      <c r="B108" s="170"/>
      <c r="C108" s="170"/>
      <c r="D108" s="170"/>
      <c r="E108" s="168"/>
      <c r="F108" s="168"/>
      <c r="G108" s="168"/>
      <c r="H108" s="168"/>
    </row>
    <row r="109" spans="1:8" ht="14.25">
      <c r="A109" s="168"/>
      <c r="B109" s="170"/>
      <c r="C109" s="170"/>
      <c r="D109" s="170"/>
      <c r="E109" s="168"/>
      <c r="F109" s="168"/>
      <c r="G109" s="168"/>
      <c r="H109" s="168"/>
    </row>
    <row r="110" spans="1:8" ht="14.25">
      <c r="A110" s="168"/>
      <c r="B110" s="170"/>
      <c r="C110" s="170"/>
      <c r="D110" s="170"/>
      <c r="E110" s="168"/>
      <c r="F110" s="168"/>
      <c r="G110" s="168"/>
      <c r="H110" s="168"/>
    </row>
    <row r="111" spans="1:8" ht="14.25">
      <c r="A111" s="168"/>
      <c r="B111" s="170"/>
      <c r="C111" s="170"/>
      <c r="D111" s="170"/>
      <c r="E111" s="168"/>
      <c r="F111" s="168"/>
      <c r="G111" s="168"/>
      <c r="H111" s="168"/>
    </row>
    <row r="112" spans="1:8" ht="14.25">
      <c r="A112" s="168"/>
      <c r="B112" s="170"/>
      <c r="C112" s="170"/>
      <c r="D112" s="170"/>
      <c r="E112" s="168"/>
      <c r="F112" s="168"/>
      <c r="G112" s="168"/>
      <c r="H112" s="168"/>
    </row>
    <row r="113" spans="1:8" ht="14.25">
      <c r="A113" s="168"/>
      <c r="B113" s="170"/>
      <c r="C113" s="170"/>
      <c r="D113" s="170"/>
      <c r="E113" s="168"/>
      <c r="F113" s="168"/>
      <c r="G113" s="168"/>
      <c r="H113" s="168"/>
    </row>
    <row r="114" spans="1:8" ht="14.25">
      <c r="A114" s="168"/>
      <c r="B114" s="170"/>
      <c r="C114" s="170"/>
      <c r="D114" s="170"/>
      <c r="E114" s="168"/>
      <c r="F114" s="168"/>
      <c r="G114" s="168"/>
      <c r="H114" s="168"/>
    </row>
    <row r="115" spans="1:8" ht="14.25">
      <c r="A115" s="168"/>
      <c r="B115" s="170"/>
      <c r="C115" s="170"/>
      <c r="D115" s="170"/>
      <c r="E115" s="168"/>
      <c r="F115" s="168"/>
      <c r="G115" s="168"/>
      <c r="H115" s="168"/>
    </row>
    <row r="116" spans="1:8" ht="14.25">
      <c r="A116" s="168"/>
      <c r="B116" s="170"/>
      <c r="C116" s="170"/>
      <c r="D116" s="170"/>
      <c r="E116" s="168"/>
      <c r="F116" s="168"/>
      <c r="G116" s="168"/>
      <c r="H116" s="168"/>
    </row>
    <row r="117" spans="1:8" ht="14.25">
      <c r="A117" s="168"/>
      <c r="B117" s="170"/>
      <c r="C117" s="170"/>
      <c r="D117" s="170"/>
      <c r="E117" s="168"/>
      <c r="F117" s="168"/>
      <c r="G117" s="168"/>
      <c r="H117" s="168"/>
    </row>
    <row r="118" spans="1:8" ht="14.25">
      <c r="A118" s="168"/>
      <c r="B118" s="170"/>
      <c r="C118" s="170"/>
      <c r="D118" s="170"/>
      <c r="E118" s="168"/>
      <c r="F118" s="168"/>
      <c r="G118" s="168"/>
      <c r="H118" s="168"/>
    </row>
    <row r="119" spans="1:8" ht="14.25">
      <c r="A119" s="168"/>
      <c r="B119" s="170"/>
      <c r="C119" s="170"/>
      <c r="D119" s="170"/>
      <c r="E119" s="168"/>
      <c r="F119" s="168"/>
      <c r="G119" s="168"/>
      <c r="H119" s="168"/>
    </row>
    <row r="120" spans="1:8" ht="14.25">
      <c r="A120" s="168"/>
      <c r="B120" s="170"/>
      <c r="C120" s="170"/>
      <c r="D120" s="170"/>
      <c r="E120" s="168"/>
      <c r="F120" s="168"/>
      <c r="G120" s="168"/>
      <c r="H120" s="168"/>
    </row>
    <row r="121" spans="1:8" ht="14.25">
      <c r="A121" s="168"/>
      <c r="B121" s="170"/>
      <c r="C121" s="170"/>
      <c r="D121" s="170"/>
      <c r="E121" s="168"/>
      <c r="F121" s="168"/>
      <c r="G121" s="168"/>
      <c r="H121" s="168"/>
    </row>
    <row r="122" spans="1:8" ht="14.25">
      <c r="A122" s="168"/>
      <c r="B122" s="170"/>
      <c r="C122" s="170"/>
      <c r="D122" s="170"/>
      <c r="E122" s="168"/>
      <c r="F122" s="168"/>
      <c r="G122" s="168"/>
      <c r="H122" s="168"/>
    </row>
    <row r="123" spans="1:8" ht="14.25">
      <c r="A123" s="168"/>
      <c r="B123" s="170"/>
      <c r="C123" s="170"/>
      <c r="D123" s="170"/>
      <c r="E123" s="168"/>
      <c r="F123" s="168"/>
      <c r="G123" s="168"/>
      <c r="H123" s="168"/>
    </row>
    <row r="124" spans="1:8" ht="14.25">
      <c r="A124" s="168"/>
      <c r="B124" s="170"/>
      <c r="C124" s="170"/>
      <c r="D124" s="170"/>
      <c r="E124" s="168"/>
      <c r="F124" s="168"/>
      <c r="G124" s="168"/>
      <c r="H124" s="168"/>
    </row>
    <row r="125" spans="1:8" ht="14.25">
      <c r="A125" s="168"/>
      <c r="B125" s="170"/>
      <c r="C125" s="170"/>
      <c r="D125" s="170"/>
      <c r="E125" s="168"/>
      <c r="F125" s="168"/>
      <c r="G125" s="168"/>
      <c r="H125" s="168"/>
    </row>
    <row r="126" spans="1:8" ht="14.25">
      <c r="A126" s="168"/>
      <c r="B126" s="170"/>
      <c r="C126" s="170"/>
      <c r="D126" s="170"/>
      <c r="E126" s="168"/>
      <c r="F126" s="168"/>
      <c r="G126" s="168"/>
      <c r="H126" s="168"/>
    </row>
    <row r="127" spans="1:8" ht="14.25">
      <c r="A127" s="168"/>
      <c r="B127" s="170"/>
      <c r="C127" s="170"/>
      <c r="D127" s="170"/>
      <c r="E127" s="168"/>
      <c r="F127" s="168"/>
      <c r="G127" s="168"/>
      <c r="H127" s="168"/>
    </row>
    <row r="128" spans="1:8" ht="14.25">
      <c r="A128" s="168"/>
      <c r="B128" s="170"/>
      <c r="C128" s="170"/>
      <c r="D128" s="170"/>
      <c r="E128" s="168"/>
      <c r="F128" s="168"/>
      <c r="G128" s="168"/>
      <c r="H128" s="168"/>
    </row>
    <row r="129" spans="1:8" ht="14.25">
      <c r="A129" s="168"/>
      <c r="B129" s="170"/>
      <c r="C129" s="170"/>
      <c r="D129" s="170"/>
      <c r="E129" s="168"/>
      <c r="F129" s="168"/>
      <c r="G129" s="168"/>
      <c r="H129" s="168"/>
    </row>
    <row r="130" spans="1:8" ht="14.25">
      <c r="A130" s="168"/>
      <c r="B130" s="170"/>
      <c r="C130" s="170"/>
      <c r="D130" s="170"/>
      <c r="E130" s="168"/>
      <c r="F130" s="168"/>
      <c r="G130" s="168"/>
      <c r="H130" s="168"/>
    </row>
    <row r="131" spans="1:8" ht="14.25">
      <c r="A131" s="168"/>
      <c r="B131" s="170"/>
      <c r="C131" s="170"/>
      <c r="D131" s="170"/>
      <c r="E131" s="168"/>
      <c r="F131" s="168"/>
      <c r="G131" s="168"/>
      <c r="H131" s="168"/>
    </row>
    <row r="132" spans="1:8" ht="14.25">
      <c r="A132" s="168"/>
      <c r="B132" s="170"/>
      <c r="C132" s="170"/>
      <c r="D132" s="170"/>
      <c r="E132" s="168"/>
      <c r="F132" s="168"/>
      <c r="G132" s="168"/>
      <c r="H132" s="168"/>
    </row>
    <row r="133" spans="1:8" ht="14.25">
      <c r="A133" s="168"/>
      <c r="B133" s="170"/>
      <c r="C133" s="170"/>
      <c r="D133" s="170"/>
      <c r="E133" s="168"/>
      <c r="F133" s="168"/>
      <c r="G133" s="168"/>
      <c r="H133" s="168"/>
    </row>
    <row r="134" spans="1:8" ht="14.25">
      <c r="A134" s="168"/>
      <c r="B134" s="170"/>
      <c r="C134" s="170"/>
      <c r="D134" s="170"/>
      <c r="E134" s="168"/>
      <c r="F134" s="168"/>
      <c r="G134" s="168"/>
      <c r="H134" s="168"/>
    </row>
    <row r="135" spans="1:8" ht="14.25">
      <c r="A135" s="168"/>
      <c r="B135" s="170"/>
      <c r="C135" s="170"/>
      <c r="D135" s="170"/>
      <c r="E135" s="168"/>
      <c r="F135" s="168"/>
      <c r="G135" s="168"/>
      <c r="H135" s="168"/>
    </row>
    <row r="136" spans="1:8" ht="14.25">
      <c r="A136" s="168"/>
      <c r="B136" s="170"/>
      <c r="C136" s="170"/>
      <c r="D136" s="170"/>
      <c r="E136" s="168"/>
      <c r="F136" s="168"/>
      <c r="G136" s="168"/>
      <c r="H136" s="168"/>
    </row>
    <row r="137" spans="1:8" ht="14.25">
      <c r="A137" s="168"/>
      <c r="B137" s="170"/>
      <c r="C137" s="170"/>
      <c r="D137" s="170"/>
      <c r="E137" s="168"/>
      <c r="F137" s="168"/>
      <c r="G137" s="168"/>
      <c r="H137" s="168"/>
    </row>
    <row r="138" spans="1:8" ht="14.25">
      <c r="A138" s="168"/>
      <c r="B138" s="170"/>
      <c r="C138" s="170"/>
      <c r="D138" s="170"/>
      <c r="E138" s="168"/>
      <c r="F138" s="168"/>
      <c r="G138" s="168"/>
      <c r="H138" s="168"/>
    </row>
    <row r="139" spans="1:8" ht="14.25">
      <c r="A139" s="168"/>
      <c r="B139" s="170"/>
      <c r="C139" s="170"/>
      <c r="D139" s="170"/>
      <c r="E139" s="168"/>
      <c r="F139" s="168"/>
      <c r="G139" s="168"/>
      <c r="H139" s="168"/>
    </row>
    <row r="140" spans="1:8" ht="14.25">
      <c r="A140" s="168"/>
      <c r="B140" s="170"/>
      <c r="C140" s="170"/>
      <c r="D140" s="170"/>
      <c r="E140" s="168"/>
      <c r="F140" s="168"/>
      <c r="G140" s="168"/>
      <c r="H140" s="168"/>
    </row>
    <row r="141" spans="1:8" ht="14.25">
      <c r="A141" s="168"/>
      <c r="B141" s="170"/>
      <c r="C141" s="170"/>
      <c r="D141" s="170"/>
      <c r="E141" s="168"/>
      <c r="F141" s="168"/>
      <c r="G141" s="168"/>
      <c r="H141" s="168"/>
    </row>
    <row r="142" spans="1:8" ht="14.25">
      <c r="A142" s="168"/>
      <c r="B142" s="170"/>
      <c r="C142" s="170"/>
      <c r="D142" s="170"/>
      <c r="E142" s="168"/>
      <c r="F142" s="168"/>
      <c r="G142" s="168"/>
      <c r="H142" s="168"/>
    </row>
    <row r="143" spans="1:8" ht="14.25">
      <c r="A143" s="168"/>
      <c r="B143" s="170"/>
      <c r="C143" s="170"/>
      <c r="D143" s="170"/>
      <c r="E143" s="168"/>
      <c r="F143" s="168"/>
      <c r="G143" s="168"/>
      <c r="H143" s="168"/>
    </row>
    <row r="144" spans="1:8" ht="14.25">
      <c r="A144" s="168"/>
      <c r="B144" s="170"/>
      <c r="C144" s="170"/>
      <c r="D144" s="170"/>
      <c r="E144" s="168"/>
      <c r="F144" s="168"/>
      <c r="G144" s="168"/>
      <c r="H144" s="168"/>
    </row>
    <row r="145" spans="1:8" ht="14.25">
      <c r="A145" s="168"/>
      <c r="B145" s="170"/>
      <c r="C145" s="170"/>
      <c r="D145" s="170"/>
      <c r="E145" s="168"/>
      <c r="F145" s="168"/>
      <c r="G145" s="168"/>
      <c r="H145" s="168"/>
    </row>
    <row r="146" spans="1:8" ht="14.25">
      <c r="A146" s="168"/>
      <c r="B146" s="170"/>
      <c r="C146" s="170"/>
      <c r="D146" s="170"/>
      <c r="E146" s="168"/>
      <c r="F146" s="168"/>
      <c r="G146" s="168"/>
      <c r="H146" s="168"/>
    </row>
    <row r="147" spans="1:8" ht="14.25">
      <c r="A147" s="168"/>
      <c r="B147" s="170"/>
      <c r="C147" s="170"/>
      <c r="D147" s="170"/>
      <c r="E147" s="168"/>
      <c r="F147" s="168"/>
      <c r="G147" s="168"/>
      <c r="H147" s="168"/>
    </row>
    <row r="148" spans="1:8" ht="14.25">
      <c r="A148" s="168"/>
      <c r="B148" s="170"/>
      <c r="C148" s="170"/>
      <c r="D148" s="170"/>
      <c r="E148" s="168"/>
      <c r="F148" s="168"/>
      <c r="G148" s="168"/>
      <c r="H148" s="168"/>
    </row>
    <row r="149" spans="1:8" ht="14.25">
      <c r="A149" s="168"/>
      <c r="B149" s="170"/>
      <c r="C149" s="170"/>
      <c r="D149" s="170"/>
      <c r="E149" s="168"/>
      <c r="F149" s="168"/>
      <c r="G149" s="168"/>
      <c r="H149" s="168"/>
    </row>
    <row r="150" spans="1:8" ht="14.25">
      <c r="A150" s="168"/>
      <c r="B150" s="170"/>
      <c r="C150" s="170"/>
      <c r="D150" s="170"/>
      <c r="E150" s="168"/>
      <c r="F150" s="168"/>
      <c r="G150" s="168"/>
      <c r="H150" s="168"/>
    </row>
    <row r="151" spans="1:8" ht="14.25">
      <c r="A151" s="168"/>
      <c r="B151" s="170"/>
      <c r="C151" s="170"/>
      <c r="D151" s="170"/>
      <c r="E151" s="168"/>
      <c r="F151" s="168"/>
      <c r="G151" s="168"/>
      <c r="H151" s="168"/>
    </row>
    <row r="152" spans="1:8" ht="14.25">
      <c r="A152" s="168"/>
      <c r="B152" s="170"/>
      <c r="C152" s="170"/>
      <c r="D152" s="170"/>
      <c r="E152" s="168"/>
      <c r="F152" s="168"/>
      <c r="G152" s="168"/>
      <c r="H152" s="168"/>
    </row>
    <row r="153" spans="1:8" ht="14.25">
      <c r="A153" s="168"/>
      <c r="B153" s="170"/>
      <c r="C153" s="170"/>
      <c r="D153" s="170"/>
      <c r="E153" s="168"/>
      <c r="F153" s="168"/>
      <c r="G153" s="168"/>
      <c r="H153" s="168"/>
    </row>
    <row r="154" spans="1:8" ht="14.25">
      <c r="A154" s="168"/>
      <c r="B154" s="170"/>
      <c r="C154" s="170"/>
      <c r="D154" s="170"/>
      <c r="E154" s="168"/>
      <c r="F154" s="168"/>
      <c r="G154" s="168"/>
      <c r="H154" s="168"/>
    </row>
    <row r="155" spans="1:8" ht="14.25">
      <c r="A155" s="168"/>
      <c r="B155" s="170"/>
      <c r="C155" s="170"/>
      <c r="D155" s="170"/>
      <c r="E155" s="168"/>
      <c r="F155" s="168"/>
      <c r="G155" s="168"/>
      <c r="H155" s="168"/>
    </row>
    <row r="156" spans="1:8" ht="14.25">
      <c r="A156" s="168"/>
      <c r="B156" s="170"/>
      <c r="C156" s="170"/>
      <c r="D156" s="170"/>
      <c r="E156" s="168"/>
      <c r="F156" s="168"/>
      <c r="G156" s="168"/>
      <c r="H156" s="168"/>
    </row>
    <row r="157" spans="1:8" ht="14.25">
      <c r="A157" s="168"/>
      <c r="B157" s="170"/>
      <c r="C157" s="170"/>
      <c r="D157" s="170"/>
      <c r="E157" s="168"/>
      <c r="F157" s="168"/>
      <c r="G157" s="168"/>
      <c r="H157" s="168"/>
    </row>
    <row r="158" spans="1:8" ht="14.25">
      <c r="A158" s="168"/>
      <c r="B158" s="170"/>
      <c r="C158" s="170"/>
      <c r="D158" s="170"/>
      <c r="E158" s="168"/>
      <c r="F158" s="168"/>
      <c r="G158" s="168"/>
      <c r="H158" s="168"/>
    </row>
    <row r="159" spans="1:8" ht="14.25">
      <c r="A159" s="168"/>
      <c r="B159" s="170"/>
      <c r="C159" s="170"/>
      <c r="D159" s="170"/>
      <c r="E159" s="168"/>
      <c r="F159" s="168"/>
      <c r="G159" s="168"/>
      <c r="H159" s="168"/>
    </row>
    <row r="160" spans="1:8" ht="14.25">
      <c r="A160" s="168"/>
      <c r="B160" s="170"/>
      <c r="C160" s="170"/>
      <c r="D160" s="170"/>
      <c r="E160" s="168"/>
      <c r="F160" s="168"/>
      <c r="G160" s="168"/>
      <c r="H160" s="168"/>
    </row>
    <row r="161" spans="1:8" ht="14.25">
      <c r="A161" s="168"/>
      <c r="B161" s="170"/>
      <c r="C161" s="170"/>
      <c r="D161" s="170"/>
      <c r="E161" s="168"/>
      <c r="F161" s="168"/>
      <c r="G161" s="168"/>
      <c r="H161" s="168"/>
    </row>
    <row r="162" spans="1:8" ht="14.25">
      <c r="A162" s="168"/>
      <c r="B162" s="170"/>
      <c r="C162" s="170"/>
      <c r="D162" s="170"/>
      <c r="E162" s="168"/>
      <c r="F162" s="168"/>
      <c r="G162" s="168"/>
      <c r="H162" s="168"/>
    </row>
    <row r="163" spans="1:8" ht="14.25">
      <c r="A163" s="168"/>
      <c r="B163" s="170"/>
      <c r="C163" s="170"/>
      <c r="D163" s="170"/>
      <c r="E163" s="168"/>
      <c r="F163" s="168"/>
      <c r="G163" s="168"/>
      <c r="H163" s="168"/>
    </row>
    <row r="164" spans="1:8" ht="14.25">
      <c r="A164" s="168"/>
      <c r="B164" s="170"/>
      <c r="C164" s="170"/>
      <c r="D164" s="170"/>
      <c r="E164" s="168"/>
      <c r="F164" s="168"/>
      <c r="G164" s="168"/>
      <c r="H164" s="168"/>
    </row>
    <row r="165" spans="1:8" ht="14.25">
      <c r="A165" s="168"/>
      <c r="B165" s="170"/>
      <c r="C165" s="170"/>
      <c r="D165" s="170"/>
      <c r="E165" s="168"/>
      <c r="F165" s="168"/>
      <c r="G165" s="168"/>
      <c r="H165" s="168"/>
    </row>
    <row r="166" spans="1:8" ht="14.25">
      <c r="A166" s="168"/>
      <c r="B166" s="170"/>
      <c r="C166" s="170"/>
      <c r="D166" s="170"/>
      <c r="E166" s="168"/>
      <c r="F166" s="168"/>
      <c r="G166" s="168"/>
      <c r="H166" s="168"/>
    </row>
    <row r="167" spans="1:8" ht="14.25">
      <c r="A167" s="168"/>
      <c r="B167" s="170"/>
      <c r="C167" s="170"/>
      <c r="D167" s="170"/>
      <c r="E167" s="168"/>
      <c r="F167" s="168"/>
      <c r="G167" s="168"/>
      <c r="H167" s="168"/>
    </row>
    <row r="168" spans="1:8" ht="14.25">
      <c r="A168" s="168"/>
      <c r="B168" s="170"/>
      <c r="C168" s="170"/>
      <c r="D168" s="170"/>
      <c r="E168" s="168"/>
      <c r="F168" s="168"/>
      <c r="G168" s="168"/>
      <c r="H168" s="168"/>
    </row>
    <row r="169" spans="1:8" ht="14.25">
      <c r="A169" s="168"/>
      <c r="B169" s="170"/>
      <c r="C169" s="170"/>
      <c r="D169" s="170"/>
      <c r="E169" s="168"/>
      <c r="F169" s="168"/>
      <c r="G169" s="168"/>
      <c r="H169" s="168"/>
    </row>
    <row r="170" spans="1:8" ht="14.25">
      <c r="A170" s="168"/>
      <c r="B170" s="170"/>
      <c r="C170" s="170"/>
      <c r="D170" s="170"/>
      <c r="E170" s="168"/>
      <c r="F170" s="168"/>
      <c r="G170" s="168"/>
      <c r="H170" s="168"/>
    </row>
    <row r="171" spans="1:8" ht="14.25">
      <c r="A171" s="168"/>
      <c r="B171" s="170"/>
      <c r="C171" s="170"/>
      <c r="D171" s="170"/>
      <c r="E171" s="168"/>
      <c r="F171" s="168"/>
      <c r="G171" s="168"/>
      <c r="H171" s="168"/>
    </row>
    <row r="172" spans="1:8" ht="14.25">
      <c r="A172" s="168"/>
      <c r="B172" s="170"/>
      <c r="C172" s="170"/>
      <c r="D172" s="170"/>
      <c r="E172" s="168"/>
      <c r="F172" s="168"/>
      <c r="G172" s="168"/>
      <c r="H172" s="168"/>
    </row>
    <row r="173" spans="1:8" ht="14.25">
      <c r="A173" s="168"/>
      <c r="B173" s="170"/>
      <c r="C173" s="170"/>
      <c r="D173" s="170"/>
      <c r="E173" s="168"/>
      <c r="F173" s="168"/>
      <c r="G173" s="168"/>
      <c r="H173" s="168"/>
    </row>
    <row r="174" spans="1:8" ht="14.25">
      <c r="A174" s="168"/>
      <c r="B174" s="170"/>
      <c r="C174" s="170"/>
      <c r="D174" s="170"/>
      <c r="E174" s="168"/>
      <c r="F174" s="168"/>
      <c r="G174" s="168"/>
      <c r="H174" s="168"/>
    </row>
    <row r="175" spans="1:8" ht="14.25">
      <c r="A175" s="168"/>
      <c r="B175" s="170"/>
      <c r="C175" s="170"/>
      <c r="D175" s="170"/>
      <c r="E175" s="168"/>
      <c r="F175" s="168"/>
      <c r="G175" s="168"/>
      <c r="H175" s="168"/>
    </row>
    <row r="176" spans="1:8" ht="14.25">
      <c r="A176" s="168"/>
      <c r="B176" s="170"/>
      <c r="C176" s="170"/>
      <c r="D176" s="170"/>
      <c r="E176" s="168"/>
      <c r="F176" s="168"/>
      <c r="G176" s="168"/>
      <c r="H176" s="168"/>
    </row>
    <row r="177" spans="1:8" ht="14.25">
      <c r="A177" s="168"/>
      <c r="B177" s="170"/>
      <c r="C177" s="170"/>
      <c r="D177" s="170"/>
      <c r="E177" s="168"/>
      <c r="F177" s="168"/>
      <c r="G177" s="168"/>
      <c r="H177" s="168"/>
    </row>
    <row r="178" spans="1:8" ht="14.25">
      <c r="A178" s="168"/>
      <c r="B178" s="170"/>
      <c r="C178" s="170"/>
      <c r="D178" s="170"/>
      <c r="E178" s="168"/>
      <c r="F178" s="168"/>
      <c r="G178" s="168"/>
      <c r="H178" s="168"/>
    </row>
    <row r="179" spans="1:8" ht="14.25">
      <c r="A179" s="168"/>
      <c r="B179" s="170"/>
      <c r="C179" s="170"/>
      <c r="D179" s="170"/>
      <c r="E179" s="168"/>
      <c r="F179" s="168"/>
      <c r="G179" s="168"/>
      <c r="H179" s="168"/>
    </row>
    <row r="180" spans="1:8" ht="14.25">
      <c r="A180" s="168"/>
      <c r="B180" s="170"/>
      <c r="C180" s="170"/>
      <c r="D180" s="170"/>
      <c r="E180" s="168"/>
      <c r="F180" s="168"/>
      <c r="G180" s="168"/>
      <c r="H180" s="168"/>
    </row>
    <row r="181" spans="1:8" ht="14.25">
      <c r="A181" s="168"/>
      <c r="B181" s="170"/>
      <c r="C181" s="170"/>
      <c r="D181" s="170"/>
      <c r="E181" s="168"/>
      <c r="F181" s="168"/>
      <c r="G181" s="168"/>
      <c r="H181" s="168"/>
    </row>
    <row r="182" spans="1:8" ht="14.25">
      <c r="A182" s="168"/>
      <c r="B182" s="170"/>
      <c r="C182" s="170"/>
      <c r="D182" s="170"/>
      <c r="E182" s="168"/>
      <c r="F182" s="168"/>
      <c r="G182" s="168"/>
      <c r="H182" s="168"/>
    </row>
    <row r="183" spans="1:8" ht="14.25">
      <c r="A183" s="168"/>
      <c r="B183" s="170"/>
      <c r="C183" s="170"/>
      <c r="D183" s="170"/>
      <c r="E183" s="168"/>
      <c r="F183" s="168"/>
      <c r="G183" s="168"/>
      <c r="H183" s="168"/>
    </row>
    <row r="184" spans="5:7" ht="14.25">
      <c r="E184" s="168"/>
      <c r="F184" s="168"/>
      <c r="G184" s="168"/>
    </row>
    <row r="185" spans="5:7" ht="14.25">
      <c r="E185" s="168"/>
      <c r="F185" s="168"/>
      <c r="G185" s="168"/>
    </row>
    <row r="186" spans="5:6" ht="14.25">
      <c r="E186" s="168"/>
      <c r="F186" s="168"/>
    </row>
    <row r="187" spans="5:6" ht="14.25">
      <c r="E187" s="168"/>
      <c r="F187" s="168"/>
    </row>
    <row r="188" spans="5:6" ht="14.25">
      <c r="E188" s="168"/>
      <c r="F188" s="168"/>
    </row>
  </sheetData>
  <sheetProtection/>
  <mergeCells count="3">
    <mergeCell ref="A2:F2"/>
    <mergeCell ref="C4:C5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PageLayoutView="0" workbookViewId="0" topLeftCell="A1">
      <selection activeCell="B1" sqref="B1:O1"/>
    </sheetView>
  </sheetViews>
  <sheetFormatPr defaultColWidth="9.140625" defaultRowHeight="15"/>
  <cols>
    <col min="1" max="1" width="2.28125" style="38" customWidth="1"/>
    <col min="2" max="2" width="28.421875" style="39" customWidth="1"/>
    <col min="3" max="3" width="13.28125" style="39" bestFit="1" customWidth="1"/>
    <col min="4" max="15" width="10.140625" style="39" bestFit="1" customWidth="1"/>
    <col min="16" max="16" width="14.57421875" style="39" bestFit="1" customWidth="1"/>
    <col min="17" max="17" width="12.7109375" style="39" bestFit="1" customWidth="1"/>
    <col min="18" max="16384" width="9.140625" style="39" customWidth="1"/>
  </cols>
  <sheetData>
    <row r="1" spans="2:15" ht="15">
      <c r="B1" s="291" t="s">
        <v>419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3" spans="2:15" ht="32.25" customHeight="1">
      <c r="B3" s="279" t="s">
        <v>250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ht="15">
      <c r="O4" s="40" t="s">
        <v>9</v>
      </c>
    </row>
    <row r="5" spans="1:15" ht="15">
      <c r="A5" s="41"/>
      <c r="B5" s="42" t="s">
        <v>7</v>
      </c>
      <c r="C5" s="43" t="s">
        <v>6</v>
      </c>
      <c r="D5" s="43" t="s">
        <v>65</v>
      </c>
      <c r="E5" s="43" t="s">
        <v>66</v>
      </c>
      <c r="F5" s="43" t="s">
        <v>67</v>
      </c>
      <c r="G5" s="43" t="s">
        <v>68</v>
      </c>
      <c r="H5" s="43" t="s">
        <v>69</v>
      </c>
      <c r="I5" s="43" t="s">
        <v>70</v>
      </c>
      <c r="J5" s="43" t="s">
        <v>71</v>
      </c>
      <c r="K5" s="43" t="s">
        <v>72</v>
      </c>
      <c r="L5" s="43" t="s">
        <v>73</v>
      </c>
      <c r="M5" s="43" t="s">
        <v>74</v>
      </c>
      <c r="N5" s="43" t="s">
        <v>75</v>
      </c>
      <c r="O5" s="43" t="s">
        <v>76</v>
      </c>
    </row>
    <row r="6" spans="1:16" s="44" customFormat="1" ht="15">
      <c r="A6" s="63" t="s">
        <v>10</v>
      </c>
      <c r="B6" s="64" t="s">
        <v>11</v>
      </c>
      <c r="C6" s="65">
        <f>C7+C13+C14+C15+C16+C17+C18</f>
        <v>135187384.9375</v>
      </c>
      <c r="D6" s="46">
        <f aca="true" t="shared" si="0" ref="D6:O6">D7+D13+D14+D15+D16+D17</f>
        <v>13589650.6625</v>
      </c>
      <c r="E6" s="46">
        <f t="shared" si="0"/>
        <v>10508120.4625</v>
      </c>
      <c r="F6" s="46">
        <f t="shared" si="0"/>
        <v>17365130.962500002</v>
      </c>
      <c r="G6" s="46">
        <f t="shared" si="0"/>
        <v>9789919.15</v>
      </c>
      <c r="H6" s="46">
        <f t="shared" si="0"/>
        <v>9789919.15</v>
      </c>
      <c r="I6" s="46">
        <f t="shared" si="0"/>
        <v>9612519.15</v>
      </c>
      <c r="J6" s="46">
        <f t="shared" si="0"/>
        <v>9612519.15</v>
      </c>
      <c r="K6" s="46">
        <f t="shared" si="0"/>
        <v>9612519.15</v>
      </c>
      <c r="L6" s="46">
        <f t="shared" si="0"/>
        <v>16469529.65</v>
      </c>
      <c r="M6" s="46">
        <f t="shared" si="0"/>
        <v>9612519.15</v>
      </c>
      <c r="N6" s="46">
        <f t="shared" si="0"/>
        <v>9612519.15</v>
      </c>
      <c r="O6" s="46">
        <f t="shared" si="0"/>
        <v>9612519.15</v>
      </c>
      <c r="P6" s="39"/>
    </row>
    <row r="7" spans="1:16" s="38" customFormat="1" ht="15">
      <c r="A7" s="66" t="s">
        <v>13</v>
      </c>
      <c r="B7" s="67" t="s">
        <v>14</v>
      </c>
      <c r="C7" s="68">
        <f>SUM(C8:C12)</f>
        <v>77038255</v>
      </c>
      <c r="D7" s="45">
        <f>C7*0.12</f>
        <v>9244590.6</v>
      </c>
      <c r="E7" s="45">
        <f>$C7*0.08</f>
        <v>6163060.4</v>
      </c>
      <c r="F7" s="45">
        <f aca="true" t="shared" si="1" ref="F7:O7">$C7*0.08</f>
        <v>6163060.4</v>
      </c>
      <c r="G7" s="45">
        <f t="shared" si="1"/>
        <v>6163060.4</v>
      </c>
      <c r="H7" s="45">
        <f t="shared" si="1"/>
        <v>6163060.4</v>
      </c>
      <c r="I7" s="45">
        <f t="shared" si="1"/>
        <v>6163060.4</v>
      </c>
      <c r="J7" s="45">
        <f t="shared" si="1"/>
        <v>6163060.4</v>
      </c>
      <c r="K7" s="45">
        <f t="shared" si="1"/>
        <v>6163060.4</v>
      </c>
      <c r="L7" s="45">
        <f t="shared" si="1"/>
        <v>6163060.4</v>
      </c>
      <c r="M7" s="45">
        <f t="shared" si="1"/>
        <v>6163060.4</v>
      </c>
      <c r="N7" s="45">
        <f t="shared" si="1"/>
        <v>6163060.4</v>
      </c>
      <c r="O7" s="45">
        <f t="shared" si="1"/>
        <v>6163060.4</v>
      </c>
      <c r="P7" s="39"/>
    </row>
    <row r="8" spans="1:16" s="38" customFormat="1" ht="19.5">
      <c r="A8" s="66"/>
      <c r="B8" s="69" t="s">
        <v>16</v>
      </c>
      <c r="C8" s="68">
        <f>'1 melléklet'!C8</f>
        <v>19352357</v>
      </c>
      <c r="D8" s="45">
        <f>C8*0.12</f>
        <v>2322282.84</v>
      </c>
      <c r="E8" s="45">
        <f aca="true" t="shared" si="2" ref="E8:O11">$C8*0.08</f>
        <v>1548188.56</v>
      </c>
      <c r="F8" s="45">
        <f t="shared" si="2"/>
        <v>1548188.56</v>
      </c>
      <c r="G8" s="45">
        <f t="shared" si="2"/>
        <v>1548188.56</v>
      </c>
      <c r="H8" s="45">
        <f t="shared" si="2"/>
        <v>1548188.56</v>
      </c>
      <c r="I8" s="45">
        <f t="shared" si="2"/>
        <v>1548188.56</v>
      </c>
      <c r="J8" s="45">
        <f t="shared" si="2"/>
        <v>1548188.56</v>
      </c>
      <c r="K8" s="45">
        <f t="shared" si="2"/>
        <v>1548188.56</v>
      </c>
      <c r="L8" s="45">
        <f t="shared" si="2"/>
        <v>1548188.56</v>
      </c>
      <c r="M8" s="45">
        <f t="shared" si="2"/>
        <v>1548188.56</v>
      </c>
      <c r="N8" s="45">
        <f t="shared" si="2"/>
        <v>1548188.56</v>
      </c>
      <c r="O8" s="45">
        <f t="shared" si="2"/>
        <v>1548188.56</v>
      </c>
      <c r="P8" s="39"/>
    </row>
    <row r="9" spans="1:16" s="38" customFormat="1" ht="19.5">
      <c r="A9" s="66"/>
      <c r="B9" s="69" t="s">
        <v>92</v>
      </c>
      <c r="C9" s="68">
        <f>'1 melléklet'!C9</f>
        <v>28583180</v>
      </c>
      <c r="D9" s="45">
        <f>C9*0.12</f>
        <v>3429981.6</v>
      </c>
      <c r="E9" s="45">
        <f t="shared" si="2"/>
        <v>2286654.4</v>
      </c>
      <c r="F9" s="45">
        <f t="shared" si="2"/>
        <v>2286654.4</v>
      </c>
      <c r="G9" s="45">
        <f t="shared" si="2"/>
        <v>2286654.4</v>
      </c>
      <c r="H9" s="45">
        <f t="shared" si="2"/>
        <v>2286654.4</v>
      </c>
      <c r="I9" s="45">
        <f t="shared" si="2"/>
        <v>2286654.4</v>
      </c>
      <c r="J9" s="45">
        <f t="shared" si="2"/>
        <v>2286654.4</v>
      </c>
      <c r="K9" s="45">
        <f t="shared" si="2"/>
        <v>2286654.4</v>
      </c>
      <c r="L9" s="45">
        <f t="shared" si="2"/>
        <v>2286654.4</v>
      </c>
      <c r="M9" s="45">
        <f t="shared" si="2"/>
        <v>2286654.4</v>
      </c>
      <c r="N9" s="45">
        <f t="shared" si="2"/>
        <v>2286654.4</v>
      </c>
      <c r="O9" s="45">
        <f t="shared" si="2"/>
        <v>2286654.4</v>
      </c>
      <c r="P9" s="39"/>
    </row>
    <row r="10" spans="1:16" s="38" customFormat="1" ht="29.25">
      <c r="A10" s="66"/>
      <c r="B10" s="69" t="s">
        <v>18</v>
      </c>
      <c r="C10" s="68">
        <f>'1 melléklet'!C10</f>
        <v>26060969</v>
      </c>
      <c r="D10" s="45">
        <f>C10*0.12</f>
        <v>3127316.28</v>
      </c>
      <c r="E10" s="45">
        <f t="shared" si="2"/>
        <v>2084877.52</v>
      </c>
      <c r="F10" s="45">
        <f t="shared" si="2"/>
        <v>2084877.52</v>
      </c>
      <c r="G10" s="45">
        <f t="shared" si="2"/>
        <v>2084877.52</v>
      </c>
      <c r="H10" s="45">
        <f t="shared" si="2"/>
        <v>2084877.52</v>
      </c>
      <c r="I10" s="45">
        <f t="shared" si="2"/>
        <v>2084877.52</v>
      </c>
      <c r="J10" s="45">
        <f t="shared" si="2"/>
        <v>2084877.52</v>
      </c>
      <c r="K10" s="45">
        <f t="shared" si="2"/>
        <v>2084877.52</v>
      </c>
      <c r="L10" s="45">
        <f t="shared" si="2"/>
        <v>2084877.52</v>
      </c>
      <c r="M10" s="45">
        <f t="shared" si="2"/>
        <v>2084877.52</v>
      </c>
      <c r="N10" s="45">
        <f t="shared" si="2"/>
        <v>2084877.52</v>
      </c>
      <c r="O10" s="45">
        <f t="shared" si="2"/>
        <v>2084877.52</v>
      </c>
      <c r="P10" s="39"/>
    </row>
    <row r="11" spans="1:16" s="38" customFormat="1" ht="29.25">
      <c r="A11" s="66"/>
      <c r="B11" s="69" t="s">
        <v>21</v>
      </c>
      <c r="C11" s="68">
        <f>'1 melléklet'!C11</f>
        <v>1800000</v>
      </c>
      <c r="D11" s="45">
        <f>C11*0.12</f>
        <v>216000</v>
      </c>
      <c r="E11" s="45">
        <f t="shared" si="2"/>
        <v>144000</v>
      </c>
      <c r="F11" s="45">
        <f t="shared" si="2"/>
        <v>144000</v>
      </c>
      <c r="G11" s="45">
        <f t="shared" si="2"/>
        <v>144000</v>
      </c>
      <c r="H11" s="45">
        <f t="shared" si="2"/>
        <v>144000</v>
      </c>
      <c r="I11" s="45">
        <f t="shared" si="2"/>
        <v>144000</v>
      </c>
      <c r="J11" s="45">
        <f t="shared" si="2"/>
        <v>144000</v>
      </c>
      <c r="K11" s="45">
        <f t="shared" si="2"/>
        <v>144000</v>
      </c>
      <c r="L11" s="45">
        <f t="shared" si="2"/>
        <v>144000</v>
      </c>
      <c r="M11" s="45">
        <f t="shared" si="2"/>
        <v>144000</v>
      </c>
      <c r="N11" s="45">
        <f t="shared" si="2"/>
        <v>144000</v>
      </c>
      <c r="O11" s="45">
        <f t="shared" si="2"/>
        <v>144000</v>
      </c>
      <c r="P11" s="39"/>
    </row>
    <row r="12" spans="1:16" s="38" customFormat="1" ht="15">
      <c r="A12" s="66"/>
      <c r="B12" s="69" t="s">
        <v>149</v>
      </c>
      <c r="C12" s="68">
        <f>'1 melléklet'!C12</f>
        <v>1241749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f>C12</f>
        <v>1241749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39"/>
    </row>
    <row r="13" spans="1:16" s="38" customFormat="1" ht="15">
      <c r="A13" s="66" t="s">
        <v>17</v>
      </c>
      <c r="B13" s="69" t="s">
        <v>24</v>
      </c>
      <c r="C13" s="70">
        <v>0</v>
      </c>
      <c r="D13" s="45">
        <f aca="true" t="shared" si="3" ref="D13:O13">$C13/12</f>
        <v>0</v>
      </c>
      <c r="E13" s="45">
        <f t="shared" si="3"/>
        <v>0</v>
      </c>
      <c r="F13" s="45">
        <f t="shared" si="3"/>
        <v>0</v>
      </c>
      <c r="G13" s="45">
        <f t="shared" si="3"/>
        <v>0</v>
      </c>
      <c r="H13" s="45">
        <f t="shared" si="3"/>
        <v>0</v>
      </c>
      <c r="I13" s="45">
        <f t="shared" si="3"/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39"/>
    </row>
    <row r="14" spans="1:16" s="38" customFormat="1" ht="19.5">
      <c r="A14" s="66" t="s">
        <v>19</v>
      </c>
      <c r="B14" s="69" t="s">
        <v>27</v>
      </c>
      <c r="C14" s="70">
        <f>'1 melléklet'!C14</f>
        <v>28912803.9375</v>
      </c>
      <c r="D14" s="45">
        <f>Segédlet!$B$14/3+(Segédlet!$B$16-887000)/12+177400</f>
        <v>3051534.6458333335</v>
      </c>
      <c r="E14" s="45">
        <f>Segédlet!$B$14/3+(Segédlet!$B$16-887000)/12+177400</f>
        <v>3051534.6458333335</v>
      </c>
      <c r="F14" s="45">
        <f>Segédlet!$B$14/3+(Segédlet!$B$16-887000)/12+177400</f>
        <v>3051534.6458333335</v>
      </c>
      <c r="G14" s="45">
        <f>(Segédlet!$B$16-887000)/12+177400</f>
        <v>2333333.3333333335</v>
      </c>
      <c r="H14" s="45">
        <f>(Segédlet!$B$16-887000)/12+177400</f>
        <v>2333333.3333333335</v>
      </c>
      <c r="I14" s="45">
        <f>(Segédlet!$B$16-887000)/12</f>
        <v>2155933.3333333335</v>
      </c>
      <c r="J14" s="45">
        <f>(Segédlet!$B$16-887000)/12</f>
        <v>2155933.3333333335</v>
      </c>
      <c r="K14" s="45">
        <f>(Segédlet!$B$16-887000)/12</f>
        <v>2155933.3333333335</v>
      </c>
      <c r="L14" s="45">
        <f>(Segédlet!$B$16-887000)/12</f>
        <v>2155933.3333333335</v>
      </c>
      <c r="M14" s="45">
        <f>(Segédlet!$B$16-887000)/12</f>
        <v>2155933.3333333335</v>
      </c>
      <c r="N14" s="45">
        <f>(Segédlet!$B$16-887000)/12</f>
        <v>2155933.3333333335</v>
      </c>
      <c r="O14" s="45">
        <f>(Segédlet!$B$16-887000)/12</f>
        <v>2155933.3333333335</v>
      </c>
      <c r="P14" s="39"/>
    </row>
    <row r="15" spans="1:16" s="38" customFormat="1" ht="15">
      <c r="A15" s="66" t="s">
        <v>22</v>
      </c>
      <c r="B15" s="69" t="s">
        <v>4</v>
      </c>
      <c r="C15" s="70">
        <f>'1 melléklet'!C15</f>
        <v>13714021</v>
      </c>
      <c r="D15" s="45"/>
      <c r="E15" s="45"/>
      <c r="F15" s="45">
        <f>C15/2</f>
        <v>6857010.5</v>
      </c>
      <c r="G15" s="45"/>
      <c r="H15" s="45"/>
      <c r="I15" s="45"/>
      <c r="J15" s="45"/>
      <c r="K15" s="45"/>
      <c r="L15" s="45">
        <f>C15/2</f>
        <v>6857010.5</v>
      </c>
      <c r="M15" s="45"/>
      <c r="N15" s="45"/>
      <c r="O15" s="45"/>
      <c r="P15" s="39"/>
    </row>
    <row r="16" spans="1:16" s="38" customFormat="1" ht="15">
      <c r="A16" s="66" t="s">
        <v>25</v>
      </c>
      <c r="B16" s="69" t="s">
        <v>3</v>
      </c>
      <c r="C16" s="70">
        <f>'1 melléklet'!C16</f>
        <v>15522305</v>
      </c>
      <c r="D16" s="45">
        <f aca="true" t="shared" si="4" ref="D16:O18">$C16/12</f>
        <v>1293525.4166666667</v>
      </c>
      <c r="E16" s="45">
        <f t="shared" si="4"/>
        <v>1293525.4166666667</v>
      </c>
      <c r="F16" s="45">
        <f t="shared" si="4"/>
        <v>1293525.4166666667</v>
      </c>
      <c r="G16" s="45">
        <f t="shared" si="4"/>
        <v>1293525.4166666667</v>
      </c>
      <c r="H16" s="45">
        <f t="shared" si="4"/>
        <v>1293525.4166666667</v>
      </c>
      <c r="I16" s="45">
        <f t="shared" si="4"/>
        <v>1293525.4166666667</v>
      </c>
      <c r="J16" s="45">
        <f t="shared" si="4"/>
        <v>1293525.4166666667</v>
      </c>
      <c r="K16" s="45">
        <f t="shared" si="4"/>
        <v>1293525.4166666667</v>
      </c>
      <c r="L16" s="45">
        <f t="shared" si="4"/>
        <v>1293525.4166666667</v>
      </c>
      <c r="M16" s="45">
        <f t="shared" si="4"/>
        <v>1293525.4166666667</v>
      </c>
      <c r="N16" s="45">
        <f t="shared" si="4"/>
        <v>1293525.4166666667</v>
      </c>
      <c r="O16" s="45">
        <f t="shared" si="4"/>
        <v>1293525.4166666667</v>
      </c>
      <c r="P16" s="39"/>
    </row>
    <row r="17" spans="1:16" s="38" customFormat="1" ht="19.5">
      <c r="A17" s="66" t="s">
        <v>28</v>
      </c>
      <c r="B17" s="69" t="s">
        <v>34</v>
      </c>
      <c r="C17" s="70">
        <v>0</v>
      </c>
      <c r="D17" s="45">
        <f t="shared" si="4"/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 t="shared" si="4"/>
        <v>0</v>
      </c>
      <c r="O17" s="45">
        <f t="shared" si="4"/>
        <v>0</v>
      </c>
      <c r="P17" s="39"/>
    </row>
    <row r="18" spans="1:16" s="44" customFormat="1" ht="15">
      <c r="A18" s="66" t="s">
        <v>37</v>
      </c>
      <c r="B18" s="69" t="s">
        <v>38</v>
      </c>
      <c r="C18" s="70">
        <v>0</v>
      </c>
      <c r="D18" s="45">
        <f t="shared" si="4"/>
        <v>0</v>
      </c>
      <c r="E18" s="45">
        <f t="shared" si="4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  <c r="L18" s="45">
        <f t="shared" si="4"/>
        <v>0</v>
      </c>
      <c r="M18" s="45">
        <f t="shared" si="4"/>
        <v>0</v>
      </c>
      <c r="N18" s="45">
        <f t="shared" si="4"/>
        <v>0</v>
      </c>
      <c r="O18" s="45">
        <f t="shared" si="4"/>
        <v>0</v>
      </c>
      <c r="P18" s="39"/>
    </row>
    <row r="19" spans="1:16" s="38" customFormat="1" ht="18">
      <c r="A19" s="63" t="s">
        <v>30</v>
      </c>
      <c r="B19" s="71" t="s">
        <v>41</v>
      </c>
      <c r="C19" s="72">
        <f>C20+C21+C22+C23+C24</f>
        <v>0</v>
      </c>
      <c r="D19" s="72">
        <f aca="true" t="shared" si="5" ref="D19:O19">D20+D21+D22+D23+D24</f>
        <v>0</v>
      </c>
      <c r="E19" s="72">
        <f t="shared" si="5"/>
        <v>0</v>
      </c>
      <c r="F19" s="72">
        <f t="shared" si="5"/>
        <v>0</v>
      </c>
      <c r="G19" s="72">
        <f t="shared" si="5"/>
        <v>0</v>
      </c>
      <c r="H19" s="72">
        <f t="shared" si="5"/>
        <v>0</v>
      </c>
      <c r="I19" s="72">
        <f t="shared" si="5"/>
        <v>0</v>
      </c>
      <c r="J19" s="72">
        <f t="shared" si="5"/>
        <v>0</v>
      </c>
      <c r="K19" s="72">
        <f t="shared" si="5"/>
        <v>0</v>
      </c>
      <c r="L19" s="72">
        <f t="shared" si="5"/>
        <v>0</v>
      </c>
      <c r="M19" s="72">
        <f t="shared" si="5"/>
        <v>0</v>
      </c>
      <c r="N19" s="72">
        <f t="shared" si="5"/>
        <v>0</v>
      </c>
      <c r="O19" s="72">
        <f t="shared" si="5"/>
        <v>0</v>
      </c>
      <c r="P19" s="39"/>
    </row>
    <row r="20" spans="1:16" s="38" customFormat="1" ht="19.5">
      <c r="A20" s="66" t="s">
        <v>32</v>
      </c>
      <c r="B20" s="69" t="s">
        <v>44</v>
      </c>
      <c r="C20" s="70">
        <v>0</v>
      </c>
      <c r="D20" s="45">
        <f aca="true" t="shared" si="6" ref="D20:O24">$C20/12</f>
        <v>0</v>
      </c>
      <c r="E20" s="45">
        <f t="shared" si="6"/>
        <v>0</v>
      </c>
      <c r="F20" s="45">
        <f t="shared" si="6"/>
        <v>0</v>
      </c>
      <c r="G20" s="45">
        <f t="shared" si="6"/>
        <v>0</v>
      </c>
      <c r="H20" s="45">
        <f t="shared" si="6"/>
        <v>0</v>
      </c>
      <c r="I20" s="45">
        <f t="shared" si="6"/>
        <v>0</v>
      </c>
      <c r="J20" s="45">
        <f t="shared" si="6"/>
        <v>0</v>
      </c>
      <c r="K20" s="45">
        <f t="shared" si="6"/>
        <v>0</v>
      </c>
      <c r="L20" s="45">
        <f t="shared" si="6"/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39"/>
    </row>
    <row r="21" spans="1:16" s="38" customFormat="1" ht="19.5">
      <c r="A21" s="66" t="s">
        <v>35</v>
      </c>
      <c r="B21" s="69" t="s">
        <v>47</v>
      </c>
      <c r="C21" s="70">
        <f>'1 melléklet'!C21</f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39"/>
    </row>
    <row r="22" spans="1:16" s="38" customFormat="1" ht="19.5">
      <c r="A22" s="66" t="s">
        <v>39</v>
      </c>
      <c r="B22" s="69" t="s">
        <v>50</v>
      </c>
      <c r="C22" s="70"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39"/>
    </row>
    <row r="23" spans="1:16" s="38" customFormat="1" ht="19.5">
      <c r="A23" s="66" t="s">
        <v>53</v>
      </c>
      <c r="B23" s="69" t="s">
        <v>83</v>
      </c>
      <c r="C23" s="70">
        <v>0</v>
      </c>
      <c r="D23" s="45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39"/>
    </row>
    <row r="24" spans="1:16" s="44" customFormat="1" ht="15">
      <c r="A24" s="66" t="s">
        <v>56</v>
      </c>
      <c r="B24" s="69" t="s">
        <v>57</v>
      </c>
      <c r="C24" s="70">
        <v>0</v>
      </c>
      <c r="D24" s="45">
        <f t="shared" si="6"/>
        <v>0</v>
      </c>
      <c r="E24" s="45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  <c r="J24" s="45">
        <f t="shared" si="6"/>
        <v>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39"/>
    </row>
    <row r="25" spans="1:16" s="38" customFormat="1" ht="15">
      <c r="A25" s="53" t="s">
        <v>42</v>
      </c>
      <c r="B25" s="71" t="s">
        <v>58</v>
      </c>
      <c r="C25" s="72">
        <f>SUM(C26:C29)</f>
        <v>18381022</v>
      </c>
      <c r="D25" s="45">
        <f>SUM(D26:D29)</f>
        <v>0</v>
      </c>
      <c r="E25" s="45">
        <f aca="true" t="shared" si="7" ref="E25:O25">SUM(E26:E29)</f>
        <v>0</v>
      </c>
      <c r="F25" s="45">
        <f t="shared" si="7"/>
        <v>18381022</v>
      </c>
      <c r="G25" s="45">
        <f t="shared" si="7"/>
        <v>0</v>
      </c>
      <c r="H25" s="45">
        <f t="shared" si="7"/>
        <v>0</v>
      </c>
      <c r="I25" s="45">
        <f t="shared" si="7"/>
        <v>0</v>
      </c>
      <c r="J25" s="45">
        <f t="shared" si="7"/>
        <v>0</v>
      </c>
      <c r="K25" s="45">
        <f t="shared" si="7"/>
        <v>0</v>
      </c>
      <c r="L25" s="45">
        <f t="shared" si="7"/>
        <v>0</v>
      </c>
      <c r="M25" s="45">
        <f t="shared" si="7"/>
        <v>0</v>
      </c>
      <c r="N25" s="45">
        <f t="shared" si="7"/>
        <v>0</v>
      </c>
      <c r="O25" s="45">
        <f t="shared" si="7"/>
        <v>0</v>
      </c>
      <c r="P25" s="39"/>
    </row>
    <row r="26" spans="1:16" s="38" customFormat="1" ht="15">
      <c r="A26" s="73" t="s">
        <v>45</v>
      </c>
      <c r="B26" s="69" t="s">
        <v>59</v>
      </c>
      <c r="C26" s="70">
        <f>'1 melléklet'!C26</f>
        <v>18381022</v>
      </c>
      <c r="D26" s="45">
        <v>0</v>
      </c>
      <c r="E26" s="45">
        <v>0</v>
      </c>
      <c r="F26" s="45">
        <f>C26</f>
        <v>18381022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39"/>
    </row>
    <row r="27" spans="1:16" s="38" customFormat="1" ht="15">
      <c r="A27" s="73" t="s">
        <v>48</v>
      </c>
      <c r="B27" s="69" t="s">
        <v>60</v>
      </c>
      <c r="C27" s="70">
        <v>0</v>
      </c>
      <c r="D27" s="45">
        <f aca="true" t="shared" si="8" ref="D27:O28">$C27/12</f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39"/>
    </row>
    <row r="28" spans="1:16" s="38" customFormat="1" ht="15">
      <c r="A28" s="73" t="s">
        <v>51</v>
      </c>
      <c r="B28" s="69" t="s">
        <v>61</v>
      </c>
      <c r="C28" s="70">
        <v>0</v>
      </c>
      <c r="D28" s="45">
        <f t="shared" si="8"/>
        <v>0</v>
      </c>
      <c r="E28" s="45">
        <f t="shared" si="8"/>
        <v>0</v>
      </c>
      <c r="F28" s="45">
        <f t="shared" si="8"/>
        <v>0</v>
      </c>
      <c r="G28" s="45">
        <f t="shared" si="8"/>
        <v>0</v>
      </c>
      <c r="H28" s="45">
        <f t="shared" si="8"/>
        <v>0</v>
      </c>
      <c r="I28" s="45">
        <f t="shared" si="8"/>
        <v>0</v>
      </c>
      <c r="J28" s="45">
        <f t="shared" si="8"/>
        <v>0</v>
      </c>
      <c r="K28" s="45">
        <f t="shared" si="8"/>
        <v>0</v>
      </c>
      <c r="L28" s="45">
        <f t="shared" si="8"/>
        <v>0</v>
      </c>
      <c r="M28" s="45">
        <f t="shared" si="8"/>
        <v>0</v>
      </c>
      <c r="N28" s="45">
        <f t="shared" si="8"/>
        <v>0</v>
      </c>
      <c r="O28" s="45">
        <f t="shared" si="8"/>
        <v>0</v>
      </c>
      <c r="P28" s="39"/>
    </row>
    <row r="29" spans="1:16" s="44" customFormat="1" ht="15">
      <c r="A29" s="73" t="s">
        <v>54</v>
      </c>
      <c r="B29" s="69" t="s">
        <v>62</v>
      </c>
      <c r="C29" s="70">
        <v>0</v>
      </c>
      <c r="D29" s="45">
        <f aca="true" t="shared" si="9" ref="D29:O29">$C28/12</f>
        <v>0</v>
      </c>
      <c r="E29" s="45">
        <f t="shared" si="9"/>
        <v>0</v>
      </c>
      <c r="F29" s="45">
        <f t="shared" si="9"/>
        <v>0</v>
      </c>
      <c r="G29" s="45">
        <f t="shared" si="9"/>
        <v>0</v>
      </c>
      <c r="H29" s="45">
        <f t="shared" si="9"/>
        <v>0</v>
      </c>
      <c r="I29" s="45">
        <f t="shared" si="9"/>
        <v>0</v>
      </c>
      <c r="J29" s="45">
        <f t="shared" si="9"/>
        <v>0</v>
      </c>
      <c r="K29" s="45">
        <f t="shared" si="9"/>
        <v>0</v>
      </c>
      <c r="L29" s="45">
        <f t="shared" si="9"/>
        <v>0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P29" s="39"/>
    </row>
    <row r="30" spans="1:16" s="38" customFormat="1" ht="15">
      <c r="A30" s="74"/>
      <c r="B30" s="71" t="s">
        <v>63</v>
      </c>
      <c r="C30" s="72">
        <f>C25+C19+C6</f>
        <v>153568406.9375</v>
      </c>
      <c r="D30" s="72">
        <f aca="true" t="shared" si="10" ref="D30:O30">D25+D19+D6</f>
        <v>13589650.6625</v>
      </c>
      <c r="E30" s="72">
        <f t="shared" si="10"/>
        <v>10508120.4625</v>
      </c>
      <c r="F30" s="72">
        <f t="shared" si="10"/>
        <v>35746152.962500006</v>
      </c>
      <c r="G30" s="72">
        <f t="shared" si="10"/>
        <v>9789919.15</v>
      </c>
      <c r="H30" s="72">
        <f t="shared" si="10"/>
        <v>9789919.15</v>
      </c>
      <c r="I30" s="72">
        <f t="shared" si="10"/>
        <v>9612519.15</v>
      </c>
      <c r="J30" s="72">
        <f t="shared" si="10"/>
        <v>9612519.15</v>
      </c>
      <c r="K30" s="72">
        <f t="shared" si="10"/>
        <v>9612519.15</v>
      </c>
      <c r="L30" s="72">
        <f t="shared" si="10"/>
        <v>16469529.65</v>
      </c>
      <c r="M30" s="72">
        <f t="shared" si="10"/>
        <v>9612519.15</v>
      </c>
      <c r="N30" s="72">
        <f t="shared" si="10"/>
        <v>9612519.15</v>
      </c>
      <c r="O30" s="72">
        <f t="shared" si="10"/>
        <v>9612519.15</v>
      </c>
      <c r="P30" s="39"/>
    </row>
    <row r="31" spans="1:16" s="38" customFormat="1" ht="15">
      <c r="A31" s="53"/>
      <c r="B31" s="75" t="s">
        <v>2</v>
      </c>
      <c r="C31" s="1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9"/>
    </row>
    <row r="32" spans="1:16" s="38" customFormat="1" ht="15">
      <c r="A32" s="53" t="s">
        <v>10</v>
      </c>
      <c r="B32" s="64" t="s">
        <v>12</v>
      </c>
      <c r="C32" s="65">
        <f>SUM(C33:C38)</f>
        <v>90058586.8375</v>
      </c>
      <c r="D32" s="42">
        <f>SUM(D33:D38)</f>
        <v>7504882.236458334</v>
      </c>
      <c r="E32" s="42">
        <f aca="true" t="shared" si="11" ref="E32:O32">SUM(E33:E38)</f>
        <v>7504882.236458334</v>
      </c>
      <c r="F32" s="42">
        <f t="shared" si="11"/>
        <v>7504882.236458334</v>
      </c>
      <c r="G32" s="42">
        <f t="shared" si="11"/>
        <v>7504882.236458334</v>
      </c>
      <c r="H32" s="42">
        <f t="shared" si="11"/>
        <v>7504882.236458334</v>
      </c>
      <c r="I32" s="42">
        <f t="shared" si="11"/>
        <v>7504882.236458334</v>
      </c>
      <c r="J32" s="42">
        <f t="shared" si="11"/>
        <v>7504882.236458334</v>
      </c>
      <c r="K32" s="42">
        <f t="shared" si="11"/>
        <v>7504882.236458334</v>
      </c>
      <c r="L32" s="42">
        <f t="shared" si="11"/>
        <v>7504882.236458334</v>
      </c>
      <c r="M32" s="42">
        <f t="shared" si="11"/>
        <v>7504882.236458334</v>
      </c>
      <c r="N32" s="42">
        <f t="shared" si="11"/>
        <v>7504882.236458334</v>
      </c>
      <c r="O32" s="42">
        <f t="shared" si="11"/>
        <v>7504882.236458334</v>
      </c>
      <c r="P32" s="39"/>
    </row>
    <row r="33" spans="1:16" s="38" customFormat="1" ht="15">
      <c r="A33" s="73" t="s">
        <v>13</v>
      </c>
      <c r="B33" s="69" t="s">
        <v>15</v>
      </c>
      <c r="C33" s="70">
        <f>'1 melléklet'!F7</f>
        <v>39755835</v>
      </c>
      <c r="D33" s="45">
        <f aca="true" t="shared" si="12" ref="D33:D38">$C33/12</f>
        <v>3312986.25</v>
      </c>
      <c r="E33" s="45">
        <f aca="true" t="shared" si="13" ref="E33:O42">$C33/12</f>
        <v>3312986.25</v>
      </c>
      <c r="F33" s="45">
        <f t="shared" si="13"/>
        <v>3312986.25</v>
      </c>
      <c r="G33" s="45">
        <f t="shared" si="13"/>
        <v>3312986.25</v>
      </c>
      <c r="H33" s="45">
        <f t="shared" si="13"/>
        <v>3312986.25</v>
      </c>
      <c r="I33" s="45">
        <f t="shared" si="13"/>
        <v>3312986.25</v>
      </c>
      <c r="J33" s="45">
        <f t="shared" si="13"/>
        <v>3312986.25</v>
      </c>
      <c r="K33" s="45">
        <f t="shared" si="13"/>
        <v>3312986.25</v>
      </c>
      <c r="L33" s="45">
        <f t="shared" si="13"/>
        <v>3312986.25</v>
      </c>
      <c r="M33" s="45">
        <f t="shared" si="13"/>
        <v>3312986.25</v>
      </c>
      <c r="N33" s="45">
        <f t="shared" si="13"/>
        <v>3312986.25</v>
      </c>
      <c r="O33" s="45">
        <f t="shared" si="13"/>
        <v>3312986.25</v>
      </c>
      <c r="P33" s="39"/>
    </row>
    <row r="34" spans="1:16" s="38" customFormat="1" ht="19.5">
      <c r="A34" s="73" t="s">
        <v>17</v>
      </c>
      <c r="B34" s="69" t="s">
        <v>1</v>
      </c>
      <c r="C34" s="70">
        <f>'1 melléklet'!F8</f>
        <v>6576538.6125</v>
      </c>
      <c r="D34" s="45">
        <f t="shared" si="12"/>
        <v>548044.884375</v>
      </c>
      <c r="E34" s="45">
        <f t="shared" si="13"/>
        <v>548044.884375</v>
      </c>
      <c r="F34" s="45">
        <f t="shared" si="13"/>
        <v>548044.884375</v>
      </c>
      <c r="G34" s="45">
        <f t="shared" si="13"/>
        <v>548044.884375</v>
      </c>
      <c r="H34" s="45">
        <f t="shared" si="13"/>
        <v>548044.884375</v>
      </c>
      <c r="I34" s="45">
        <f t="shared" si="13"/>
        <v>548044.884375</v>
      </c>
      <c r="J34" s="45">
        <f t="shared" si="13"/>
        <v>548044.884375</v>
      </c>
      <c r="K34" s="45">
        <f t="shared" si="13"/>
        <v>548044.884375</v>
      </c>
      <c r="L34" s="45">
        <f t="shared" si="13"/>
        <v>548044.884375</v>
      </c>
      <c r="M34" s="45">
        <f t="shared" si="13"/>
        <v>548044.884375</v>
      </c>
      <c r="N34" s="45">
        <f t="shared" si="13"/>
        <v>548044.884375</v>
      </c>
      <c r="O34" s="45">
        <f t="shared" si="13"/>
        <v>548044.884375</v>
      </c>
      <c r="P34" s="39"/>
    </row>
    <row r="35" spans="1:16" s="38" customFormat="1" ht="15">
      <c r="A35" s="73" t="s">
        <v>19</v>
      </c>
      <c r="B35" s="69" t="s">
        <v>20</v>
      </c>
      <c r="C35" s="70">
        <f>'1 melléklet'!F9</f>
        <v>24275584</v>
      </c>
      <c r="D35" s="45">
        <f t="shared" si="12"/>
        <v>2022965.3333333333</v>
      </c>
      <c r="E35" s="45">
        <f t="shared" si="13"/>
        <v>2022965.3333333333</v>
      </c>
      <c r="F35" s="45">
        <f t="shared" si="13"/>
        <v>2022965.3333333333</v>
      </c>
      <c r="G35" s="45">
        <f t="shared" si="13"/>
        <v>2022965.3333333333</v>
      </c>
      <c r="H35" s="45">
        <f t="shared" si="13"/>
        <v>2022965.3333333333</v>
      </c>
      <c r="I35" s="45">
        <f t="shared" si="13"/>
        <v>2022965.3333333333</v>
      </c>
      <c r="J35" s="45">
        <f t="shared" si="13"/>
        <v>2022965.3333333333</v>
      </c>
      <c r="K35" s="45">
        <f t="shared" si="13"/>
        <v>2022965.3333333333</v>
      </c>
      <c r="L35" s="45">
        <f t="shared" si="13"/>
        <v>2022965.3333333333</v>
      </c>
      <c r="M35" s="45">
        <f t="shared" si="13"/>
        <v>2022965.3333333333</v>
      </c>
      <c r="N35" s="45">
        <f t="shared" si="13"/>
        <v>2022965.3333333333</v>
      </c>
      <c r="O35" s="45">
        <f t="shared" si="13"/>
        <v>2022965.3333333333</v>
      </c>
      <c r="P35" s="39"/>
    </row>
    <row r="36" spans="1:16" s="38" customFormat="1" ht="15">
      <c r="A36" s="73" t="s">
        <v>22</v>
      </c>
      <c r="B36" s="69" t="s">
        <v>23</v>
      </c>
      <c r="C36" s="70">
        <f>'1 melléklet'!F10</f>
        <v>1228700</v>
      </c>
      <c r="D36" s="45">
        <f t="shared" si="12"/>
        <v>102391.66666666667</v>
      </c>
      <c r="E36" s="45">
        <f t="shared" si="13"/>
        <v>102391.66666666667</v>
      </c>
      <c r="F36" s="45">
        <f t="shared" si="13"/>
        <v>102391.66666666667</v>
      </c>
      <c r="G36" s="45">
        <f t="shared" si="13"/>
        <v>102391.66666666667</v>
      </c>
      <c r="H36" s="45">
        <f t="shared" si="13"/>
        <v>102391.66666666667</v>
      </c>
      <c r="I36" s="45">
        <f t="shared" si="13"/>
        <v>102391.66666666667</v>
      </c>
      <c r="J36" s="45">
        <f t="shared" si="13"/>
        <v>102391.66666666667</v>
      </c>
      <c r="K36" s="45">
        <f t="shared" si="13"/>
        <v>102391.66666666667</v>
      </c>
      <c r="L36" s="45">
        <f t="shared" si="13"/>
        <v>102391.66666666667</v>
      </c>
      <c r="M36" s="45">
        <f t="shared" si="13"/>
        <v>102391.66666666667</v>
      </c>
      <c r="N36" s="45">
        <f t="shared" si="13"/>
        <v>102391.66666666667</v>
      </c>
      <c r="O36" s="45">
        <f t="shared" si="13"/>
        <v>102391.66666666667</v>
      </c>
      <c r="P36" s="39"/>
    </row>
    <row r="37" spans="1:16" s="38" customFormat="1" ht="15">
      <c r="A37" s="73" t="s">
        <v>25</v>
      </c>
      <c r="B37" s="69" t="s">
        <v>26</v>
      </c>
      <c r="C37" s="70">
        <f>'1 melléklet'!F11</f>
        <v>4253624</v>
      </c>
      <c r="D37" s="45">
        <f t="shared" si="12"/>
        <v>354468.6666666667</v>
      </c>
      <c r="E37" s="45">
        <f t="shared" si="13"/>
        <v>354468.6666666667</v>
      </c>
      <c r="F37" s="45">
        <f t="shared" si="13"/>
        <v>354468.6666666667</v>
      </c>
      <c r="G37" s="45">
        <f t="shared" si="13"/>
        <v>354468.6666666667</v>
      </c>
      <c r="H37" s="45">
        <f t="shared" si="13"/>
        <v>354468.6666666667</v>
      </c>
      <c r="I37" s="45">
        <f t="shared" si="13"/>
        <v>354468.6666666667</v>
      </c>
      <c r="J37" s="45">
        <f t="shared" si="13"/>
        <v>354468.6666666667</v>
      </c>
      <c r="K37" s="45">
        <f t="shared" si="13"/>
        <v>354468.6666666667</v>
      </c>
      <c r="L37" s="45">
        <f t="shared" si="13"/>
        <v>354468.6666666667</v>
      </c>
      <c r="M37" s="45">
        <f t="shared" si="13"/>
        <v>354468.6666666667</v>
      </c>
      <c r="N37" s="45">
        <f t="shared" si="13"/>
        <v>354468.6666666667</v>
      </c>
      <c r="O37" s="45">
        <f t="shared" si="13"/>
        <v>354468.6666666667</v>
      </c>
      <c r="P37" s="39"/>
    </row>
    <row r="38" spans="1:16" s="38" customFormat="1" ht="15">
      <c r="A38" s="73" t="s">
        <v>28</v>
      </c>
      <c r="B38" s="69" t="s">
        <v>29</v>
      </c>
      <c r="C38" s="70">
        <f>'1 melléklet'!F12</f>
        <v>13968305.225000001</v>
      </c>
      <c r="D38" s="45">
        <f t="shared" si="12"/>
        <v>1164025.4354166668</v>
      </c>
      <c r="E38" s="45">
        <f t="shared" si="13"/>
        <v>1164025.4354166668</v>
      </c>
      <c r="F38" s="45">
        <f t="shared" si="13"/>
        <v>1164025.4354166668</v>
      </c>
      <c r="G38" s="45">
        <f t="shared" si="13"/>
        <v>1164025.4354166668</v>
      </c>
      <c r="H38" s="45">
        <f t="shared" si="13"/>
        <v>1164025.4354166668</v>
      </c>
      <c r="I38" s="45">
        <f t="shared" si="13"/>
        <v>1164025.4354166668</v>
      </c>
      <c r="J38" s="45">
        <f t="shared" si="13"/>
        <v>1164025.4354166668</v>
      </c>
      <c r="K38" s="45">
        <f t="shared" si="13"/>
        <v>1164025.4354166668</v>
      </c>
      <c r="L38" s="45">
        <f t="shared" si="13"/>
        <v>1164025.4354166668</v>
      </c>
      <c r="M38" s="45">
        <f t="shared" si="13"/>
        <v>1164025.4354166668</v>
      </c>
      <c r="N38" s="45">
        <f t="shared" si="13"/>
        <v>1164025.4354166668</v>
      </c>
      <c r="O38" s="45">
        <f t="shared" si="13"/>
        <v>1164025.4354166668</v>
      </c>
      <c r="P38" s="39"/>
    </row>
    <row r="39" spans="1:16" s="38" customFormat="1" ht="18">
      <c r="A39" s="53" t="s">
        <v>30</v>
      </c>
      <c r="B39" s="71" t="s">
        <v>31</v>
      </c>
      <c r="C39" s="72">
        <f>'1 melléklet'!F13</f>
        <v>5189108</v>
      </c>
      <c r="D39" s="41">
        <f>SUM(D40:D42)</f>
        <v>500000</v>
      </c>
      <c r="E39" s="41">
        <f aca="true" t="shared" si="14" ref="E39:O39">SUM(E40:E42)</f>
        <v>0</v>
      </c>
      <c r="F39" s="41">
        <f t="shared" si="14"/>
        <v>0</v>
      </c>
      <c r="G39" s="41">
        <f t="shared" si="14"/>
        <v>0</v>
      </c>
      <c r="H39" s="41">
        <f t="shared" si="14"/>
        <v>0</v>
      </c>
      <c r="I39" s="41">
        <f t="shared" si="14"/>
        <v>4689108</v>
      </c>
      <c r="J39" s="41">
        <f t="shared" si="14"/>
        <v>0</v>
      </c>
      <c r="K39" s="41">
        <f t="shared" si="14"/>
        <v>0</v>
      </c>
      <c r="L39" s="41">
        <f t="shared" si="14"/>
        <v>0</v>
      </c>
      <c r="M39" s="41">
        <f t="shared" si="14"/>
        <v>0</v>
      </c>
      <c r="N39" s="41">
        <f t="shared" si="14"/>
        <v>0</v>
      </c>
      <c r="O39" s="41">
        <f t="shared" si="14"/>
        <v>0</v>
      </c>
      <c r="P39" s="39"/>
    </row>
    <row r="40" spans="1:16" s="38" customFormat="1" ht="15">
      <c r="A40" s="73" t="s">
        <v>32</v>
      </c>
      <c r="B40" s="69" t="s">
        <v>33</v>
      </c>
      <c r="C40" s="70">
        <f>'1 melléklet'!F14</f>
        <v>500000</v>
      </c>
      <c r="D40" s="45">
        <f>C40</f>
        <v>500000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39"/>
    </row>
    <row r="41" spans="1:16" s="38" customFormat="1" ht="15">
      <c r="A41" s="73" t="s">
        <v>35</v>
      </c>
      <c r="B41" s="69" t="s">
        <v>36</v>
      </c>
      <c r="C41" s="70">
        <f>'1 melléklet'!F15</f>
        <v>4689108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f>C41</f>
        <v>4689108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39"/>
    </row>
    <row r="42" spans="1:16" s="38" customFormat="1" ht="15">
      <c r="A42" s="73" t="s">
        <v>39</v>
      </c>
      <c r="B42" s="69" t="s">
        <v>40</v>
      </c>
      <c r="C42" s="70">
        <f>'1 melléklet'!F16</f>
        <v>0</v>
      </c>
      <c r="D42" s="45">
        <f>$C42/12</f>
        <v>0</v>
      </c>
      <c r="E42" s="45">
        <f t="shared" si="13"/>
        <v>0</v>
      </c>
      <c r="F42" s="45">
        <f t="shared" si="13"/>
        <v>0</v>
      </c>
      <c r="G42" s="45">
        <f t="shared" si="13"/>
        <v>0</v>
      </c>
      <c r="H42" s="45">
        <f t="shared" si="13"/>
        <v>0</v>
      </c>
      <c r="I42" s="45">
        <f t="shared" si="13"/>
        <v>0</v>
      </c>
      <c r="J42" s="45">
        <f t="shared" si="13"/>
        <v>0</v>
      </c>
      <c r="K42" s="45">
        <f t="shared" si="13"/>
        <v>0</v>
      </c>
      <c r="L42" s="45">
        <f t="shared" si="13"/>
        <v>0</v>
      </c>
      <c r="M42" s="45">
        <f t="shared" si="13"/>
        <v>0</v>
      </c>
      <c r="N42" s="45">
        <f t="shared" si="13"/>
        <v>0</v>
      </c>
      <c r="O42" s="45">
        <f t="shared" si="13"/>
        <v>0</v>
      </c>
      <c r="P42" s="39"/>
    </row>
    <row r="43" spans="1:16" s="38" customFormat="1" ht="15">
      <c r="A43" s="53" t="s">
        <v>42</v>
      </c>
      <c r="B43" s="71" t="s">
        <v>43</v>
      </c>
      <c r="C43" s="72">
        <f>'1 melléklet'!F17</f>
        <v>58320712.1</v>
      </c>
      <c r="D43" s="41">
        <f aca="true" t="shared" si="15" ref="D43:O43">SUM(D44:D48)</f>
        <v>7639263.425</v>
      </c>
      <c r="E43" s="41">
        <f t="shared" si="15"/>
        <v>4607404.425</v>
      </c>
      <c r="F43" s="41">
        <f t="shared" si="15"/>
        <v>4607404.425</v>
      </c>
      <c r="G43" s="41">
        <f t="shared" si="15"/>
        <v>4607404.425</v>
      </c>
      <c r="H43" s="41">
        <f t="shared" si="15"/>
        <v>4607404.425</v>
      </c>
      <c r="I43" s="41">
        <f t="shared" si="15"/>
        <v>4607404.425</v>
      </c>
      <c r="J43" s="41">
        <f t="shared" si="15"/>
        <v>4607404.425</v>
      </c>
      <c r="K43" s="41">
        <f t="shared" si="15"/>
        <v>4607404.425</v>
      </c>
      <c r="L43" s="41">
        <f t="shared" si="15"/>
        <v>4607404.425</v>
      </c>
      <c r="M43" s="41">
        <f t="shared" si="15"/>
        <v>4607404.425</v>
      </c>
      <c r="N43" s="41">
        <f t="shared" si="15"/>
        <v>4607404.425</v>
      </c>
      <c r="O43" s="41">
        <f t="shared" si="15"/>
        <v>4607404.425</v>
      </c>
      <c r="P43" s="39"/>
    </row>
    <row r="44" spans="1:16" s="38" customFormat="1" ht="15">
      <c r="A44" s="73" t="s">
        <v>45</v>
      </c>
      <c r="B44" s="69" t="s">
        <v>46</v>
      </c>
      <c r="C44" s="70">
        <f>'1 melléklet'!F18</f>
        <v>0</v>
      </c>
      <c r="D44" s="45">
        <f aca="true" t="shared" si="16" ref="D44:O44">$C44/12</f>
        <v>0</v>
      </c>
      <c r="E44" s="45">
        <f t="shared" si="16"/>
        <v>0</v>
      </c>
      <c r="F44" s="45">
        <f t="shared" si="16"/>
        <v>0</v>
      </c>
      <c r="G44" s="45">
        <f t="shared" si="16"/>
        <v>0</v>
      </c>
      <c r="H44" s="45">
        <f t="shared" si="16"/>
        <v>0</v>
      </c>
      <c r="I44" s="45">
        <f t="shared" si="16"/>
        <v>0</v>
      </c>
      <c r="J44" s="45">
        <f t="shared" si="16"/>
        <v>0</v>
      </c>
      <c r="K44" s="45">
        <f t="shared" si="16"/>
        <v>0</v>
      </c>
      <c r="L44" s="45">
        <f t="shared" si="16"/>
        <v>0</v>
      </c>
      <c r="M44" s="45">
        <f t="shared" si="16"/>
        <v>0</v>
      </c>
      <c r="N44" s="45">
        <f t="shared" si="16"/>
        <v>0</v>
      </c>
      <c r="O44" s="45">
        <f t="shared" si="16"/>
        <v>0</v>
      </c>
      <c r="P44" s="39"/>
    </row>
    <row r="45" spans="1:16" s="38" customFormat="1" ht="19.5">
      <c r="A45" s="73" t="s">
        <v>48</v>
      </c>
      <c r="B45" s="69" t="s">
        <v>49</v>
      </c>
      <c r="C45" s="70">
        <f>'1 melléklet'!F19</f>
        <v>3031859</v>
      </c>
      <c r="D45" s="45">
        <f>C45</f>
        <v>3031859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39"/>
    </row>
    <row r="46" spans="1:16" s="38" customFormat="1" ht="15">
      <c r="A46" s="73" t="s">
        <v>51</v>
      </c>
      <c r="B46" s="69" t="s">
        <v>96</v>
      </c>
      <c r="C46" s="70">
        <f>'1 melléklet'!F20</f>
        <v>55027226.1</v>
      </c>
      <c r="D46" s="45">
        <f aca="true" t="shared" si="17" ref="D46:O46">$C46/12</f>
        <v>4585602.175</v>
      </c>
      <c r="E46" s="45">
        <f t="shared" si="17"/>
        <v>4585602.175</v>
      </c>
      <c r="F46" s="45">
        <f t="shared" si="17"/>
        <v>4585602.175</v>
      </c>
      <c r="G46" s="45">
        <f t="shared" si="17"/>
        <v>4585602.175</v>
      </c>
      <c r="H46" s="45">
        <f t="shared" si="17"/>
        <v>4585602.175</v>
      </c>
      <c r="I46" s="45">
        <f t="shared" si="17"/>
        <v>4585602.175</v>
      </c>
      <c r="J46" s="45">
        <f t="shared" si="17"/>
        <v>4585602.175</v>
      </c>
      <c r="K46" s="45">
        <f t="shared" si="17"/>
        <v>4585602.175</v>
      </c>
      <c r="L46" s="45">
        <f t="shared" si="17"/>
        <v>4585602.175</v>
      </c>
      <c r="M46" s="45">
        <f t="shared" si="17"/>
        <v>4585602.175</v>
      </c>
      <c r="N46" s="45">
        <f t="shared" si="17"/>
        <v>4585602.175</v>
      </c>
      <c r="O46" s="45">
        <f t="shared" si="17"/>
        <v>4585602.175</v>
      </c>
      <c r="P46" s="39"/>
    </row>
    <row r="47" spans="1:16" s="38" customFormat="1" ht="19.5">
      <c r="A47" s="73" t="s">
        <v>54</v>
      </c>
      <c r="B47" s="69" t="s">
        <v>52</v>
      </c>
      <c r="C47" s="70">
        <f>'1 melléklet'!F21</f>
        <v>0</v>
      </c>
      <c r="D47" s="45">
        <f aca="true" t="shared" si="18" ref="D47:O48">$C47/12</f>
        <v>0</v>
      </c>
      <c r="E47" s="45">
        <f>$C47/12</f>
        <v>0</v>
      </c>
      <c r="F47" s="45">
        <f t="shared" si="18"/>
        <v>0</v>
      </c>
      <c r="G47" s="45">
        <f t="shared" si="18"/>
        <v>0</v>
      </c>
      <c r="H47" s="45">
        <f t="shared" si="18"/>
        <v>0</v>
      </c>
      <c r="I47" s="45">
        <f t="shared" si="18"/>
        <v>0</v>
      </c>
      <c r="J47" s="45">
        <f t="shared" si="18"/>
        <v>0</v>
      </c>
      <c r="K47" s="45">
        <f t="shared" si="18"/>
        <v>0</v>
      </c>
      <c r="L47" s="45">
        <f t="shared" si="18"/>
        <v>0</v>
      </c>
      <c r="M47" s="45">
        <f t="shared" si="18"/>
        <v>0</v>
      </c>
      <c r="N47" s="45">
        <f t="shared" si="18"/>
        <v>0</v>
      </c>
      <c r="O47" s="45">
        <f t="shared" si="18"/>
        <v>0</v>
      </c>
      <c r="P47" s="39"/>
    </row>
    <row r="48" spans="1:16" s="38" customFormat="1" ht="15">
      <c r="A48" s="73" t="s">
        <v>93</v>
      </c>
      <c r="B48" s="69" t="s">
        <v>95</v>
      </c>
      <c r="C48" s="70">
        <f>'1 melléklet'!F22</f>
        <v>261627</v>
      </c>
      <c r="D48" s="45">
        <f>$C48/12</f>
        <v>21802.25</v>
      </c>
      <c r="E48" s="45">
        <f>$C48/12</f>
        <v>21802.25</v>
      </c>
      <c r="F48" s="45">
        <f t="shared" si="18"/>
        <v>21802.25</v>
      </c>
      <c r="G48" s="45">
        <f t="shared" si="18"/>
        <v>21802.25</v>
      </c>
      <c r="H48" s="45">
        <f t="shared" si="18"/>
        <v>21802.25</v>
      </c>
      <c r="I48" s="45">
        <f t="shared" si="18"/>
        <v>21802.25</v>
      </c>
      <c r="J48" s="45">
        <f t="shared" si="18"/>
        <v>21802.25</v>
      </c>
      <c r="K48" s="45">
        <f t="shared" si="18"/>
        <v>21802.25</v>
      </c>
      <c r="L48" s="45">
        <f t="shared" si="18"/>
        <v>21802.25</v>
      </c>
      <c r="M48" s="45">
        <f t="shared" si="18"/>
        <v>21802.25</v>
      </c>
      <c r="N48" s="45">
        <f t="shared" si="18"/>
        <v>21802.25</v>
      </c>
      <c r="O48" s="45">
        <f t="shared" si="18"/>
        <v>21802.25</v>
      </c>
      <c r="P48" s="39"/>
    </row>
    <row r="49" spans="1:15" ht="15">
      <c r="A49" s="76"/>
      <c r="B49" s="71" t="s">
        <v>64</v>
      </c>
      <c r="C49" s="72">
        <f>C43+C39+C32</f>
        <v>153568406.9375</v>
      </c>
      <c r="D49" s="46">
        <f>D32+D39+D43</f>
        <v>15644145.661458334</v>
      </c>
      <c r="E49" s="46">
        <f aca="true" t="shared" si="19" ref="E49:O49">E32+E39+E43</f>
        <v>12112286.661458334</v>
      </c>
      <c r="F49" s="46">
        <f t="shared" si="19"/>
        <v>12112286.661458334</v>
      </c>
      <c r="G49" s="46">
        <f t="shared" si="19"/>
        <v>12112286.661458334</v>
      </c>
      <c r="H49" s="46">
        <f t="shared" si="19"/>
        <v>12112286.661458334</v>
      </c>
      <c r="I49" s="46">
        <f t="shared" si="19"/>
        <v>16801394.661458336</v>
      </c>
      <c r="J49" s="46">
        <f t="shared" si="19"/>
        <v>12112286.661458334</v>
      </c>
      <c r="K49" s="46">
        <f t="shared" si="19"/>
        <v>12112286.661458334</v>
      </c>
      <c r="L49" s="46">
        <f t="shared" si="19"/>
        <v>12112286.661458334</v>
      </c>
      <c r="M49" s="46">
        <f t="shared" si="19"/>
        <v>12112286.661458334</v>
      </c>
      <c r="N49" s="46">
        <f t="shared" si="19"/>
        <v>12112286.661458334</v>
      </c>
      <c r="O49" s="46">
        <f t="shared" si="19"/>
        <v>12112286.661458334</v>
      </c>
    </row>
    <row r="50" spans="4:15" ht="15"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4" ht="15">
      <c r="A51" s="279" t="s">
        <v>98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</row>
    <row r="52" ht="15">
      <c r="O52" s="40" t="s">
        <v>9</v>
      </c>
    </row>
    <row r="53" spans="1:16" s="77" customFormat="1" ht="15">
      <c r="A53" s="53"/>
      <c r="B53" s="75" t="s">
        <v>7</v>
      </c>
      <c r="C53" s="11" t="s">
        <v>6</v>
      </c>
      <c r="D53" s="43" t="s">
        <v>65</v>
      </c>
      <c r="E53" s="43" t="s">
        <v>66</v>
      </c>
      <c r="F53" s="43" t="s">
        <v>67</v>
      </c>
      <c r="G53" s="43" t="s">
        <v>68</v>
      </c>
      <c r="H53" s="43" t="s">
        <v>69</v>
      </c>
      <c r="I53" s="43" t="s">
        <v>70</v>
      </c>
      <c r="J53" s="43" t="s">
        <v>71</v>
      </c>
      <c r="K53" s="43" t="s">
        <v>72</v>
      </c>
      <c r="L53" s="43" t="s">
        <v>73</v>
      </c>
      <c r="M53" s="43" t="s">
        <v>74</v>
      </c>
      <c r="N53" s="43" t="s">
        <v>75</v>
      </c>
      <c r="O53" s="43" t="s">
        <v>76</v>
      </c>
      <c r="P53" s="39"/>
    </row>
    <row r="54" spans="1:16" s="106" customFormat="1" ht="15">
      <c r="A54" s="63" t="s">
        <v>10</v>
      </c>
      <c r="B54" s="64" t="s">
        <v>11</v>
      </c>
      <c r="C54" s="65">
        <f>SUM(C55:C58)</f>
        <v>0</v>
      </c>
      <c r="D54" s="41">
        <f aca="true" t="shared" si="20" ref="D54:O55">$C54/12</f>
        <v>0</v>
      </c>
      <c r="E54" s="41">
        <f t="shared" si="20"/>
        <v>0</v>
      </c>
      <c r="F54" s="41">
        <f t="shared" si="20"/>
        <v>0</v>
      </c>
      <c r="G54" s="41">
        <f t="shared" si="20"/>
        <v>0</v>
      </c>
      <c r="H54" s="41">
        <f t="shared" si="20"/>
        <v>0</v>
      </c>
      <c r="I54" s="41">
        <f t="shared" si="20"/>
        <v>0</v>
      </c>
      <c r="J54" s="41">
        <f t="shared" si="20"/>
        <v>0</v>
      </c>
      <c r="K54" s="41">
        <f t="shared" si="20"/>
        <v>0</v>
      </c>
      <c r="L54" s="41">
        <f t="shared" si="20"/>
        <v>0</v>
      </c>
      <c r="M54" s="41">
        <f t="shared" si="20"/>
        <v>0</v>
      </c>
      <c r="N54" s="41">
        <f t="shared" si="20"/>
        <v>0</v>
      </c>
      <c r="O54" s="41">
        <f t="shared" si="20"/>
        <v>0</v>
      </c>
      <c r="P54" s="39"/>
    </row>
    <row r="55" spans="1:16" s="77" customFormat="1" ht="15">
      <c r="A55" s="66" t="s">
        <v>13</v>
      </c>
      <c r="B55" s="69" t="s">
        <v>24</v>
      </c>
      <c r="C55" s="70">
        <f>'2 melléklet'!C7</f>
        <v>0</v>
      </c>
      <c r="D55" s="45">
        <f t="shared" si="20"/>
        <v>0</v>
      </c>
      <c r="E55" s="45">
        <f t="shared" si="20"/>
        <v>0</v>
      </c>
      <c r="F55" s="45">
        <f t="shared" si="20"/>
        <v>0</v>
      </c>
      <c r="G55" s="45">
        <f t="shared" si="20"/>
        <v>0</v>
      </c>
      <c r="H55" s="45">
        <f t="shared" si="20"/>
        <v>0</v>
      </c>
      <c r="I55" s="45">
        <f t="shared" si="20"/>
        <v>0</v>
      </c>
      <c r="J55" s="45">
        <f t="shared" si="20"/>
        <v>0</v>
      </c>
      <c r="K55" s="45">
        <f t="shared" si="20"/>
        <v>0</v>
      </c>
      <c r="L55" s="45">
        <f t="shared" si="20"/>
        <v>0</v>
      </c>
      <c r="M55" s="45">
        <f t="shared" si="20"/>
        <v>0</v>
      </c>
      <c r="N55" s="45">
        <f t="shared" si="20"/>
        <v>0</v>
      </c>
      <c r="O55" s="45">
        <f t="shared" si="20"/>
        <v>0</v>
      </c>
      <c r="P55" s="39"/>
    </row>
    <row r="56" spans="1:16" s="77" customFormat="1" ht="19.5">
      <c r="A56" s="66" t="s">
        <v>17</v>
      </c>
      <c r="B56" s="69" t="s">
        <v>27</v>
      </c>
      <c r="C56" s="70">
        <f>'2 melléklet'!C8</f>
        <v>0</v>
      </c>
      <c r="D56" s="45">
        <f aca="true" t="shared" si="21" ref="D56:O65">$C56/12</f>
        <v>0</v>
      </c>
      <c r="E56" s="45">
        <f t="shared" si="21"/>
        <v>0</v>
      </c>
      <c r="F56" s="45">
        <f t="shared" si="21"/>
        <v>0</v>
      </c>
      <c r="G56" s="45">
        <f t="shared" si="21"/>
        <v>0</v>
      </c>
      <c r="H56" s="45">
        <f t="shared" si="21"/>
        <v>0</v>
      </c>
      <c r="I56" s="45">
        <f t="shared" si="21"/>
        <v>0</v>
      </c>
      <c r="J56" s="45">
        <f t="shared" si="21"/>
        <v>0</v>
      </c>
      <c r="K56" s="45">
        <f t="shared" si="21"/>
        <v>0</v>
      </c>
      <c r="L56" s="45">
        <f t="shared" si="21"/>
        <v>0</v>
      </c>
      <c r="M56" s="45">
        <f t="shared" si="21"/>
        <v>0</v>
      </c>
      <c r="N56" s="45">
        <f t="shared" si="21"/>
        <v>0</v>
      </c>
      <c r="O56" s="45">
        <f t="shared" si="21"/>
        <v>0</v>
      </c>
      <c r="P56" s="39"/>
    </row>
    <row r="57" spans="1:16" s="77" customFormat="1" ht="15">
      <c r="A57" s="66" t="s">
        <v>19</v>
      </c>
      <c r="B57" s="69" t="s">
        <v>3</v>
      </c>
      <c r="C57" s="70">
        <f>'2 melléklet'!C9</f>
        <v>0</v>
      </c>
      <c r="D57" s="45">
        <f t="shared" si="21"/>
        <v>0</v>
      </c>
      <c r="E57" s="45">
        <f t="shared" si="21"/>
        <v>0</v>
      </c>
      <c r="F57" s="45">
        <f t="shared" si="21"/>
        <v>0</v>
      </c>
      <c r="G57" s="45">
        <f t="shared" si="21"/>
        <v>0</v>
      </c>
      <c r="H57" s="45">
        <f t="shared" si="21"/>
        <v>0</v>
      </c>
      <c r="I57" s="45">
        <f t="shared" si="21"/>
        <v>0</v>
      </c>
      <c r="J57" s="45">
        <f t="shared" si="21"/>
        <v>0</v>
      </c>
      <c r="K57" s="45">
        <f t="shared" si="21"/>
        <v>0</v>
      </c>
      <c r="L57" s="45">
        <f t="shared" si="21"/>
        <v>0</v>
      </c>
      <c r="M57" s="45">
        <f t="shared" si="21"/>
        <v>0</v>
      </c>
      <c r="N57" s="45">
        <f t="shared" si="21"/>
        <v>0</v>
      </c>
      <c r="O57" s="45">
        <f t="shared" si="21"/>
        <v>0</v>
      </c>
      <c r="P57" s="39"/>
    </row>
    <row r="58" spans="1:16" s="77" customFormat="1" ht="15">
      <c r="A58" s="66" t="s">
        <v>22</v>
      </c>
      <c r="B58" s="69" t="s">
        <v>38</v>
      </c>
      <c r="C58" s="70">
        <f>'2 melléklet'!C10</f>
        <v>0</v>
      </c>
      <c r="D58" s="45">
        <f t="shared" si="21"/>
        <v>0</v>
      </c>
      <c r="E58" s="45">
        <f t="shared" si="21"/>
        <v>0</v>
      </c>
      <c r="F58" s="45">
        <f t="shared" si="21"/>
        <v>0</v>
      </c>
      <c r="G58" s="45">
        <f t="shared" si="21"/>
        <v>0</v>
      </c>
      <c r="H58" s="45">
        <f t="shared" si="21"/>
        <v>0</v>
      </c>
      <c r="I58" s="45">
        <f t="shared" si="21"/>
        <v>0</v>
      </c>
      <c r="J58" s="45">
        <f t="shared" si="21"/>
        <v>0</v>
      </c>
      <c r="K58" s="45">
        <f t="shared" si="21"/>
        <v>0</v>
      </c>
      <c r="L58" s="45">
        <f t="shared" si="21"/>
        <v>0</v>
      </c>
      <c r="M58" s="45">
        <f t="shared" si="21"/>
        <v>0</v>
      </c>
      <c r="N58" s="45">
        <f t="shared" si="21"/>
        <v>0</v>
      </c>
      <c r="O58" s="45">
        <f t="shared" si="21"/>
        <v>0</v>
      </c>
      <c r="P58" s="39"/>
    </row>
    <row r="59" spans="1:16" s="106" customFormat="1" ht="18">
      <c r="A59" s="63" t="s">
        <v>30</v>
      </c>
      <c r="B59" s="71" t="s">
        <v>41</v>
      </c>
      <c r="C59" s="72">
        <f>'2 melléklet'!C11</f>
        <v>0</v>
      </c>
      <c r="D59" s="41">
        <f t="shared" si="21"/>
        <v>0</v>
      </c>
      <c r="E59" s="41">
        <f t="shared" si="21"/>
        <v>0</v>
      </c>
      <c r="F59" s="41">
        <f t="shared" si="21"/>
        <v>0</v>
      </c>
      <c r="G59" s="41">
        <f t="shared" si="21"/>
        <v>0</v>
      </c>
      <c r="H59" s="41">
        <f t="shared" si="21"/>
        <v>0</v>
      </c>
      <c r="I59" s="41">
        <f t="shared" si="21"/>
        <v>0</v>
      </c>
      <c r="J59" s="41">
        <f t="shared" si="21"/>
        <v>0</v>
      </c>
      <c r="K59" s="41">
        <f t="shared" si="21"/>
        <v>0</v>
      </c>
      <c r="L59" s="41">
        <f t="shared" si="21"/>
        <v>0</v>
      </c>
      <c r="M59" s="41">
        <f t="shared" si="21"/>
        <v>0</v>
      </c>
      <c r="N59" s="41">
        <f t="shared" si="21"/>
        <v>0</v>
      </c>
      <c r="O59" s="41">
        <f t="shared" si="21"/>
        <v>0</v>
      </c>
      <c r="P59" s="39"/>
    </row>
    <row r="60" spans="1:16" s="77" customFormat="1" ht="19.5">
      <c r="A60" s="66" t="s">
        <v>32</v>
      </c>
      <c r="B60" s="69" t="s">
        <v>47</v>
      </c>
      <c r="C60" s="70">
        <f>'2 melléklet'!C12</f>
        <v>0</v>
      </c>
      <c r="D60" s="45">
        <f t="shared" si="21"/>
        <v>0</v>
      </c>
      <c r="E60" s="45">
        <f t="shared" si="21"/>
        <v>0</v>
      </c>
      <c r="F60" s="45">
        <f t="shared" si="21"/>
        <v>0</v>
      </c>
      <c r="G60" s="45">
        <f t="shared" si="21"/>
        <v>0</v>
      </c>
      <c r="H60" s="45">
        <f t="shared" si="21"/>
        <v>0</v>
      </c>
      <c r="I60" s="45">
        <f t="shared" si="21"/>
        <v>0</v>
      </c>
      <c r="J60" s="45">
        <f t="shared" si="21"/>
        <v>0</v>
      </c>
      <c r="K60" s="45">
        <f t="shared" si="21"/>
        <v>0</v>
      </c>
      <c r="L60" s="45">
        <f t="shared" si="21"/>
        <v>0</v>
      </c>
      <c r="M60" s="45">
        <f t="shared" si="21"/>
        <v>0</v>
      </c>
      <c r="N60" s="45">
        <f t="shared" si="21"/>
        <v>0</v>
      </c>
      <c r="O60" s="45">
        <f t="shared" si="21"/>
        <v>0</v>
      </c>
      <c r="P60" s="39"/>
    </row>
    <row r="61" spans="1:16" s="77" customFormat="1" ht="19.5">
      <c r="A61" s="66" t="s">
        <v>35</v>
      </c>
      <c r="B61" s="69" t="s">
        <v>50</v>
      </c>
      <c r="C61" s="70">
        <f>'2 melléklet'!C13</f>
        <v>0</v>
      </c>
      <c r="D61" s="45">
        <f t="shared" si="21"/>
        <v>0</v>
      </c>
      <c r="E61" s="45">
        <f t="shared" si="21"/>
        <v>0</v>
      </c>
      <c r="F61" s="45">
        <f t="shared" si="21"/>
        <v>0</v>
      </c>
      <c r="G61" s="45">
        <f t="shared" si="21"/>
        <v>0</v>
      </c>
      <c r="H61" s="45">
        <f t="shared" si="21"/>
        <v>0</v>
      </c>
      <c r="I61" s="45">
        <f t="shared" si="21"/>
        <v>0</v>
      </c>
      <c r="J61" s="45">
        <f t="shared" si="21"/>
        <v>0</v>
      </c>
      <c r="K61" s="45">
        <f t="shared" si="21"/>
        <v>0</v>
      </c>
      <c r="L61" s="45">
        <f t="shared" si="21"/>
        <v>0</v>
      </c>
      <c r="M61" s="45">
        <f t="shared" si="21"/>
        <v>0</v>
      </c>
      <c r="N61" s="45">
        <f t="shared" si="21"/>
        <v>0</v>
      </c>
      <c r="O61" s="45">
        <f t="shared" si="21"/>
        <v>0</v>
      </c>
      <c r="P61" s="39"/>
    </row>
    <row r="62" spans="1:16" s="77" customFormat="1" ht="15">
      <c r="A62" s="66" t="s">
        <v>39</v>
      </c>
      <c r="B62" s="69" t="s">
        <v>57</v>
      </c>
      <c r="C62" s="70">
        <f>'2 melléklet'!C14</f>
        <v>0</v>
      </c>
      <c r="D62" s="45">
        <f t="shared" si="21"/>
        <v>0</v>
      </c>
      <c r="E62" s="45">
        <f t="shared" si="21"/>
        <v>0</v>
      </c>
      <c r="F62" s="45">
        <f t="shared" si="21"/>
        <v>0</v>
      </c>
      <c r="G62" s="45">
        <f t="shared" si="21"/>
        <v>0</v>
      </c>
      <c r="H62" s="45">
        <f t="shared" si="21"/>
        <v>0</v>
      </c>
      <c r="I62" s="45">
        <f t="shared" si="21"/>
        <v>0</v>
      </c>
      <c r="J62" s="45">
        <f t="shared" si="21"/>
        <v>0</v>
      </c>
      <c r="K62" s="45">
        <f t="shared" si="21"/>
        <v>0</v>
      </c>
      <c r="L62" s="45">
        <f t="shared" si="21"/>
        <v>0</v>
      </c>
      <c r="M62" s="45">
        <f t="shared" si="21"/>
        <v>0</v>
      </c>
      <c r="N62" s="45">
        <f t="shared" si="21"/>
        <v>0</v>
      </c>
      <c r="O62" s="45">
        <f t="shared" si="21"/>
        <v>0</v>
      </c>
      <c r="P62" s="39"/>
    </row>
    <row r="63" spans="1:16" s="106" customFormat="1" ht="15">
      <c r="A63" s="53" t="s">
        <v>42</v>
      </c>
      <c r="B63" s="71" t="s">
        <v>58</v>
      </c>
      <c r="C63" s="72">
        <f>'2 melléklet'!C15</f>
        <v>30161974.75</v>
      </c>
      <c r="D63" s="41">
        <f>SUM(D64:D65)</f>
        <v>2511042.8958333335</v>
      </c>
      <c r="E63" s="41">
        <f aca="true" t="shared" si="22" ref="E63:O63">SUM(E64:E65)</f>
        <v>2511042.8958333335</v>
      </c>
      <c r="F63" s="41">
        <f t="shared" si="22"/>
        <v>2540502.8958333335</v>
      </c>
      <c r="G63" s="41">
        <f t="shared" si="22"/>
        <v>2511042.8958333335</v>
      </c>
      <c r="H63" s="41">
        <f t="shared" si="22"/>
        <v>2511042.8958333335</v>
      </c>
      <c r="I63" s="41">
        <f t="shared" si="22"/>
        <v>2511042.8958333335</v>
      </c>
      <c r="J63" s="41">
        <f t="shared" si="22"/>
        <v>2511042.8958333335</v>
      </c>
      <c r="K63" s="41">
        <f t="shared" si="22"/>
        <v>2511042.8958333335</v>
      </c>
      <c r="L63" s="41">
        <f t="shared" si="22"/>
        <v>2511042.8958333335</v>
      </c>
      <c r="M63" s="41">
        <f t="shared" si="22"/>
        <v>2511042.8958333335</v>
      </c>
      <c r="N63" s="41">
        <f t="shared" si="22"/>
        <v>2511042.8958333335</v>
      </c>
      <c r="O63" s="41">
        <f t="shared" si="22"/>
        <v>2511042.8958333335</v>
      </c>
      <c r="P63" s="39"/>
    </row>
    <row r="64" spans="1:16" s="77" customFormat="1" ht="15">
      <c r="A64" s="73" t="s">
        <v>45</v>
      </c>
      <c r="B64" s="69" t="s">
        <v>59</v>
      </c>
      <c r="C64" s="70">
        <f>'2 melléklet'!C16</f>
        <v>29460</v>
      </c>
      <c r="D64" s="45">
        <v>0</v>
      </c>
      <c r="E64" s="45">
        <v>0</v>
      </c>
      <c r="F64" s="45">
        <f>C64</f>
        <v>29460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39"/>
    </row>
    <row r="65" spans="1:16" s="77" customFormat="1" ht="15">
      <c r="A65" s="73" t="s">
        <v>48</v>
      </c>
      <c r="B65" s="69" t="s">
        <v>96</v>
      </c>
      <c r="C65" s="70">
        <f>'2 melléklet'!C17</f>
        <v>30132514.75</v>
      </c>
      <c r="D65" s="45">
        <f t="shared" si="21"/>
        <v>2511042.8958333335</v>
      </c>
      <c r="E65" s="45">
        <f t="shared" si="21"/>
        <v>2511042.8958333335</v>
      </c>
      <c r="F65" s="45">
        <f t="shared" si="21"/>
        <v>2511042.8958333335</v>
      </c>
      <c r="G65" s="45">
        <f t="shared" si="21"/>
        <v>2511042.8958333335</v>
      </c>
      <c r="H65" s="45">
        <f t="shared" si="21"/>
        <v>2511042.8958333335</v>
      </c>
      <c r="I65" s="45">
        <f t="shared" si="21"/>
        <v>2511042.8958333335</v>
      </c>
      <c r="J65" s="45">
        <f t="shared" si="21"/>
        <v>2511042.8958333335</v>
      </c>
      <c r="K65" s="45">
        <f t="shared" si="21"/>
        <v>2511042.8958333335</v>
      </c>
      <c r="L65" s="45">
        <f t="shared" si="21"/>
        <v>2511042.8958333335</v>
      </c>
      <c r="M65" s="45">
        <f t="shared" si="21"/>
        <v>2511042.8958333335</v>
      </c>
      <c r="N65" s="45">
        <f t="shared" si="21"/>
        <v>2511042.8958333335</v>
      </c>
      <c r="O65" s="45">
        <f t="shared" si="21"/>
        <v>2511042.8958333335</v>
      </c>
      <c r="P65" s="39"/>
    </row>
    <row r="66" spans="1:16" s="106" customFormat="1" ht="15">
      <c r="A66" s="74"/>
      <c r="B66" s="71" t="s">
        <v>63</v>
      </c>
      <c r="C66" s="72">
        <f>'2 melléklet'!C18</f>
        <v>30161974.75</v>
      </c>
      <c r="D66" s="41">
        <f>D54+D59+D63</f>
        <v>2511042.8958333335</v>
      </c>
      <c r="E66" s="41">
        <f aca="true" t="shared" si="23" ref="E66:O66">E54+E59+E63</f>
        <v>2511042.8958333335</v>
      </c>
      <c r="F66" s="41">
        <f t="shared" si="23"/>
        <v>2540502.8958333335</v>
      </c>
      <c r="G66" s="41">
        <f t="shared" si="23"/>
        <v>2511042.8958333335</v>
      </c>
      <c r="H66" s="41">
        <f t="shared" si="23"/>
        <v>2511042.8958333335</v>
      </c>
      <c r="I66" s="41">
        <f t="shared" si="23"/>
        <v>2511042.8958333335</v>
      </c>
      <c r="J66" s="41">
        <f t="shared" si="23"/>
        <v>2511042.8958333335</v>
      </c>
      <c r="K66" s="41">
        <f t="shared" si="23"/>
        <v>2511042.8958333335</v>
      </c>
      <c r="L66" s="41">
        <f t="shared" si="23"/>
        <v>2511042.8958333335</v>
      </c>
      <c r="M66" s="41">
        <f t="shared" si="23"/>
        <v>2511042.8958333335</v>
      </c>
      <c r="N66" s="41">
        <f t="shared" si="23"/>
        <v>2511042.8958333335</v>
      </c>
      <c r="O66" s="41">
        <f t="shared" si="23"/>
        <v>2511042.8958333335</v>
      </c>
      <c r="P66" s="39"/>
    </row>
    <row r="67" spans="1:16" s="77" customFormat="1" ht="15">
      <c r="A67" s="47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39"/>
    </row>
    <row r="68" spans="1:16" s="77" customFormat="1" ht="15">
      <c r="A68" s="80"/>
      <c r="B68" s="81" t="s">
        <v>2</v>
      </c>
      <c r="C68" s="78"/>
      <c r="P68" s="39"/>
    </row>
    <row r="69" spans="1:16" s="106" customFormat="1" ht="15">
      <c r="A69" s="53" t="s">
        <v>10</v>
      </c>
      <c r="B69" s="64" t="s">
        <v>12</v>
      </c>
      <c r="C69" s="65">
        <f>SUM(C70:C74)</f>
        <v>29781974.75</v>
      </c>
      <c r="D69" s="41">
        <f>SUM(D70:D74)</f>
        <v>2481831.229166667</v>
      </c>
      <c r="E69" s="41">
        <f aca="true" t="shared" si="24" ref="E69:O69">SUM(E70:E74)</f>
        <v>2481831.229166667</v>
      </c>
      <c r="F69" s="41">
        <f t="shared" si="24"/>
        <v>2481831.229166667</v>
      </c>
      <c r="G69" s="41">
        <f t="shared" si="24"/>
        <v>2481831.229166667</v>
      </c>
      <c r="H69" s="41">
        <f t="shared" si="24"/>
        <v>2481831.229166667</v>
      </c>
      <c r="I69" s="41">
        <f t="shared" si="24"/>
        <v>2481831.229166667</v>
      </c>
      <c r="J69" s="41">
        <f t="shared" si="24"/>
        <v>2481831.229166667</v>
      </c>
      <c r="K69" s="41">
        <f t="shared" si="24"/>
        <v>2481831.229166667</v>
      </c>
      <c r="L69" s="41">
        <f t="shared" si="24"/>
        <v>2481831.229166667</v>
      </c>
      <c r="M69" s="41">
        <f t="shared" si="24"/>
        <v>2481831.229166667</v>
      </c>
      <c r="N69" s="41">
        <f t="shared" si="24"/>
        <v>2481831.229166667</v>
      </c>
      <c r="O69" s="41">
        <f t="shared" si="24"/>
        <v>2481831.229166667</v>
      </c>
      <c r="P69" s="39"/>
    </row>
    <row r="70" spans="1:16" s="77" customFormat="1" ht="15">
      <c r="A70" s="73" t="s">
        <v>13</v>
      </c>
      <c r="B70" s="69" t="s">
        <v>15</v>
      </c>
      <c r="C70" s="70">
        <f>'2 melléklet'!F7</f>
        <v>24229490</v>
      </c>
      <c r="D70" s="45">
        <f aca="true" t="shared" si="25" ref="D70:O80">$C70/12</f>
        <v>2019124.1666666667</v>
      </c>
      <c r="E70" s="45">
        <f t="shared" si="25"/>
        <v>2019124.1666666667</v>
      </c>
      <c r="F70" s="45">
        <f t="shared" si="25"/>
        <v>2019124.1666666667</v>
      </c>
      <c r="G70" s="45">
        <f t="shared" si="25"/>
        <v>2019124.1666666667</v>
      </c>
      <c r="H70" s="45">
        <f t="shared" si="25"/>
        <v>2019124.1666666667</v>
      </c>
      <c r="I70" s="45">
        <f t="shared" si="25"/>
        <v>2019124.1666666667</v>
      </c>
      <c r="J70" s="45">
        <f t="shared" si="25"/>
        <v>2019124.1666666667</v>
      </c>
      <c r="K70" s="45">
        <f t="shared" si="25"/>
        <v>2019124.1666666667</v>
      </c>
      <c r="L70" s="45">
        <f t="shared" si="25"/>
        <v>2019124.1666666667</v>
      </c>
      <c r="M70" s="45">
        <f t="shared" si="25"/>
        <v>2019124.1666666667</v>
      </c>
      <c r="N70" s="45">
        <f t="shared" si="25"/>
        <v>2019124.1666666667</v>
      </c>
      <c r="O70" s="45">
        <f t="shared" si="25"/>
        <v>2019124.1666666667</v>
      </c>
      <c r="P70" s="39"/>
    </row>
    <row r="71" spans="1:16" s="77" customFormat="1" ht="19.5">
      <c r="A71" s="73" t="s">
        <v>17</v>
      </c>
      <c r="B71" s="69" t="s">
        <v>1</v>
      </c>
      <c r="C71" s="70">
        <f>'2 melléklet'!F8</f>
        <v>4240160.75</v>
      </c>
      <c r="D71" s="45">
        <f t="shared" si="25"/>
        <v>353346.7291666667</v>
      </c>
      <c r="E71" s="45">
        <f t="shared" si="25"/>
        <v>353346.7291666667</v>
      </c>
      <c r="F71" s="45">
        <f t="shared" si="25"/>
        <v>353346.7291666667</v>
      </c>
      <c r="G71" s="45">
        <f t="shared" si="25"/>
        <v>353346.7291666667</v>
      </c>
      <c r="H71" s="45">
        <f t="shared" si="25"/>
        <v>353346.7291666667</v>
      </c>
      <c r="I71" s="45">
        <f t="shared" si="25"/>
        <v>353346.7291666667</v>
      </c>
      <c r="J71" s="45">
        <f t="shared" si="25"/>
        <v>353346.7291666667</v>
      </c>
      <c r="K71" s="45">
        <f t="shared" si="25"/>
        <v>353346.7291666667</v>
      </c>
      <c r="L71" s="45">
        <f t="shared" si="25"/>
        <v>353346.7291666667</v>
      </c>
      <c r="M71" s="45">
        <f t="shared" si="25"/>
        <v>353346.7291666667</v>
      </c>
      <c r="N71" s="45">
        <f t="shared" si="25"/>
        <v>353346.7291666667</v>
      </c>
      <c r="O71" s="45">
        <f t="shared" si="25"/>
        <v>353346.7291666667</v>
      </c>
      <c r="P71" s="39"/>
    </row>
    <row r="72" spans="1:16" s="77" customFormat="1" ht="15">
      <c r="A72" s="73" t="s">
        <v>19</v>
      </c>
      <c r="B72" s="69" t="s">
        <v>20</v>
      </c>
      <c r="C72" s="70">
        <f>'2 melléklet'!F9</f>
        <v>1312324</v>
      </c>
      <c r="D72" s="45">
        <f t="shared" si="25"/>
        <v>109360.33333333333</v>
      </c>
      <c r="E72" s="45">
        <f t="shared" si="25"/>
        <v>109360.33333333333</v>
      </c>
      <c r="F72" s="45">
        <f t="shared" si="25"/>
        <v>109360.33333333333</v>
      </c>
      <c r="G72" s="45">
        <f t="shared" si="25"/>
        <v>109360.33333333333</v>
      </c>
      <c r="H72" s="45">
        <f t="shared" si="25"/>
        <v>109360.33333333333</v>
      </c>
      <c r="I72" s="45">
        <f t="shared" si="25"/>
        <v>109360.33333333333</v>
      </c>
      <c r="J72" s="45">
        <f t="shared" si="25"/>
        <v>109360.33333333333</v>
      </c>
      <c r="K72" s="45">
        <f t="shared" si="25"/>
        <v>109360.33333333333</v>
      </c>
      <c r="L72" s="45">
        <f t="shared" si="25"/>
        <v>109360.33333333333</v>
      </c>
      <c r="M72" s="45">
        <f t="shared" si="25"/>
        <v>109360.33333333333</v>
      </c>
      <c r="N72" s="45">
        <f t="shared" si="25"/>
        <v>109360.33333333333</v>
      </c>
      <c r="O72" s="45">
        <f t="shared" si="25"/>
        <v>109360.33333333333</v>
      </c>
      <c r="P72" s="39"/>
    </row>
    <row r="73" spans="1:16" s="77" customFormat="1" ht="15">
      <c r="A73" s="73" t="s">
        <v>22</v>
      </c>
      <c r="B73" s="69" t="s">
        <v>26</v>
      </c>
      <c r="C73" s="70">
        <f>'2 melléklet'!F10</f>
        <v>0</v>
      </c>
      <c r="D73" s="45">
        <f t="shared" si="25"/>
        <v>0</v>
      </c>
      <c r="E73" s="45">
        <f t="shared" si="25"/>
        <v>0</v>
      </c>
      <c r="F73" s="45">
        <f t="shared" si="25"/>
        <v>0</v>
      </c>
      <c r="G73" s="45">
        <f t="shared" si="25"/>
        <v>0</v>
      </c>
      <c r="H73" s="45">
        <f t="shared" si="25"/>
        <v>0</v>
      </c>
      <c r="I73" s="45">
        <f t="shared" si="25"/>
        <v>0</v>
      </c>
      <c r="J73" s="45">
        <f t="shared" si="25"/>
        <v>0</v>
      </c>
      <c r="K73" s="45">
        <f t="shared" si="25"/>
        <v>0</v>
      </c>
      <c r="L73" s="45">
        <f t="shared" si="25"/>
        <v>0</v>
      </c>
      <c r="M73" s="45">
        <f t="shared" si="25"/>
        <v>0</v>
      </c>
      <c r="N73" s="45">
        <f t="shared" si="25"/>
        <v>0</v>
      </c>
      <c r="O73" s="45">
        <f t="shared" si="25"/>
        <v>0</v>
      </c>
      <c r="P73" s="39"/>
    </row>
    <row r="74" spans="1:16" s="77" customFormat="1" ht="15">
      <c r="A74" s="73" t="s">
        <v>25</v>
      </c>
      <c r="B74" s="69" t="s">
        <v>29</v>
      </c>
      <c r="C74" s="70">
        <f>'2 melléklet'!F11</f>
        <v>0</v>
      </c>
      <c r="D74" s="45">
        <f t="shared" si="25"/>
        <v>0</v>
      </c>
      <c r="E74" s="45">
        <f t="shared" si="25"/>
        <v>0</v>
      </c>
      <c r="F74" s="45">
        <f t="shared" si="25"/>
        <v>0</v>
      </c>
      <c r="G74" s="45">
        <f t="shared" si="25"/>
        <v>0</v>
      </c>
      <c r="H74" s="45">
        <f t="shared" si="25"/>
        <v>0</v>
      </c>
      <c r="I74" s="45">
        <f t="shared" si="25"/>
        <v>0</v>
      </c>
      <c r="J74" s="45">
        <f t="shared" si="25"/>
        <v>0</v>
      </c>
      <c r="K74" s="45">
        <f t="shared" si="25"/>
        <v>0</v>
      </c>
      <c r="L74" s="45">
        <f t="shared" si="25"/>
        <v>0</v>
      </c>
      <c r="M74" s="45">
        <f t="shared" si="25"/>
        <v>0</v>
      </c>
      <c r="N74" s="45">
        <f t="shared" si="25"/>
        <v>0</v>
      </c>
      <c r="O74" s="45">
        <f t="shared" si="25"/>
        <v>0</v>
      </c>
      <c r="P74" s="39"/>
    </row>
    <row r="75" spans="1:16" s="106" customFormat="1" ht="18">
      <c r="A75" s="53" t="s">
        <v>30</v>
      </c>
      <c r="B75" s="71" t="s">
        <v>31</v>
      </c>
      <c r="C75" s="72">
        <f>'2 melléklet'!F12</f>
        <v>380000</v>
      </c>
      <c r="D75" s="41">
        <f>SUM(D76:D78)</f>
        <v>31666.666666666668</v>
      </c>
      <c r="E75" s="41">
        <f aca="true" t="shared" si="26" ref="E75:O75">SUM(E76:E78)</f>
        <v>31666.666666666668</v>
      </c>
      <c r="F75" s="41">
        <f t="shared" si="26"/>
        <v>31666.666666666668</v>
      </c>
      <c r="G75" s="41">
        <f t="shared" si="26"/>
        <v>31666.666666666668</v>
      </c>
      <c r="H75" s="41">
        <f t="shared" si="26"/>
        <v>31666.666666666668</v>
      </c>
      <c r="I75" s="41">
        <f t="shared" si="26"/>
        <v>31666.666666666668</v>
      </c>
      <c r="J75" s="41">
        <f t="shared" si="26"/>
        <v>31666.666666666668</v>
      </c>
      <c r="K75" s="41">
        <f t="shared" si="26"/>
        <v>31666.666666666668</v>
      </c>
      <c r="L75" s="41">
        <f t="shared" si="26"/>
        <v>31666.666666666668</v>
      </c>
      <c r="M75" s="41">
        <f t="shared" si="26"/>
        <v>31666.666666666668</v>
      </c>
      <c r="N75" s="41">
        <f t="shared" si="26"/>
        <v>31666.666666666668</v>
      </c>
      <c r="O75" s="41">
        <f t="shared" si="26"/>
        <v>31666.666666666668</v>
      </c>
      <c r="P75" s="39"/>
    </row>
    <row r="76" spans="1:16" s="77" customFormat="1" ht="15">
      <c r="A76" s="73" t="s">
        <v>32</v>
      </c>
      <c r="B76" s="69" t="s">
        <v>33</v>
      </c>
      <c r="C76" s="70">
        <f>'2 melléklet'!F13</f>
        <v>350000</v>
      </c>
      <c r="D76" s="45">
        <f t="shared" si="25"/>
        <v>29166.666666666668</v>
      </c>
      <c r="E76" s="45">
        <f t="shared" si="25"/>
        <v>29166.666666666668</v>
      </c>
      <c r="F76" s="45">
        <f t="shared" si="25"/>
        <v>29166.666666666668</v>
      </c>
      <c r="G76" s="45">
        <f t="shared" si="25"/>
        <v>29166.666666666668</v>
      </c>
      <c r="H76" s="45">
        <f t="shared" si="25"/>
        <v>29166.666666666668</v>
      </c>
      <c r="I76" s="45">
        <f t="shared" si="25"/>
        <v>29166.666666666668</v>
      </c>
      <c r="J76" s="45">
        <f t="shared" si="25"/>
        <v>29166.666666666668</v>
      </c>
      <c r="K76" s="45">
        <f t="shared" si="25"/>
        <v>29166.666666666668</v>
      </c>
      <c r="L76" s="45">
        <f t="shared" si="25"/>
        <v>29166.666666666668</v>
      </c>
      <c r="M76" s="45">
        <f t="shared" si="25"/>
        <v>29166.666666666668</v>
      </c>
      <c r="N76" s="45">
        <f t="shared" si="25"/>
        <v>29166.666666666668</v>
      </c>
      <c r="O76" s="45">
        <f t="shared" si="25"/>
        <v>29166.666666666668</v>
      </c>
      <c r="P76" s="39"/>
    </row>
    <row r="77" spans="1:16" s="77" customFormat="1" ht="15">
      <c r="A77" s="73" t="s">
        <v>35</v>
      </c>
      <c r="B77" s="69" t="s">
        <v>36</v>
      </c>
      <c r="C77" s="70">
        <f>'2 melléklet'!F14</f>
        <v>30000</v>
      </c>
      <c r="D77" s="45">
        <f t="shared" si="25"/>
        <v>2500</v>
      </c>
      <c r="E77" s="45">
        <f t="shared" si="25"/>
        <v>2500</v>
      </c>
      <c r="F77" s="45">
        <f t="shared" si="25"/>
        <v>2500</v>
      </c>
      <c r="G77" s="45">
        <f t="shared" si="25"/>
        <v>2500</v>
      </c>
      <c r="H77" s="45">
        <f t="shared" si="25"/>
        <v>2500</v>
      </c>
      <c r="I77" s="45">
        <f t="shared" si="25"/>
        <v>2500</v>
      </c>
      <c r="J77" s="45">
        <f t="shared" si="25"/>
        <v>2500</v>
      </c>
      <c r="K77" s="45">
        <f t="shared" si="25"/>
        <v>2500</v>
      </c>
      <c r="L77" s="45">
        <f t="shared" si="25"/>
        <v>2500</v>
      </c>
      <c r="M77" s="45">
        <f t="shared" si="25"/>
        <v>2500</v>
      </c>
      <c r="N77" s="45">
        <f t="shared" si="25"/>
        <v>2500</v>
      </c>
      <c r="O77" s="45">
        <f t="shared" si="25"/>
        <v>2500</v>
      </c>
      <c r="P77" s="39"/>
    </row>
    <row r="78" spans="1:16" s="77" customFormat="1" ht="15">
      <c r="A78" s="73" t="s">
        <v>39</v>
      </c>
      <c r="B78" s="69" t="s">
        <v>40</v>
      </c>
      <c r="C78" s="70">
        <f>'2 melléklet'!F15</f>
        <v>0</v>
      </c>
      <c r="D78" s="45">
        <f t="shared" si="25"/>
        <v>0</v>
      </c>
      <c r="E78" s="45">
        <f t="shared" si="25"/>
        <v>0</v>
      </c>
      <c r="F78" s="45">
        <f t="shared" si="25"/>
        <v>0</v>
      </c>
      <c r="G78" s="45">
        <f t="shared" si="25"/>
        <v>0</v>
      </c>
      <c r="H78" s="45">
        <f t="shared" si="25"/>
        <v>0</v>
      </c>
      <c r="I78" s="45">
        <f t="shared" si="25"/>
        <v>0</v>
      </c>
      <c r="J78" s="45">
        <f t="shared" si="25"/>
        <v>0</v>
      </c>
      <c r="K78" s="45">
        <f t="shared" si="25"/>
        <v>0</v>
      </c>
      <c r="L78" s="45">
        <f t="shared" si="25"/>
        <v>0</v>
      </c>
      <c r="M78" s="45">
        <f t="shared" si="25"/>
        <v>0</v>
      </c>
      <c r="N78" s="45">
        <f t="shared" si="25"/>
        <v>0</v>
      </c>
      <c r="O78" s="45">
        <f t="shared" si="25"/>
        <v>0</v>
      </c>
      <c r="P78" s="39"/>
    </row>
    <row r="79" spans="1:16" s="106" customFormat="1" ht="15">
      <c r="A79" s="53" t="s">
        <v>42</v>
      </c>
      <c r="B79" s="71" t="s">
        <v>43</v>
      </c>
      <c r="C79" s="72">
        <f>'2 melléklet'!F16</f>
        <v>0</v>
      </c>
      <c r="D79" s="41">
        <f t="shared" si="25"/>
        <v>0</v>
      </c>
      <c r="E79" s="41">
        <f t="shared" si="25"/>
        <v>0</v>
      </c>
      <c r="F79" s="41">
        <f t="shared" si="25"/>
        <v>0</v>
      </c>
      <c r="G79" s="41">
        <f t="shared" si="25"/>
        <v>0</v>
      </c>
      <c r="H79" s="41">
        <f t="shared" si="25"/>
        <v>0</v>
      </c>
      <c r="I79" s="41">
        <f t="shared" si="25"/>
        <v>0</v>
      </c>
      <c r="J79" s="41">
        <f t="shared" si="25"/>
        <v>0</v>
      </c>
      <c r="K79" s="41">
        <f t="shared" si="25"/>
        <v>0</v>
      </c>
      <c r="L79" s="41">
        <f t="shared" si="25"/>
        <v>0</v>
      </c>
      <c r="M79" s="41">
        <f t="shared" si="25"/>
        <v>0</v>
      </c>
      <c r="N79" s="41">
        <f t="shared" si="25"/>
        <v>0</v>
      </c>
      <c r="O79" s="41">
        <f t="shared" si="25"/>
        <v>0</v>
      </c>
      <c r="P79" s="39"/>
    </row>
    <row r="80" spans="1:16" s="77" customFormat="1" ht="15">
      <c r="A80" s="82"/>
      <c r="B80" s="71"/>
      <c r="C80" s="72"/>
      <c r="D80" s="45">
        <f t="shared" si="25"/>
        <v>0</v>
      </c>
      <c r="E80" s="45">
        <f t="shared" si="25"/>
        <v>0</v>
      </c>
      <c r="F80" s="45">
        <f t="shared" si="25"/>
        <v>0</v>
      </c>
      <c r="G80" s="45">
        <f t="shared" si="25"/>
        <v>0</v>
      </c>
      <c r="H80" s="45">
        <f t="shared" si="25"/>
        <v>0</v>
      </c>
      <c r="I80" s="45">
        <f t="shared" si="25"/>
        <v>0</v>
      </c>
      <c r="J80" s="45">
        <f t="shared" si="25"/>
        <v>0</v>
      </c>
      <c r="K80" s="45">
        <f t="shared" si="25"/>
        <v>0</v>
      </c>
      <c r="L80" s="45">
        <f t="shared" si="25"/>
        <v>0</v>
      </c>
      <c r="M80" s="45">
        <f t="shared" si="25"/>
        <v>0</v>
      </c>
      <c r="N80" s="45">
        <f t="shared" si="25"/>
        <v>0</v>
      </c>
      <c r="O80" s="45">
        <f t="shared" si="25"/>
        <v>0</v>
      </c>
      <c r="P80" s="39"/>
    </row>
    <row r="81" spans="1:16" s="106" customFormat="1" ht="15">
      <c r="A81" s="74"/>
      <c r="B81" s="71" t="s">
        <v>64</v>
      </c>
      <c r="C81" s="72">
        <f>C79+C75+C69</f>
        <v>30161974.75</v>
      </c>
      <c r="D81" s="41">
        <f>D69+D75+D79</f>
        <v>2513497.8958333335</v>
      </c>
      <c r="E81" s="41">
        <f aca="true" t="shared" si="27" ref="E81:O81">E69+E75+E79</f>
        <v>2513497.8958333335</v>
      </c>
      <c r="F81" s="41">
        <f t="shared" si="27"/>
        <v>2513497.8958333335</v>
      </c>
      <c r="G81" s="41">
        <f t="shared" si="27"/>
        <v>2513497.8958333335</v>
      </c>
      <c r="H81" s="41">
        <f t="shared" si="27"/>
        <v>2513497.8958333335</v>
      </c>
      <c r="I81" s="41">
        <f t="shared" si="27"/>
        <v>2513497.8958333335</v>
      </c>
      <c r="J81" s="41">
        <f t="shared" si="27"/>
        <v>2513497.8958333335</v>
      </c>
      <c r="K81" s="41">
        <f t="shared" si="27"/>
        <v>2513497.8958333335</v>
      </c>
      <c r="L81" s="41">
        <f t="shared" si="27"/>
        <v>2513497.8958333335</v>
      </c>
      <c r="M81" s="41">
        <f t="shared" si="27"/>
        <v>2513497.8958333335</v>
      </c>
      <c r="N81" s="41">
        <f t="shared" si="27"/>
        <v>2513497.8958333335</v>
      </c>
      <c r="O81" s="41">
        <f t="shared" si="27"/>
        <v>2513497.8958333335</v>
      </c>
      <c r="P81" s="39"/>
    </row>
    <row r="83" spans="1:14" ht="15">
      <c r="A83" s="279" t="s">
        <v>97</v>
      </c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</row>
    <row r="84" ht="15">
      <c r="O84" s="40" t="s">
        <v>9</v>
      </c>
    </row>
    <row r="85" spans="1:16" s="77" customFormat="1" ht="15">
      <c r="A85" s="53"/>
      <c r="B85" s="75" t="s">
        <v>7</v>
      </c>
      <c r="C85" s="11" t="s">
        <v>6</v>
      </c>
      <c r="D85" s="43" t="s">
        <v>65</v>
      </c>
      <c r="E85" s="43" t="s">
        <v>66</v>
      </c>
      <c r="F85" s="43" t="s">
        <v>67</v>
      </c>
      <c r="G85" s="43" t="s">
        <v>68</v>
      </c>
      <c r="H85" s="43" t="s">
        <v>69</v>
      </c>
      <c r="I85" s="43" t="s">
        <v>70</v>
      </c>
      <c r="J85" s="43" t="s">
        <v>71</v>
      </c>
      <c r="K85" s="43" t="s">
        <v>72</v>
      </c>
      <c r="L85" s="43" t="s">
        <v>73</v>
      </c>
      <c r="M85" s="43" t="s">
        <v>74</v>
      </c>
      <c r="N85" s="43" t="s">
        <v>75</v>
      </c>
      <c r="O85" s="43" t="s">
        <v>76</v>
      </c>
      <c r="P85" s="39"/>
    </row>
    <row r="86" spans="1:16" s="77" customFormat="1" ht="15">
      <c r="A86" s="63" t="s">
        <v>10</v>
      </c>
      <c r="B86" s="64" t="s">
        <v>11</v>
      </c>
      <c r="C86" s="65">
        <f>SUM(C87:C90)</f>
        <v>18405852</v>
      </c>
      <c r="D86" s="41">
        <f>SUM(D87:D90)</f>
        <v>1533821</v>
      </c>
      <c r="E86" s="41">
        <f aca="true" t="shared" si="28" ref="E86:O86">SUM(E87:E90)</f>
        <v>1533821</v>
      </c>
      <c r="F86" s="41">
        <f t="shared" si="28"/>
        <v>1533821</v>
      </c>
      <c r="G86" s="41">
        <f t="shared" si="28"/>
        <v>1533821</v>
      </c>
      <c r="H86" s="41">
        <f t="shared" si="28"/>
        <v>1533821</v>
      </c>
      <c r="I86" s="41">
        <f t="shared" si="28"/>
        <v>1533821</v>
      </c>
      <c r="J86" s="41">
        <f t="shared" si="28"/>
        <v>1533821</v>
      </c>
      <c r="K86" s="41">
        <f t="shared" si="28"/>
        <v>1533821</v>
      </c>
      <c r="L86" s="41">
        <f t="shared" si="28"/>
        <v>1533821</v>
      </c>
      <c r="M86" s="41">
        <f t="shared" si="28"/>
        <v>1533821</v>
      </c>
      <c r="N86" s="41">
        <f t="shared" si="28"/>
        <v>1533821</v>
      </c>
      <c r="O86" s="41">
        <f t="shared" si="28"/>
        <v>1533821</v>
      </c>
      <c r="P86" s="39"/>
    </row>
    <row r="87" spans="1:16" s="77" customFormat="1" ht="15">
      <c r="A87" s="66" t="s">
        <v>13</v>
      </c>
      <c r="B87" s="69" t="s">
        <v>24</v>
      </c>
      <c r="C87" s="70">
        <f>'3 melléklet'!C7</f>
        <v>0</v>
      </c>
      <c r="D87" s="45">
        <f aca="true" t="shared" si="29" ref="D87:O97">$C87/12</f>
        <v>0</v>
      </c>
      <c r="E87" s="45">
        <f t="shared" si="29"/>
        <v>0</v>
      </c>
      <c r="F87" s="45">
        <f t="shared" si="29"/>
        <v>0</v>
      </c>
      <c r="G87" s="45">
        <f t="shared" si="29"/>
        <v>0</v>
      </c>
      <c r="H87" s="45">
        <f t="shared" si="29"/>
        <v>0</v>
      </c>
      <c r="I87" s="45">
        <f t="shared" si="29"/>
        <v>0</v>
      </c>
      <c r="J87" s="45">
        <f t="shared" si="29"/>
        <v>0</v>
      </c>
      <c r="K87" s="45">
        <f t="shared" si="29"/>
        <v>0</v>
      </c>
      <c r="L87" s="45">
        <f t="shared" si="29"/>
        <v>0</v>
      </c>
      <c r="M87" s="45">
        <f t="shared" si="29"/>
        <v>0</v>
      </c>
      <c r="N87" s="45">
        <f t="shared" si="29"/>
        <v>0</v>
      </c>
      <c r="O87" s="45">
        <f t="shared" si="29"/>
        <v>0</v>
      </c>
      <c r="P87" s="39"/>
    </row>
    <row r="88" spans="1:16" s="77" customFormat="1" ht="19.5">
      <c r="A88" s="66" t="s">
        <v>17</v>
      </c>
      <c r="B88" s="69" t="s">
        <v>27</v>
      </c>
      <c r="C88" s="70">
        <f>'3 melléklet'!C8</f>
        <v>0</v>
      </c>
      <c r="D88" s="45">
        <f t="shared" si="29"/>
        <v>0</v>
      </c>
      <c r="E88" s="45">
        <f t="shared" si="29"/>
        <v>0</v>
      </c>
      <c r="F88" s="45">
        <f t="shared" si="29"/>
        <v>0</v>
      </c>
      <c r="G88" s="45">
        <f t="shared" si="29"/>
        <v>0</v>
      </c>
      <c r="H88" s="45">
        <f t="shared" si="29"/>
        <v>0</v>
      </c>
      <c r="I88" s="45">
        <f t="shared" si="29"/>
        <v>0</v>
      </c>
      <c r="J88" s="45">
        <f t="shared" si="29"/>
        <v>0</v>
      </c>
      <c r="K88" s="45">
        <f t="shared" si="29"/>
        <v>0</v>
      </c>
      <c r="L88" s="45">
        <f t="shared" si="29"/>
        <v>0</v>
      </c>
      <c r="M88" s="45">
        <f t="shared" si="29"/>
        <v>0</v>
      </c>
      <c r="N88" s="45">
        <f t="shared" si="29"/>
        <v>0</v>
      </c>
      <c r="O88" s="45">
        <f t="shared" si="29"/>
        <v>0</v>
      </c>
      <c r="P88" s="39"/>
    </row>
    <row r="89" spans="1:16" s="77" customFormat="1" ht="15">
      <c r="A89" s="66" t="s">
        <v>19</v>
      </c>
      <c r="B89" s="69" t="s">
        <v>3</v>
      </c>
      <c r="C89" s="70">
        <f>'3 melléklet'!C9</f>
        <v>18405852</v>
      </c>
      <c r="D89" s="45">
        <f t="shared" si="29"/>
        <v>1533821</v>
      </c>
      <c r="E89" s="45">
        <f t="shared" si="29"/>
        <v>1533821</v>
      </c>
      <c r="F89" s="45">
        <f t="shared" si="29"/>
        <v>1533821</v>
      </c>
      <c r="G89" s="45">
        <f t="shared" si="29"/>
        <v>1533821</v>
      </c>
      <c r="H89" s="45">
        <f t="shared" si="29"/>
        <v>1533821</v>
      </c>
      <c r="I89" s="45">
        <f t="shared" si="29"/>
        <v>1533821</v>
      </c>
      <c r="J89" s="45">
        <f t="shared" si="29"/>
        <v>1533821</v>
      </c>
      <c r="K89" s="45">
        <f t="shared" si="29"/>
        <v>1533821</v>
      </c>
      <c r="L89" s="45">
        <f t="shared" si="29"/>
        <v>1533821</v>
      </c>
      <c r="M89" s="45">
        <f t="shared" si="29"/>
        <v>1533821</v>
      </c>
      <c r="N89" s="45">
        <f t="shared" si="29"/>
        <v>1533821</v>
      </c>
      <c r="O89" s="45">
        <f t="shared" si="29"/>
        <v>1533821</v>
      </c>
      <c r="P89" s="39"/>
    </row>
    <row r="90" spans="1:16" s="77" customFormat="1" ht="15">
      <c r="A90" s="66" t="s">
        <v>22</v>
      </c>
      <c r="B90" s="69" t="s">
        <v>38</v>
      </c>
      <c r="C90" s="70">
        <f>'3 melléklet'!C10</f>
        <v>0</v>
      </c>
      <c r="D90" s="45">
        <f t="shared" si="29"/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39"/>
    </row>
    <row r="91" spans="1:16" s="106" customFormat="1" ht="18">
      <c r="A91" s="63" t="s">
        <v>30</v>
      </c>
      <c r="B91" s="71" t="s">
        <v>41</v>
      </c>
      <c r="C91" s="72">
        <f>'3 melléklet'!C11</f>
        <v>0</v>
      </c>
      <c r="D91" s="41">
        <f>SUM(D92:D94)</f>
        <v>0</v>
      </c>
      <c r="E91" s="41">
        <f aca="true" t="shared" si="30" ref="E91:O91">SUM(E92:E94)</f>
        <v>0</v>
      </c>
      <c r="F91" s="41">
        <f t="shared" si="30"/>
        <v>0</v>
      </c>
      <c r="G91" s="41">
        <f t="shared" si="30"/>
        <v>0</v>
      </c>
      <c r="H91" s="41">
        <f t="shared" si="30"/>
        <v>0</v>
      </c>
      <c r="I91" s="41">
        <f t="shared" si="30"/>
        <v>0</v>
      </c>
      <c r="J91" s="41">
        <f t="shared" si="30"/>
        <v>0</v>
      </c>
      <c r="K91" s="41">
        <f t="shared" si="30"/>
        <v>0</v>
      </c>
      <c r="L91" s="41">
        <f t="shared" si="30"/>
        <v>0</v>
      </c>
      <c r="M91" s="41">
        <f t="shared" si="30"/>
        <v>0</v>
      </c>
      <c r="N91" s="41">
        <f t="shared" si="30"/>
        <v>0</v>
      </c>
      <c r="O91" s="41">
        <f t="shared" si="30"/>
        <v>0</v>
      </c>
      <c r="P91" s="39"/>
    </row>
    <row r="92" spans="1:16" s="77" customFormat="1" ht="19.5">
      <c r="A92" s="66" t="s">
        <v>32</v>
      </c>
      <c r="B92" s="69" t="s">
        <v>47</v>
      </c>
      <c r="C92" s="70">
        <f>'3 melléklet'!C12</f>
        <v>0</v>
      </c>
      <c r="D92" s="45">
        <f t="shared" si="29"/>
        <v>0</v>
      </c>
      <c r="E92" s="45">
        <f t="shared" si="29"/>
        <v>0</v>
      </c>
      <c r="F92" s="45">
        <f t="shared" si="29"/>
        <v>0</v>
      </c>
      <c r="G92" s="45">
        <f t="shared" si="29"/>
        <v>0</v>
      </c>
      <c r="H92" s="45">
        <f t="shared" si="29"/>
        <v>0</v>
      </c>
      <c r="I92" s="45">
        <f t="shared" si="29"/>
        <v>0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0</v>
      </c>
      <c r="O92" s="45">
        <f t="shared" si="29"/>
        <v>0</v>
      </c>
      <c r="P92" s="39"/>
    </row>
    <row r="93" spans="1:16" s="77" customFormat="1" ht="19.5">
      <c r="A93" s="66" t="s">
        <v>35</v>
      </c>
      <c r="B93" s="69" t="s">
        <v>50</v>
      </c>
      <c r="C93" s="70">
        <f>'3 melléklet'!C13</f>
        <v>0</v>
      </c>
      <c r="D93" s="45">
        <f t="shared" si="29"/>
        <v>0</v>
      </c>
      <c r="E93" s="45">
        <f t="shared" si="29"/>
        <v>0</v>
      </c>
      <c r="F93" s="45">
        <f t="shared" si="29"/>
        <v>0</v>
      </c>
      <c r="G93" s="45">
        <f t="shared" si="29"/>
        <v>0</v>
      </c>
      <c r="H93" s="45">
        <f t="shared" si="29"/>
        <v>0</v>
      </c>
      <c r="I93" s="45">
        <f t="shared" si="29"/>
        <v>0</v>
      </c>
      <c r="J93" s="45">
        <f t="shared" si="29"/>
        <v>0</v>
      </c>
      <c r="K93" s="45">
        <f t="shared" si="29"/>
        <v>0</v>
      </c>
      <c r="L93" s="45">
        <f t="shared" si="29"/>
        <v>0</v>
      </c>
      <c r="M93" s="45">
        <f t="shared" si="29"/>
        <v>0</v>
      </c>
      <c r="N93" s="45">
        <f t="shared" si="29"/>
        <v>0</v>
      </c>
      <c r="O93" s="45">
        <f t="shared" si="29"/>
        <v>0</v>
      </c>
      <c r="P93" s="39"/>
    </row>
    <row r="94" spans="1:16" s="77" customFormat="1" ht="15">
      <c r="A94" s="66" t="s">
        <v>39</v>
      </c>
      <c r="B94" s="69" t="s">
        <v>57</v>
      </c>
      <c r="C94" s="70">
        <f>'3 melléklet'!C14</f>
        <v>0</v>
      </c>
      <c r="D94" s="45">
        <f t="shared" si="29"/>
        <v>0</v>
      </c>
      <c r="E94" s="45">
        <f t="shared" si="29"/>
        <v>0</v>
      </c>
      <c r="F94" s="45">
        <f t="shared" si="29"/>
        <v>0</v>
      </c>
      <c r="G94" s="45">
        <f t="shared" si="29"/>
        <v>0</v>
      </c>
      <c r="H94" s="45">
        <f t="shared" si="29"/>
        <v>0</v>
      </c>
      <c r="I94" s="45">
        <f t="shared" si="29"/>
        <v>0</v>
      </c>
      <c r="J94" s="45">
        <f t="shared" si="29"/>
        <v>0</v>
      </c>
      <c r="K94" s="45">
        <f t="shared" si="29"/>
        <v>0</v>
      </c>
      <c r="L94" s="45">
        <f t="shared" si="29"/>
        <v>0</v>
      </c>
      <c r="M94" s="45">
        <f t="shared" si="29"/>
        <v>0</v>
      </c>
      <c r="N94" s="45">
        <f t="shared" si="29"/>
        <v>0</v>
      </c>
      <c r="O94" s="45">
        <f t="shared" si="29"/>
        <v>0</v>
      </c>
      <c r="P94" s="39"/>
    </row>
    <row r="95" spans="1:16" s="106" customFormat="1" ht="15">
      <c r="A95" s="53" t="s">
        <v>42</v>
      </c>
      <c r="B95" s="71" t="s">
        <v>58</v>
      </c>
      <c r="C95" s="72">
        <f>'3 melléklet'!C15</f>
        <v>25275643.35</v>
      </c>
      <c r="D95" s="41">
        <f>SUM(D96:D97)</f>
        <v>2074559.2791666668</v>
      </c>
      <c r="E95" s="41">
        <f aca="true" t="shared" si="31" ref="E95:O95">SUM(E96:E97)</f>
        <v>2074559.2791666668</v>
      </c>
      <c r="F95" s="41">
        <f t="shared" si="31"/>
        <v>2455491.279166667</v>
      </c>
      <c r="G95" s="41">
        <f t="shared" si="31"/>
        <v>2074559.2791666668</v>
      </c>
      <c r="H95" s="41">
        <f t="shared" si="31"/>
        <v>2074559.2791666668</v>
      </c>
      <c r="I95" s="41">
        <f t="shared" si="31"/>
        <v>2074559.2791666668</v>
      </c>
      <c r="J95" s="41">
        <f t="shared" si="31"/>
        <v>2074559.2791666668</v>
      </c>
      <c r="K95" s="41">
        <f t="shared" si="31"/>
        <v>2074559.2791666668</v>
      </c>
      <c r="L95" s="41">
        <f t="shared" si="31"/>
        <v>2074559.2791666668</v>
      </c>
      <c r="M95" s="41">
        <f t="shared" si="31"/>
        <v>2074559.2791666668</v>
      </c>
      <c r="N95" s="41">
        <f t="shared" si="31"/>
        <v>2074559.2791666668</v>
      </c>
      <c r="O95" s="41">
        <f t="shared" si="31"/>
        <v>2074559.2791666668</v>
      </c>
      <c r="P95" s="39"/>
    </row>
    <row r="96" spans="1:16" s="77" customFormat="1" ht="15">
      <c r="A96" s="73" t="s">
        <v>45</v>
      </c>
      <c r="B96" s="69" t="s">
        <v>59</v>
      </c>
      <c r="C96" s="70">
        <f>'3 melléklet'!C16</f>
        <v>380932</v>
      </c>
      <c r="D96" s="45">
        <v>0</v>
      </c>
      <c r="E96" s="45">
        <v>0</v>
      </c>
      <c r="F96" s="45">
        <f>C96</f>
        <v>380932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39"/>
    </row>
    <row r="97" spans="1:16" s="77" customFormat="1" ht="15">
      <c r="A97" s="73" t="s">
        <v>48</v>
      </c>
      <c r="B97" s="69" t="s">
        <v>96</v>
      </c>
      <c r="C97" s="70">
        <f>'3 melléklet'!C17</f>
        <v>24894711.35</v>
      </c>
      <c r="D97" s="45">
        <f t="shared" si="29"/>
        <v>2074559.2791666668</v>
      </c>
      <c r="E97" s="45">
        <f t="shared" si="29"/>
        <v>2074559.2791666668</v>
      </c>
      <c r="F97" s="45">
        <f t="shared" si="29"/>
        <v>2074559.2791666668</v>
      </c>
      <c r="G97" s="45">
        <f t="shared" si="29"/>
        <v>2074559.2791666668</v>
      </c>
      <c r="H97" s="45">
        <f t="shared" si="29"/>
        <v>2074559.2791666668</v>
      </c>
      <c r="I97" s="45">
        <f t="shared" si="29"/>
        <v>2074559.2791666668</v>
      </c>
      <c r="J97" s="45">
        <f t="shared" si="29"/>
        <v>2074559.2791666668</v>
      </c>
      <c r="K97" s="45">
        <f t="shared" si="29"/>
        <v>2074559.2791666668</v>
      </c>
      <c r="L97" s="45">
        <f t="shared" si="29"/>
        <v>2074559.2791666668</v>
      </c>
      <c r="M97" s="45">
        <f t="shared" si="29"/>
        <v>2074559.2791666668</v>
      </c>
      <c r="N97" s="45">
        <f t="shared" si="29"/>
        <v>2074559.2791666668</v>
      </c>
      <c r="O97" s="45">
        <f t="shared" si="29"/>
        <v>2074559.2791666668</v>
      </c>
      <c r="P97" s="39"/>
    </row>
    <row r="98" spans="1:16" s="106" customFormat="1" ht="15">
      <c r="A98" s="74"/>
      <c r="B98" s="71" t="s">
        <v>63</v>
      </c>
      <c r="C98" s="72">
        <f>'3 melléklet'!C18</f>
        <v>43681495.35</v>
      </c>
      <c r="D98" s="41">
        <f>D86+D91+D95</f>
        <v>3608380.279166667</v>
      </c>
      <c r="E98" s="41">
        <f aca="true" t="shared" si="32" ref="E98:O98">E86+E91+E95</f>
        <v>3608380.279166667</v>
      </c>
      <c r="F98" s="41">
        <f t="shared" si="32"/>
        <v>3989312.279166667</v>
      </c>
      <c r="G98" s="41">
        <f t="shared" si="32"/>
        <v>3608380.279166667</v>
      </c>
      <c r="H98" s="41">
        <f t="shared" si="32"/>
        <v>3608380.279166667</v>
      </c>
      <c r="I98" s="41">
        <f t="shared" si="32"/>
        <v>3608380.279166667</v>
      </c>
      <c r="J98" s="41">
        <f t="shared" si="32"/>
        <v>3608380.279166667</v>
      </c>
      <c r="K98" s="41">
        <f t="shared" si="32"/>
        <v>3608380.279166667</v>
      </c>
      <c r="L98" s="41">
        <f t="shared" si="32"/>
        <v>3608380.279166667</v>
      </c>
      <c r="M98" s="41">
        <f t="shared" si="32"/>
        <v>3608380.279166667</v>
      </c>
      <c r="N98" s="41">
        <f t="shared" si="32"/>
        <v>3608380.279166667</v>
      </c>
      <c r="O98" s="41">
        <f t="shared" si="32"/>
        <v>3608380.279166667</v>
      </c>
      <c r="P98" s="39"/>
    </row>
    <row r="99" spans="1:16" s="77" customFormat="1" ht="15">
      <c r="A99" s="47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39"/>
    </row>
    <row r="100" spans="1:16" s="77" customFormat="1" ht="15">
      <c r="A100" s="80"/>
      <c r="B100" s="81" t="s">
        <v>2</v>
      </c>
      <c r="C100" s="78"/>
      <c r="P100" s="39"/>
    </row>
    <row r="101" spans="1:16" s="106" customFormat="1" ht="15">
      <c r="A101" s="53" t="s">
        <v>10</v>
      </c>
      <c r="B101" s="64" t="s">
        <v>12</v>
      </c>
      <c r="C101" s="65">
        <f>SUM(C102:C106)</f>
        <v>42311495.35</v>
      </c>
      <c r="D101" s="41">
        <f>SUM(D102:D106)</f>
        <v>3525957.9458333333</v>
      </c>
      <c r="E101" s="41">
        <f aca="true" t="shared" si="33" ref="E101:O101">SUM(E102:E106)</f>
        <v>3525957.9458333333</v>
      </c>
      <c r="F101" s="41">
        <f t="shared" si="33"/>
        <v>3525957.9458333333</v>
      </c>
      <c r="G101" s="41">
        <f t="shared" si="33"/>
        <v>3525957.9458333333</v>
      </c>
      <c r="H101" s="41">
        <f t="shared" si="33"/>
        <v>3525957.9458333333</v>
      </c>
      <c r="I101" s="41">
        <f t="shared" si="33"/>
        <v>3525957.9458333333</v>
      </c>
      <c r="J101" s="41">
        <f t="shared" si="33"/>
        <v>3525957.9458333333</v>
      </c>
      <c r="K101" s="41">
        <f t="shared" si="33"/>
        <v>3525957.9458333333</v>
      </c>
      <c r="L101" s="41">
        <f t="shared" si="33"/>
        <v>3525957.9458333333</v>
      </c>
      <c r="M101" s="41">
        <f t="shared" si="33"/>
        <v>3525957.9458333333</v>
      </c>
      <c r="N101" s="41">
        <f t="shared" si="33"/>
        <v>3525957.9458333333</v>
      </c>
      <c r="O101" s="41">
        <f t="shared" si="33"/>
        <v>3525957.9458333333</v>
      </c>
      <c r="P101" s="39"/>
    </row>
    <row r="102" spans="1:16" s="77" customFormat="1" ht="15">
      <c r="A102" s="73" t="s">
        <v>13</v>
      </c>
      <c r="B102" s="69" t="s">
        <v>15</v>
      </c>
      <c r="C102" s="70">
        <f>'3 melléklet'!F7</f>
        <v>14201811</v>
      </c>
      <c r="D102" s="45">
        <f aca="true" t="shared" si="34" ref="D102:O111">$C102/12</f>
        <v>1183484.25</v>
      </c>
      <c r="E102" s="45">
        <f t="shared" si="34"/>
        <v>1183484.25</v>
      </c>
      <c r="F102" s="45">
        <f t="shared" si="34"/>
        <v>1183484.25</v>
      </c>
      <c r="G102" s="45">
        <f t="shared" si="34"/>
        <v>1183484.25</v>
      </c>
      <c r="H102" s="45">
        <f t="shared" si="34"/>
        <v>1183484.25</v>
      </c>
      <c r="I102" s="45">
        <f t="shared" si="34"/>
        <v>1183484.25</v>
      </c>
      <c r="J102" s="45">
        <f t="shared" si="34"/>
        <v>1183484.25</v>
      </c>
      <c r="K102" s="45">
        <f t="shared" si="34"/>
        <v>1183484.25</v>
      </c>
      <c r="L102" s="45">
        <f t="shared" si="34"/>
        <v>1183484.25</v>
      </c>
      <c r="M102" s="45">
        <f t="shared" si="34"/>
        <v>1183484.25</v>
      </c>
      <c r="N102" s="45">
        <f t="shared" si="34"/>
        <v>1183484.25</v>
      </c>
      <c r="O102" s="45">
        <f t="shared" si="34"/>
        <v>1183484.25</v>
      </c>
      <c r="P102" s="39"/>
    </row>
    <row r="103" spans="1:16" s="77" customFormat="1" ht="19.5">
      <c r="A103" s="73" t="s">
        <v>17</v>
      </c>
      <c r="B103" s="69" t="s">
        <v>1</v>
      </c>
      <c r="C103" s="70">
        <f>'3 melléklet'!F8</f>
        <v>2459051.35</v>
      </c>
      <c r="D103" s="45">
        <f t="shared" si="34"/>
        <v>204920.94583333333</v>
      </c>
      <c r="E103" s="45">
        <f t="shared" si="34"/>
        <v>204920.94583333333</v>
      </c>
      <c r="F103" s="45">
        <f t="shared" si="34"/>
        <v>204920.94583333333</v>
      </c>
      <c r="G103" s="45">
        <f t="shared" si="34"/>
        <v>204920.94583333333</v>
      </c>
      <c r="H103" s="45">
        <f t="shared" si="34"/>
        <v>204920.94583333333</v>
      </c>
      <c r="I103" s="45">
        <f t="shared" si="34"/>
        <v>204920.94583333333</v>
      </c>
      <c r="J103" s="45">
        <f t="shared" si="34"/>
        <v>204920.94583333333</v>
      </c>
      <c r="K103" s="45">
        <f t="shared" si="34"/>
        <v>204920.94583333333</v>
      </c>
      <c r="L103" s="45">
        <f t="shared" si="34"/>
        <v>204920.94583333333</v>
      </c>
      <c r="M103" s="45">
        <f t="shared" si="34"/>
        <v>204920.94583333333</v>
      </c>
      <c r="N103" s="45">
        <f t="shared" si="34"/>
        <v>204920.94583333333</v>
      </c>
      <c r="O103" s="45">
        <f t="shared" si="34"/>
        <v>204920.94583333333</v>
      </c>
      <c r="P103" s="39"/>
    </row>
    <row r="104" spans="1:16" s="77" customFormat="1" ht="15">
      <c r="A104" s="73" t="s">
        <v>19</v>
      </c>
      <c r="B104" s="69" t="s">
        <v>20</v>
      </c>
      <c r="C104" s="70">
        <f>'3 melléklet'!F9</f>
        <v>25650633</v>
      </c>
      <c r="D104" s="45">
        <f t="shared" si="34"/>
        <v>2137552.75</v>
      </c>
      <c r="E104" s="45">
        <f t="shared" si="34"/>
        <v>2137552.75</v>
      </c>
      <c r="F104" s="45">
        <f t="shared" si="34"/>
        <v>2137552.75</v>
      </c>
      <c r="G104" s="45">
        <f t="shared" si="34"/>
        <v>2137552.75</v>
      </c>
      <c r="H104" s="45">
        <f t="shared" si="34"/>
        <v>2137552.75</v>
      </c>
      <c r="I104" s="45">
        <f t="shared" si="34"/>
        <v>2137552.75</v>
      </c>
      <c r="J104" s="45">
        <f t="shared" si="34"/>
        <v>2137552.75</v>
      </c>
      <c r="K104" s="45">
        <f t="shared" si="34"/>
        <v>2137552.75</v>
      </c>
      <c r="L104" s="45">
        <f t="shared" si="34"/>
        <v>2137552.75</v>
      </c>
      <c r="M104" s="45">
        <f t="shared" si="34"/>
        <v>2137552.75</v>
      </c>
      <c r="N104" s="45">
        <f t="shared" si="34"/>
        <v>2137552.75</v>
      </c>
      <c r="O104" s="45">
        <f t="shared" si="34"/>
        <v>2137552.75</v>
      </c>
      <c r="P104" s="39"/>
    </row>
    <row r="105" spans="1:16" s="77" customFormat="1" ht="15">
      <c r="A105" s="73" t="s">
        <v>22</v>
      </c>
      <c r="B105" s="69" t="s">
        <v>26</v>
      </c>
      <c r="C105" s="70">
        <f>'3 melléklet'!F10</f>
        <v>0</v>
      </c>
      <c r="D105" s="45">
        <f t="shared" si="34"/>
        <v>0</v>
      </c>
      <c r="E105" s="45">
        <f t="shared" si="34"/>
        <v>0</v>
      </c>
      <c r="F105" s="45">
        <f t="shared" si="34"/>
        <v>0</v>
      </c>
      <c r="G105" s="45">
        <f t="shared" si="34"/>
        <v>0</v>
      </c>
      <c r="H105" s="45">
        <f t="shared" si="34"/>
        <v>0</v>
      </c>
      <c r="I105" s="45">
        <f t="shared" si="34"/>
        <v>0</v>
      </c>
      <c r="J105" s="45">
        <f t="shared" si="34"/>
        <v>0</v>
      </c>
      <c r="K105" s="45">
        <f t="shared" si="34"/>
        <v>0</v>
      </c>
      <c r="L105" s="45">
        <f t="shared" si="34"/>
        <v>0</v>
      </c>
      <c r="M105" s="45">
        <f t="shared" si="34"/>
        <v>0</v>
      </c>
      <c r="N105" s="45">
        <f t="shared" si="34"/>
        <v>0</v>
      </c>
      <c r="O105" s="45">
        <f t="shared" si="34"/>
        <v>0</v>
      </c>
      <c r="P105" s="39"/>
    </row>
    <row r="106" spans="1:16" s="77" customFormat="1" ht="15">
      <c r="A106" s="73" t="s">
        <v>25</v>
      </c>
      <c r="B106" s="69" t="s">
        <v>29</v>
      </c>
      <c r="C106" s="70">
        <f>'3 melléklet'!F11</f>
        <v>0</v>
      </c>
      <c r="D106" s="45">
        <f t="shared" si="34"/>
        <v>0</v>
      </c>
      <c r="E106" s="45">
        <f t="shared" si="34"/>
        <v>0</v>
      </c>
      <c r="F106" s="45">
        <f t="shared" si="34"/>
        <v>0</v>
      </c>
      <c r="G106" s="45">
        <f t="shared" si="34"/>
        <v>0</v>
      </c>
      <c r="H106" s="45">
        <f t="shared" si="34"/>
        <v>0</v>
      </c>
      <c r="I106" s="45">
        <f t="shared" si="34"/>
        <v>0</v>
      </c>
      <c r="J106" s="45">
        <f t="shared" si="34"/>
        <v>0</v>
      </c>
      <c r="K106" s="45">
        <f t="shared" si="34"/>
        <v>0</v>
      </c>
      <c r="L106" s="45">
        <f t="shared" si="34"/>
        <v>0</v>
      </c>
      <c r="M106" s="45">
        <f t="shared" si="34"/>
        <v>0</v>
      </c>
      <c r="N106" s="45">
        <f t="shared" si="34"/>
        <v>0</v>
      </c>
      <c r="O106" s="45">
        <f t="shared" si="34"/>
        <v>0</v>
      </c>
      <c r="P106" s="39"/>
    </row>
    <row r="107" spans="1:16" s="106" customFormat="1" ht="18">
      <c r="A107" s="53" t="s">
        <v>30</v>
      </c>
      <c r="B107" s="71" t="s">
        <v>31</v>
      </c>
      <c r="C107" s="72">
        <f>'3 melléklet'!F12</f>
        <v>1370000</v>
      </c>
      <c r="D107" s="41">
        <f>SUM(D108:D110)</f>
        <v>114166.66666666667</v>
      </c>
      <c r="E107" s="41">
        <f aca="true" t="shared" si="35" ref="E107:O107">SUM(E108:E110)</f>
        <v>114166.66666666667</v>
      </c>
      <c r="F107" s="41">
        <f t="shared" si="35"/>
        <v>114166.66666666667</v>
      </c>
      <c r="G107" s="41">
        <f t="shared" si="35"/>
        <v>114166.66666666667</v>
      </c>
      <c r="H107" s="41">
        <f t="shared" si="35"/>
        <v>114166.66666666667</v>
      </c>
      <c r="I107" s="41">
        <f t="shared" si="35"/>
        <v>114166.66666666667</v>
      </c>
      <c r="J107" s="41">
        <f t="shared" si="35"/>
        <v>114166.66666666667</v>
      </c>
      <c r="K107" s="41">
        <f t="shared" si="35"/>
        <v>114166.66666666667</v>
      </c>
      <c r="L107" s="41">
        <f t="shared" si="35"/>
        <v>114166.66666666667</v>
      </c>
      <c r="M107" s="41">
        <f t="shared" si="35"/>
        <v>114166.66666666667</v>
      </c>
      <c r="N107" s="41">
        <f t="shared" si="35"/>
        <v>114166.66666666667</v>
      </c>
      <c r="O107" s="41">
        <f t="shared" si="35"/>
        <v>114166.66666666667</v>
      </c>
      <c r="P107" s="39"/>
    </row>
    <row r="108" spans="1:16" s="77" customFormat="1" ht="15">
      <c r="A108" s="73" t="s">
        <v>32</v>
      </c>
      <c r="B108" s="69" t="s">
        <v>33</v>
      </c>
      <c r="C108" s="70">
        <f>'3 melléklet'!F13</f>
        <v>640000</v>
      </c>
      <c r="D108" s="45">
        <f t="shared" si="34"/>
        <v>53333.333333333336</v>
      </c>
      <c r="E108" s="45">
        <f t="shared" si="34"/>
        <v>53333.333333333336</v>
      </c>
      <c r="F108" s="45">
        <f t="shared" si="34"/>
        <v>53333.333333333336</v>
      </c>
      <c r="G108" s="45">
        <f t="shared" si="34"/>
        <v>53333.333333333336</v>
      </c>
      <c r="H108" s="45">
        <f t="shared" si="34"/>
        <v>53333.333333333336</v>
      </c>
      <c r="I108" s="45">
        <f t="shared" si="34"/>
        <v>53333.333333333336</v>
      </c>
      <c r="J108" s="45">
        <f t="shared" si="34"/>
        <v>53333.333333333336</v>
      </c>
      <c r="K108" s="45">
        <f t="shared" si="34"/>
        <v>53333.333333333336</v>
      </c>
      <c r="L108" s="45">
        <f t="shared" si="34"/>
        <v>53333.333333333336</v>
      </c>
      <c r="M108" s="45">
        <f t="shared" si="34"/>
        <v>53333.333333333336</v>
      </c>
      <c r="N108" s="45">
        <f t="shared" si="34"/>
        <v>53333.333333333336</v>
      </c>
      <c r="O108" s="45">
        <f t="shared" si="34"/>
        <v>53333.333333333336</v>
      </c>
      <c r="P108" s="39"/>
    </row>
    <row r="109" spans="1:16" s="77" customFormat="1" ht="15">
      <c r="A109" s="73" t="s">
        <v>35</v>
      </c>
      <c r="B109" s="69" t="s">
        <v>36</v>
      </c>
      <c r="C109" s="70">
        <f>'3 melléklet'!F14</f>
        <v>730000</v>
      </c>
      <c r="D109" s="45">
        <f t="shared" si="34"/>
        <v>60833.333333333336</v>
      </c>
      <c r="E109" s="45">
        <f t="shared" si="34"/>
        <v>60833.333333333336</v>
      </c>
      <c r="F109" s="45">
        <f t="shared" si="34"/>
        <v>60833.333333333336</v>
      </c>
      <c r="G109" s="45">
        <f t="shared" si="34"/>
        <v>60833.333333333336</v>
      </c>
      <c r="H109" s="45">
        <f t="shared" si="34"/>
        <v>60833.333333333336</v>
      </c>
      <c r="I109" s="45">
        <f t="shared" si="34"/>
        <v>60833.333333333336</v>
      </c>
      <c r="J109" s="45">
        <f t="shared" si="34"/>
        <v>60833.333333333336</v>
      </c>
      <c r="K109" s="45">
        <f t="shared" si="34"/>
        <v>60833.333333333336</v>
      </c>
      <c r="L109" s="45">
        <f t="shared" si="34"/>
        <v>60833.333333333336</v>
      </c>
      <c r="M109" s="45">
        <f t="shared" si="34"/>
        <v>60833.333333333336</v>
      </c>
      <c r="N109" s="45">
        <f t="shared" si="34"/>
        <v>60833.333333333336</v>
      </c>
      <c r="O109" s="45">
        <f t="shared" si="34"/>
        <v>60833.333333333336</v>
      </c>
      <c r="P109" s="39"/>
    </row>
    <row r="110" spans="1:16" s="77" customFormat="1" ht="15">
      <c r="A110" s="73" t="s">
        <v>39</v>
      </c>
      <c r="B110" s="69" t="s">
        <v>40</v>
      </c>
      <c r="C110" s="70">
        <f>'3 melléklet'!F15</f>
        <v>0</v>
      </c>
      <c r="D110" s="45">
        <f t="shared" si="34"/>
        <v>0</v>
      </c>
      <c r="E110" s="45">
        <f t="shared" si="34"/>
        <v>0</v>
      </c>
      <c r="F110" s="45">
        <f t="shared" si="34"/>
        <v>0</v>
      </c>
      <c r="G110" s="45">
        <f t="shared" si="34"/>
        <v>0</v>
      </c>
      <c r="H110" s="45">
        <f t="shared" si="34"/>
        <v>0</v>
      </c>
      <c r="I110" s="45">
        <f t="shared" si="34"/>
        <v>0</v>
      </c>
      <c r="J110" s="45">
        <f t="shared" si="34"/>
        <v>0</v>
      </c>
      <c r="K110" s="45">
        <f t="shared" si="34"/>
        <v>0</v>
      </c>
      <c r="L110" s="45">
        <f t="shared" si="34"/>
        <v>0</v>
      </c>
      <c r="M110" s="45">
        <f t="shared" si="34"/>
        <v>0</v>
      </c>
      <c r="N110" s="45">
        <f t="shared" si="34"/>
        <v>0</v>
      </c>
      <c r="O110" s="45">
        <f t="shared" si="34"/>
        <v>0</v>
      </c>
      <c r="P110" s="39"/>
    </row>
    <row r="111" spans="1:16" s="106" customFormat="1" ht="15">
      <c r="A111" s="53" t="s">
        <v>42</v>
      </c>
      <c r="B111" s="71" t="s">
        <v>43</v>
      </c>
      <c r="C111" s="72">
        <f>'3 melléklet'!F16</f>
        <v>0</v>
      </c>
      <c r="D111" s="41">
        <f t="shared" si="34"/>
        <v>0</v>
      </c>
      <c r="E111" s="41">
        <f t="shared" si="34"/>
        <v>0</v>
      </c>
      <c r="F111" s="41">
        <f t="shared" si="34"/>
        <v>0</v>
      </c>
      <c r="G111" s="41">
        <f t="shared" si="34"/>
        <v>0</v>
      </c>
      <c r="H111" s="41">
        <f t="shared" si="34"/>
        <v>0</v>
      </c>
      <c r="I111" s="41">
        <f t="shared" si="34"/>
        <v>0</v>
      </c>
      <c r="J111" s="41">
        <f t="shared" si="34"/>
        <v>0</v>
      </c>
      <c r="K111" s="41">
        <f t="shared" si="34"/>
        <v>0</v>
      </c>
      <c r="L111" s="41">
        <f t="shared" si="34"/>
        <v>0</v>
      </c>
      <c r="M111" s="41">
        <f t="shared" si="34"/>
        <v>0</v>
      </c>
      <c r="N111" s="41">
        <f t="shared" si="34"/>
        <v>0</v>
      </c>
      <c r="O111" s="41">
        <f t="shared" si="34"/>
        <v>0</v>
      </c>
      <c r="P111" s="39"/>
    </row>
    <row r="112" spans="1:16" s="77" customFormat="1" ht="15">
      <c r="A112" s="82"/>
      <c r="B112" s="71"/>
      <c r="C112" s="72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39"/>
    </row>
    <row r="113" spans="1:16" s="106" customFormat="1" ht="15">
      <c r="A113" s="74"/>
      <c r="B113" s="71" t="s">
        <v>64</v>
      </c>
      <c r="C113" s="72">
        <f>C111+C107+C101</f>
        <v>43681495.35</v>
      </c>
      <c r="D113" s="41">
        <f>D101+D107+D111</f>
        <v>3640124.6125</v>
      </c>
      <c r="E113" s="41">
        <f aca="true" t="shared" si="36" ref="E113:O113">E101+E107+E111</f>
        <v>3640124.6125</v>
      </c>
      <c r="F113" s="41">
        <f t="shared" si="36"/>
        <v>3640124.6125</v>
      </c>
      <c r="G113" s="41">
        <f t="shared" si="36"/>
        <v>3640124.6125</v>
      </c>
      <c r="H113" s="41">
        <f t="shared" si="36"/>
        <v>3640124.6125</v>
      </c>
      <c r="I113" s="41">
        <f t="shared" si="36"/>
        <v>3640124.6125</v>
      </c>
      <c r="J113" s="41">
        <f t="shared" si="36"/>
        <v>3640124.6125</v>
      </c>
      <c r="K113" s="41">
        <f t="shared" si="36"/>
        <v>3640124.6125</v>
      </c>
      <c r="L113" s="41">
        <f t="shared" si="36"/>
        <v>3640124.6125</v>
      </c>
      <c r="M113" s="41">
        <f t="shared" si="36"/>
        <v>3640124.6125</v>
      </c>
      <c r="N113" s="41">
        <f t="shared" si="36"/>
        <v>3640124.6125</v>
      </c>
      <c r="O113" s="41">
        <f t="shared" si="36"/>
        <v>3640124.6125</v>
      </c>
      <c r="P113" s="39"/>
    </row>
  </sheetData>
  <sheetProtection/>
  <mergeCells count="4">
    <mergeCell ref="B1:O1"/>
    <mergeCell ref="B3:O3"/>
    <mergeCell ref="A51:N51"/>
    <mergeCell ref="A83:N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3.00390625" style="0" customWidth="1"/>
    <col min="2" max="2" width="28.421875" style="0" customWidth="1"/>
    <col min="3" max="3" width="35.00390625" style="48" customWidth="1"/>
    <col min="4" max="4" width="3.140625" style="0" customWidth="1"/>
    <col min="5" max="5" width="32.00390625" style="0" customWidth="1"/>
    <col min="6" max="6" width="26.7109375" style="48" customWidth="1"/>
    <col min="8" max="8" width="11.140625" style="0" bestFit="1" customWidth="1"/>
  </cols>
  <sheetData>
    <row r="1" spans="1:6" ht="15">
      <c r="A1" s="290" t="s">
        <v>420</v>
      </c>
      <c r="B1" s="290"/>
      <c r="C1" s="290"/>
      <c r="D1" s="290"/>
      <c r="E1" s="290"/>
      <c r="F1" s="290"/>
    </row>
    <row r="3" spans="2:6" ht="32.25" customHeight="1">
      <c r="B3" s="280" t="s">
        <v>251</v>
      </c>
      <c r="C3" s="280"/>
      <c r="D3" s="280"/>
      <c r="E3" s="280"/>
      <c r="F3" s="280"/>
    </row>
    <row r="4" spans="2:6" ht="15">
      <c r="B4" s="49"/>
      <c r="C4" s="49"/>
      <c r="D4" s="49"/>
      <c r="E4" s="49"/>
      <c r="F4" s="49"/>
    </row>
    <row r="5" spans="2:6" ht="15">
      <c r="B5" s="50" t="s">
        <v>77</v>
      </c>
      <c r="C5" s="4"/>
      <c r="D5" s="51"/>
      <c r="E5" s="51"/>
      <c r="F5" s="4" t="s">
        <v>9</v>
      </c>
    </row>
    <row r="6" spans="1:6" s="55" customFormat="1" ht="9.75">
      <c r="A6" s="52"/>
      <c r="B6" s="53" t="s">
        <v>78</v>
      </c>
      <c r="C6" s="11" t="s">
        <v>6</v>
      </c>
      <c r="D6" s="54"/>
      <c r="E6" s="53" t="s">
        <v>79</v>
      </c>
      <c r="F6" s="11" t="s">
        <v>6</v>
      </c>
    </row>
    <row r="7" spans="1:6" ht="25.5">
      <c r="A7" s="14" t="s">
        <v>10</v>
      </c>
      <c r="B7" s="15" t="s">
        <v>11</v>
      </c>
      <c r="C7" s="256">
        <f>C91-C63-C35</f>
        <v>109396244.9375</v>
      </c>
      <c r="D7" s="9" t="s">
        <v>10</v>
      </c>
      <c r="E7" s="15" t="s">
        <v>12</v>
      </c>
      <c r="F7" s="16">
        <f aca="true" t="shared" si="0" ref="F7:F14">F91-F63-F35</f>
        <v>66552592.29750001</v>
      </c>
    </row>
    <row r="8" spans="1:6" ht="25.5">
      <c r="A8" s="17" t="s">
        <v>13</v>
      </c>
      <c r="B8" s="18" t="s">
        <v>14</v>
      </c>
      <c r="C8" s="257">
        <f aca="true" t="shared" si="1" ref="C8:C31">C92-C64-C36</f>
        <v>77038255</v>
      </c>
      <c r="D8" s="20" t="s">
        <v>13</v>
      </c>
      <c r="E8" s="21" t="s">
        <v>15</v>
      </c>
      <c r="F8" s="19">
        <f t="shared" si="0"/>
        <v>37966585</v>
      </c>
    </row>
    <row r="9" spans="1:6" ht="38.25">
      <c r="A9" s="17"/>
      <c r="B9" s="21" t="s">
        <v>16</v>
      </c>
      <c r="C9" s="257">
        <f t="shared" si="1"/>
        <v>19352357</v>
      </c>
      <c r="D9" s="20" t="s">
        <v>17</v>
      </c>
      <c r="E9" s="21" t="s">
        <v>1</v>
      </c>
      <c r="F9" s="19">
        <f t="shared" si="0"/>
        <v>5244014.0725</v>
      </c>
    </row>
    <row r="10" spans="1:6" ht="25.5">
      <c r="A10" s="17"/>
      <c r="B10" s="21" t="s">
        <v>92</v>
      </c>
      <c r="C10" s="257">
        <f t="shared" si="1"/>
        <v>28583180</v>
      </c>
      <c r="D10" s="20" t="s">
        <v>19</v>
      </c>
      <c r="E10" s="21" t="s">
        <v>20</v>
      </c>
      <c r="F10" s="19">
        <f t="shared" si="0"/>
        <v>3891364</v>
      </c>
    </row>
    <row r="11" spans="1:6" ht="51">
      <c r="A11" s="17"/>
      <c r="B11" s="21" t="s">
        <v>18</v>
      </c>
      <c r="C11" s="257">
        <f t="shared" si="1"/>
        <v>26060969</v>
      </c>
      <c r="D11" s="20" t="s">
        <v>22</v>
      </c>
      <c r="E11" s="21" t="s">
        <v>23</v>
      </c>
      <c r="F11" s="19">
        <f t="shared" si="0"/>
        <v>1228700</v>
      </c>
    </row>
    <row r="12" spans="1:6" ht="51">
      <c r="A12" s="17"/>
      <c r="B12" s="21" t="s">
        <v>21</v>
      </c>
      <c r="C12" s="257">
        <f t="shared" si="1"/>
        <v>1800000</v>
      </c>
      <c r="D12" s="20" t="s">
        <v>25</v>
      </c>
      <c r="E12" s="21" t="s">
        <v>26</v>
      </c>
      <c r="F12" s="19">
        <f t="shared" si="0"/>
        <v>4253624</v>
      </c>
    </row>
    <row r="13" spans="2:6" ht="15">
      <c r="B13" s="166" t="str">
        <f>'1 melléklet'!B12</f>
        <v>Elszámolásból fakadó pótlólagos támogatás</v>
      </c>
      <c r="C13" s="257">
        <f t="shared" si="1"/>
        <v>1241749</v>
      </c>
      <c r="D13" s="20" t="s">
        <v>28</v>
      </c>
      <c r="E13" s="21" t="s">
        <v>29</v>
      </c>
      <c r="F13" s="19">
        <f t="shared" si="0"/>
        <v>13968305.225000001</v>
      </c>
    </row>
    <row r="14" spans="1:6" ht="25.5">
      <c r="A14" s="17" t="s">
        <v>17</v>
      </c>
      <c r="B14" s="21" t="s">
        <v>24</v>
      </c>
      <c r="C14" s="257">
        <f t="shared" si="1"/>
        <v>0</v>
      </c>
      <c r="D14" s="9" t="s">
        <v>30</v>
      </c>
      <c r="E14" s="24" t="s">
        <v>31</v>
      </c>
      <c r="F14" s="16">
        <f t="shared" si="0"/>
        <v>5189108</v>
      </c>
    </row>
    <row r="15" spans="1:6" ht="38.25">
      <c r="A15" s="17" t="s">
        <v>19</v>
      </c>
      <c r="B15" s="21" t="s">
        <v>27</v>
      </c>
      <c r="C15" s="257">
        <f t="shared" si="1"/>
        <v>28912803.9375</v>
      </c>
      <c r="D15" s="20" t="s">
        <v>32</v>
      </c>
      <c r="E15" s="21" t="s">
        <v>33</v>
      </c>
      <c r="F15" s="19">
        <f aca="true" t="shared" si="2" ref="F15:F23">F99-F71-F40</f>
        <v>500000</v>
      </c>
    </row>
    <row r="16" spans="1:6" ht="15">
      <c r="A16" s="17" t="s">
        <v>22</v>
      </c>
      <c r="B16" s="21" t="s">
        <v>4</v>
      </c>
      <c r="C16" s="257">
        <f t="shared" si="1"/>
        <v>0</v>
      </c>
      <c r="D16" s="20" t="s">
        <v>35</v>
      </c>
      <c r="E16" s="21" t="s">
        <v>36</v>
      </c>
      <c r="F16" s="19">
        <f t="shared" si="2"/>
        <v>4689108</v>
      </c>
    </row>
    <row r="17" spans="1:6" ht="15">
      <c r="A17" s="17" t="s">
        <v>25</v>
      </c>
      <c r="B17" s="21" t="s">
        <v>3</v>
      </c>
      <c r="C17" s="257">
        <f t="shared" si="1"/>
        <v>3445186</v>
      </c>
      <c r="D17" s="20" t="s">
        <v>39</v>
      </c>
      <c r="E17" s="21" t="s">
        <v>40</v>
      </c>
      <c r="F17" s="19">
        <f t="shared" si="2"/>
        <v>0</v>
      </c>
    </row>
    <row r="18" spans="1:6" ht="25.5">
      <c r="A18" s="17" t="s">
        <v>28</v>
      </c>
      <c r="B18" s="21" t="s">
        <v>34</v>
      </c>
      <c r="C18" s="257">
        <f t="shared" si="1"/>
        <v>0</v>
      </c>
      <c r="D18" s="9" t="s">
        <v>42</v>
      </c>
      <c r="E18" s="24" t="s">
        <v>43</v>
      </c>
      <c r="F18" s="16">
        <f t="shared" si="2"/>
        <v>58320712.1</v>
      </c>
    </row>
    <row r="19" spans="1:6" ht="25.5">
      <c r="A19" s="17" t="s">
        <v>37</v>
      </c>
      <c r="B19" s="21" t="s">
        <v>38</v>
      </c>
      <c r="C19" s="257">
        <f t="shared" si="1"/>
        <v>0</v>
      </c>
      <c r="D19" s="20" t="s">
        <v>45</v>
      </c>
      <c r="E19" s="21" t="s">
        <v>46</v>
      </c>
      <c r="F19" s="19">
        <f t="shared" si="2"/>
        <v>0</v>
      </c>
    </row>
    <row r="20" spans="1:6" ht="38.25">
      <c r="A20" s="14" t="s">
        <v>30</v>
      </c>
      <c r="B20" s="24" t="s">
        <v>41</v>
      </c>
      <c r="C20" s="256">
        <f t="shared" si="1"/>
        <v>0</v>
      </c>
      <c r="D20" s="20" t="s">
        <v>48</v>
      </c>
      <c r="E20" s="21" t="s">
        <v>49</v>
      </c>
      <c r="F20" s="19">
        <f t="shared" si="2"/>
        <v>3031859</v>
      </c>
    </row>
    <row r="21" spans="1:6" ht="25.5">
      <c r="A21" s="17" t="s">
        <v>32</v>
      </c>
      <c r="B21" s="21" t="s">
        <v>44</v>
      </c>
      <c r="C21" s="257">
        <f>C105-C77-C49</f>
        <v>0</v>
      </c>
      <c r="D21" s="20" t="s">
        <v>51</v>
      </c>
      <c r="E21" s="21" t="s">
        <v>94</v>
      </c>
      <c r="F21" s="19">
        <f t="shared" si="2"/>
        <v>55027226.1</v>
      </c>
    </row>
    <row r="22" spans="1:6" ht="38.25">
      <c r="A22" s="17" t="s">
        <v>35</v>
      </c>
      <c r="B22" s="21" t="s">
        <v>47</v>
      </c>
      <c r="C22" s="257">
        <f t="shared" si="1"/>
        <v>0</v>
      </c>
      <c r="D22" s="20" t="s">
        <v>54</v>
      </c>
      <c r="E22" s="21" t="s">
        <v>52</v>
      </c>
      <c r="F22" s="19">
        <f t="shared" si="2"/>
        <v>0</v>
      </c>
    </row>
    <row r="23" spans="1:6" ht="25.5">
      <c r="A23" s="17" t="s">
        <v>39</v>
      </c>
      <c r="B23" s="21" t="s">
        <v>50</v>
      </c>
      <c r="C23" s="257">
        <f t="shared" si="1"/>
        <v>0</v>
      </c>
      <c r="D23" s="20" t="s">
        <v>93</v>
      </c>
      <c r="E23" s="21" t="s">
        <v>95</v>
      </c>
      <c r="F23" s="19">
        <f t="shared" si="2"/>
        <v>261627</v>
      </c>
    </row>
    <row r="24" spans="1:6" s="55" customFormat="1" ht="38.25">
      <c r="A24" s="17" t="s">
        <v>53</v>
      </c>
      <c r="B24" s="21" t="s">
        <v>83</v>
      </c>
      <c r="C24" s="257">
        <f t="shared" si="1"/>
        <v>0</v>
      </c>
      <c r="D24" s="20"/>
      <c r="E24" s="24"/>
      <c r="F24" s="19">
        <f>F108-F79-F49</f>
        <v>0</v>
      </c>
    </row>
    <row r="25" spans="1:6" ht="25.5">
      <c r="A25" s="17" t="s">
        <v>56</v>
      </c>
      <c r="B25" s="21" t="s">
        <v>57</v>
      </c>
      <c r="C25" s="257">
        <f t="shared" si="1"/>
        <v>0</v>
      </c>
      <c r="D25" s="61"/>
      <c r="E25" s="61"/>
      <c r="F25" s="16">
        <f>F109-F80-F50</f>
        <v>0</v>
      </c>
    </row>
    <row r="26" spans="1:6" ht="25.5">
      <c r="A26" s="9" t="s">
        <v>42</v>
      </c>
      <c r="B26" s="24" t="s">
        <v>58</v>
      </c>
      <c r="C26" s="256">
        <f t="shared" si="1"/>
        <v>18381022</v>
      </c>
      <c r="D26" s="61"/>
      <c r="E26" s="61"/>
      <c r="F26" s="83"/>
    </row>
    <row r="27" spans="1:6" ht="15">
      <c r="A27" s="20" t="s">
        <v>45</v>
      </c>
      <c r="B27" s="21" t="s">
        <v>59</v>
      </c>
      <c r="C27" s="257">
        <f t="shared" si="1"/>
        <v>18381022</v>
      </c>
      <c r="D27" s="27"/>
      <c r="E27" s="24"/>
      <c r="F27" s="25"/>
    </row>
    <row r="28" spans="1:6" ht="15">
      <c r="A28" s="20" t="s">
        <v>48</v>
      </c>
      <c r="B28" s="28" t="s">
        <v>60</v>
      </c>
      <c r="C28" s="257">
        <f t="shared" si="1"/>
        <v>0</v>
      </c>
      <c r="D28" s="27"/>
      <c r="E28" s="28"/>
      <c r="F28" s="28"/>
    </row>
    <row r="29" spans="1:6" ht="15">
      <c r="A29" s="20" t="s">
        <v>51</v>
      </c>
      <c r="B29" s="28" t="s">
        <v>61</v>
      </c>
      <c r="C29" s="257">
        <f t="shared" si="1"/>
        <v>0</v>
      </c>
      <c r="D29" s="27"/>
      <c r="E29" s="28"/>
      <c r="F29" s="28"/>
    </row>
    <row r="30" spans="1:6" ht="15">
      <c r="A30" s="29" t="s">
        <v>54</v>
      </c>
      <c r="B30" s="21" t="s">
        <v>62</v>
      </c>
      <c r="C30" s="257">
        <f t="shared" si="1"/>
        <v>0</v>
      </c>
      <c r="D30" s="30"/>
      <c r="E30" s="24"/>
      <c r="F30" s="25"/>
    </row>
    <row r="31" spans="2:6" ht="15">
      <c r="B31" s="24" t="s">
        <v>63</v>
      </c>
      <c r="C31" s="256">
        <f t="shared" si="1"/>
        <v>127777266.9375</v>
      </c>
      <c r="D31" s="29"/>
      <c r="E31" s="24" t="s">
        <v>64</v>
      </c>
      <c r="F31" s="25">
        <f>F18+F14+F7</f>
        <v>130062412.39750001</v>
      </c>
    </row>
    <row r="32" spans="1:6" ht="15">
      <c r="A32" s="56"/>
      <c r="B32" s="57"/>
      <c r="C32" s="58"/>
      <c r="D32" s="59"/>
      <c r="E32" s="57"/>
      <c r="F32" s="58"/>
    </row>
    <row r="33" ht="15">
      <c r="B33" s="60" t="s">
        <v>80</v>
      </c>
    </row>
    <row r="34" spans="1:7" ht="15">
      <c r="A34" s="52"/>
      <c r="B34" s="53" t="s">
        <v>78</v>
      </c>
      <c r="C34" s="11" t="s">
        <v>6</v>
      </c>
      <c r="D34" s="54"/>
      <c r="E34" s="53" t="s">
        <v>79</v>
      </c>
      <c r="F34" s="11" t="s">
        <v>6</v>
      </c>
      <c r="G34" s="55"/>
    </row>
    <row r="35" spans="1:6" ht="25.5">
      <c r="A35" s="14" t="s">
        <v>10</v>
      </c>
      <c r="B35" s="15" t="s">
        <v>11</v>
      </c>
      <c r="C35" s="25">
        <f>C43+C44+C45+C46+C47</f>
        <v>12077119</v>
      </c>
      <c r="D35" s="9" t="s">
        <v>10</v>
      </c>
      <c r="E35" s="15" t="s">
        <v>12</v>
      </c>
      <c r="F35" s="25">
        <f>SUM(F36:F41)</f>
        <v>9791973.54</v>
      </c>
    </row>
    <row r="36" spans="1:6" ht="25.5">
      <c r="A36" s="17" t="s">
        <v>13</v>
      </c>
      <c r="B36" s="18" t="s">
        <v>14</v>
      </c>
      <c r="C36" s="22">
        <v>0</v>
      </c>
      <c r="D36" s="20" t="s">
        <v>13</v>
      </c>
      <c r="E36" s="21" t="s">
        <v>15</v>
      </c>
      <c r="F36" s="22">
        <f>1608750+180500</f>
        <v>1789250</v>
      </c>
    </row>
    <row r="37" spans="1:6" ht="38.25">
      <c r="A37" s="17"/>
      <c r="B37" s="21" t="s">
        <v>16</v>
      </c>
      <c r="C37" s="22"/>
      <c r="D37" s="20" t="s">
        <v>17</v>
      </c>
      <c r="E37" s="21" t="s">
        <v>1</v>
      </c>
      <c r="F37" s="22">
        <f>313706+0.4*'3 melléklet'!F8+35198</f>
        <v>1332524.54</v>
      </c>
    </row>
    <row r="38" spans="1:6" ht="25.5">
      <c r="A38" s="17"/>
      <c r="B38" s="21" t="s">
        <v>92</v>
      </c>
      <c r="C38" s="22">
        <v>0</v>
      </c>
      <c r="D38" s="20" t="s">
        <v>19</v>
      </c>
      <c r="E38" s="21" t="s">
        <v>20</v>
      </c>
      <c r="F38" s="22">
        <f>Segédlet!F37+Segédlet!F36+Segédlet!F38</f>
        <v>6670199</v>
      </c>
    </row>
    <row r="39" spans="1:6" ht="51">
      <c r="A39" s="17"/>
      <c r="B39" s="21" t="s">
        <v>18</v>
      </c>
      <c r="C39" s="22">
        <v>0</v>
      </c>
      <c r="D39" s="20" t="s">
        <v>22</v>
      </c>
      <c r="E39" s="21" t="s">
        <v>23</v>
      </c>
      <c r="F39" s="22">
        <v>0</v>
      </c>
    </row>
    <row r="40" spans="1:6" ht="51">
      <c r="A40" s="17"/>
      <c r="B40" s="21" t="s">
        <v>21</v>
      </c>
      <c r="C40" s="22">
        <v>0</v>
      </c>
      <c r="D40" s="20" t="s">
        <v>25</v>
      </c>
      <c r="E40" s="21" t="s">
        <v>26</v>
      </c>
      <c r="F40" s="22">
        <v>0</v>
      </c>
    </row>
    <row r="41" spans="2:6" ht="15">
      <c r="B41" s="166" t="str">
        <f>'1 melléklet'!B12</f>
        <v>Elszámolásból fakadó pótlólagos támogatás</v>
      </c>
      <c r="C41" s="22">
        <v>0</v>
      </c>
      <c r="D41" s="20" t="s">
        <v>28</v>
      </c>
      <c r="E41" s="21" t="s">
        <v>29</v>
      </c>
      <c r="F41" s="22">
        <v>0</v>
      </c>
    </row>
    <row r="42" spans="1:6" ht="25.5">
      <c r="A42" s="17" t="s">
        <v>17</v>
      </c>
      <c r="B42" s="21" t="s">
        <v>24</v>
      </c>
      <c r="C42" s="22">
        <v>0</v>
      </c>
      <c r="D42" s="9" t="s">
        <v>30</v>
      </c>
      <c r="E42" s="24" t="s">
        <v>31</v>
      </c>
      <c r="F42" s="25">
        <f>SUM(F43:F45)</f>
        <v>0</v>
      </c>
    </row>
    <row r="43" spans="1:6" ht="38.25">
      <c r="A43" s="17" t="s">
        <v>19</v>
      </c>
      <c r="B43" s="21" t="s">
        <v>27</v>
      </c>
      <c r="C43" s="22">
        <v>0</v>
      </c>
      <c r="D43" s="20" t="s">
        <v>32</v>
      </c>
      <c r="E43" s="21" t="s">
        <v>33</v>
      </c>
      <c r="F43" s="22">
        <v>0</v>
      </c>
    </row>
    <row r="44" spans="1:6" ht="15">
      <c r="A44" s="17" t="s">
        <v>22</v>
      </c>
      <c r="B44" s="21" t="s">
        <v>4</v>
      </c>
      <c r="C44" s="22">
        <v>0</v>
      </c>
      <c r="D44" s="20" t="s">
        <v>35</v>
      </c>
      <c r="E44" s="21" t="s">
        <v>36</v>
      </c>
      <c r="F44" s="22">
        <v>0</v>
      </c>
    </row>
    <row r="45" spans="1:6" ht="15">
      <c r="A45" s="17" t="s">
        <v>25</v>
      </c>
      <c r="B45" s="21" t="s">
        <v>3</v>
      </c>
      <c r="C45" s="22">
        <f>Segédlet!B25+Segédlet!B26+Segédlet!B28+Segédlet!B29</f>
        <v>12077119</v>
      </c>
      <c r="D45" s="20" t="s">
        <v>39</v>
      </c>
      <c r="E45" s="21" t="s">
        <v>40</v>
      </c>
      <c r="F45" s="22">
        <v>0</v>
      </c>
    </row>
    <row r="46" spans="1:6" ht="25.5">
      <c r="A46" s="17" t="s">
        <v>28</v>
      </c>
      <c r="B46" s="21" t="s">
        <v>34</v>
      </c>
      <c r="C46" s="22">
        <v>0</v>
      </c>
      <c r="D46" s="9" t="s">
        <v>42</v>
      </c>
      <c r="E46" s="24" t="s">
        <v>43</v>
      </c>
      <c r="F46" s="25">
        <f>SUM(F47:F50)</f>
        <v>0</v>
      </c>
    </row>
    <row r="47" spans="1:6" ht="25.5">
      <c r="A47" s="17" t="s">
        <v>37</v>
      </c>
      <c r="B47" s="21" t="s">
        <v>38</v>
      </c>
      <c r="C47" s="22">
        <v>0</v>
      </c>
      <c r="D47" s="20" t="s">
        <v>45</v>
      </c>
      <c r="E47" s="21" t="s">
        <v>46</v>
      </c>
      <c r="F47" s="22">
        <v>0</v>
      </c>
    </row>
    <row r="48" spans="1:6" ht="38.25">
      <c r="A48" s="14" t="s">
        <v>30</v>
      </c>
      <c r="B48" s="24" t="s">
        <v>41</v>
      </c>
      <c r="C48" s="25">
        <f>C49+C50+C51+C52+C53</f>
        <v>0</v>
      </c>
      <c r="D48" s="20" t="s">
        <v>48</v>
      </c>
      <c r="E48" s="21" t="s">
        <v>49</v>
      </c>
      <c r="F48" s="22">
        <v>0</v>
      </c>
    </row>
    <row r="49" spans="1:6" ht="25.5">
      <c r="A49" s="17" t="s">
        <v>32</v>
      </c>
      <c r="B49" s="21" t="s">
        <v>44</v>
      </c>
      <c r="C49" s="22">
        <v>0</v>
      </c>
      <c r="D49" s="20" t="s">
        <v>51</v>
      </c>
      <c r="E49" s="21" t="s">
        <v>94</v>
      </c>
      <c r="F49" s="22">
        <v>0</v>
      </c>
    </row>
    <row r="50" spans="1:6" ht="38.25">
      <c r="A50" s="17" t="s">
        <v>35</v>
      </c>
      <c r="B50" s="21" t="s">
        <v>47</v>
      </c>
      <c r="C50" s="22">
        <v>0</v>
      </c>
      <c r="D50" s="20" t="s">
        <v>54</v>
      </c>
      <c r="E50" s="21" t="s">
        <v>52</v>
      </c>
      <c r="F50" s="22">
        <v>0</v>
      </c>
    </row>
    <row r="51" spans="1:6" ht="25.5">
      <c r="A51" s="17" t="s">
        <v>39</v>
      </c>
      <c r="B51" s="21" t="s">
        <v>50</v>
      </c>
      <c r="C51" s="22">
        <v>0</v>
      </c>
      <c r="D51" s="20" t="s">
        <v>93</v>
      </c>
      <c r="E51" s="21" t="s">
        <v>95</v>
      </c>
      <c r="F51" s="22">
        <v>0</v>
      </c>
    </row>
    <row r="52" spans="1:6" ht="38.25">
      <c r="A52" s="17" t="s">
        <v>53</v>
      </c>
      <c r="B52" s="21" t="s">
        <v>83</v>
      </c>
      <c r="C52" s="22">
        <v>0</v>
      </c>
      <c r="D52" s="20"/>
      <c r="E52" s="21"/>
      <c r="F52" s="22"/>
    </row>
    <row r="53" spans="1:6" ht="25.5">
      <c r="A53" s="17" t="s">
        <v>56</v>
      </c>
      <c r="B53" s="21" t="s">
        <v>57</v>
      </c>
      <c r="C53" s="22">
        <v>0</v>
      </c>
      <c r="D53" s="20"/>
      <c r="E53" s="21"/>
      <c r="F53" s="22"/>
    </row>
    <row r="54" spans="1:6" ht="25.5">
      <c r="A54" s="9" t="s">
        <v>42</v>
      </c>
      <c r="B54" s="24" t="s">
        <v>58</v>
      </c>
      <c r="C54" s="25">
        <f>SUM(C55:C58)</f>
        <v>0</v>
      </c>
      <c r="D54" s="20"/>
      <c r="E54" s="21"/>
      <c r="F54" s="22"/>
    </row>
    <row r="55" spans="1:6" ht="15">
      <c r="A55" s="20" t="s">
        <v>45</v>
      </c>
      <c r="B55" s="21" t="s">
        <v>59</v>
      </c>
      <c r="C55" s="22">
        <v>0</v>
      </c>
      <c r="D55" s="20"/>
      <c r="E55" s="24"/>
      <c r="F55" s="25"/>
    </row>
    <row r="56" spans="1:6" ht="15">
      <c r="A56" s="20" t="s">
        <v>48</v>
      </c>
      <c r="B56" s="28" t="s">
        <v>60</v>
      </c>
      <c r="C56" s="22">
        <v>0</v>
      </c>
      <c r="D56" s="27"/>
      <c r="E56" s="28"/>
      <c r="F56" s="28"/>
    </row>
    <row r="57" spans="1:6" ht="15">
      <c r="A57" s="20" t="s">
        <v>51</v>
      </c>
      <c r="B57" s="28" t="s">
        <v>61</v>
      </c>
      <c r="C57" s="22">
        <v>0</v>
      </c>
      <c r="D57" s="27"/>
      <c r="E57" s="28"/>
      <c r="F57" s="28"/>
    </row>
    <row r="58" spans="1:6" ht="15">
      <c r="A58" s="29" t="s">
        <v>54</v>
      </c>
      <c r="B58" s="21" t="s">
        <v>62</v>
      </c>
      <c r="C58" s="22">
        <v>0</v>
      </c>
      <c r="D58" s="30"/>
      <c r="E58" s="24"/>
      <c r="F58" s="25"/>
    </row>
    <row r="59" spans="1:6" ht="15">
      <c r="A59" s="61"/>
      <c r="B59" s="24" t="s">
        <v>63</v>
      </c>
      <c r="C59" s="25">
        <f>C54+C48+C35</f>
        <v>12077119</v>
      </c>
      <c r="D59" s="29"/>
      <c r="E59" s="24" t="s">
        <v>64</v>
      </c>
      <c r="F59" s="25">
        <f>F46+F42+F35</f>
        <v>9791973.54</v>
      </c>
    </row>
    <row r="61" ht="15">
      <c r="B61" s="60" t="s">
        <v>81</v>
      </c>
    </row>
    <row r="62" spans="1:6" ht="15">
      <c r="A62" s="52"/>
      <c r="B62" s="53" t="s">
        <v>78</v>
      </c>
      <c r="C62" s="11" t="s">
        <v>6</v>
      </c>
      <c r="D62" s="54"/>
      <c r="E62" s="53" t="s">
        <v>79</v>
      </c>
      <c r="F62" s="11" t="s">
        <v>6</v>
      </c>
    </row>
    <row r="63" spans="1:7" ht="25.5">
      <c r="A63" s="14" t="s">
        <v>10</v>
      </c>
      <c r="B63" s="15" t="s">
        <v>11</v>
      </c>
      <c r="C63" s="25">
        <f>C64+C71+C72+C73+C74+C75</f>
        <v>13714021</v>
      </c>
      <c r="D63" s="9" t="s">
        <v>10</v>
      </c>
      <c r="E63" s="15" t="s">
        <v>12</v>
      </c>
      <c r="F63" s="25">
        <f>SUM(F64:F69)</f>
        <v>13714021</v>
      </c>
      <c r="G63" s="55"/>
    </row>
    <row r="64" spans="1:6" ht="25.5">
      <c r="A64" s="17" t="s">
        <v>13</v>
      </c>
      <c r="B64" s="18" t="s">
        <v>14</v>
      </c>
      <c r="C64" s="22">
        <f>SUM(C65:C68)</f>
        <v>0</v>
      </c>
      <c r="D64" s="20" t="s">
        <v>13</v>
      </c>
      <c r="E64" s="21" t="s">
        <v>15</v>
      </c>
      <c r="F64" s="22">
        <v>0</v>
      </c>
    </row>
    <row r="65" spans="1:6" ht="38.25">
      <c r="A65" s="17"/>
      <c r="B65" s="21" t="s">
        <v>16</v>
      </c>
      <c r="C65" s="22">
        <v>0</v>
      </c>
      <c r="D65" s="20" t="s">
        <v>17</v>
      </c>
      <c r="E65" s="21" t="s">
        <v>1</v>
      </c>
      <c r="F65" s="22">
        <v>0</v>
      </c>
    </row>
    <row r="66" spans="1:6" ht="25.5">
      <c r="A66" s="17"/>
      <c r="B66" s="21" t="s">
        <v>92</v>
      </c>
      <c r="C66" s="22">
        <v>0</v>
      </c>
      <c r="D66" s="20" t="s">
        <v>19</v>
      </c>
      <c r="E66" s="21" t="s">
        <v>20</v>
      </c>
      <c r="F66" s="22">
        <f>C72</f>
        <v>13714021</v>
      </c>
    </row>
    <row r="67" spans="1:6" ht="51">
      <c r="A67" s="17"/>
      <c r="B67" s="21" t="s">
        <v>18</v>
      </c>
      <c r="C67" s="22">
        <v>0</v>
      </c>
      <c r="D67" s="20" t="s">
        <v>22</v>
      </c>
      <c r="E67" s="21" t="s">
        <v>23</v>
      </c>
      <c r="F67" s="22">
        <v>0</v>
      </c>
    </row>
    <row r="68" spans="1:6" ht="51">
      <c r="A68" s="17"/>
      <c r="B68" s="21" t="s">
        <v>21</v>
      </c>
      <c r="C68" s="22">
        <v>0</v>
      </c>
      <c r="D68" s="20" t="s">
        <v>25</v>
      </c>
      <c r="E68" s="21" t="s">
        <v>26</v>
      </c>
      <c r="F68" s="22">
        <v>0</v>
      </c>
    </row>
    <row r="69" spans="2:6" ht="15">
      <c r="B69" s="166" t="str">
        <f>'1 melléklet'!B12</f>
        <v>Elszámolásból fakadó pótlólagos támogatás</v>
      </c>
      <c r="C69" s="22">
        <v>0</v>
      </c>
      <c r="D69" s="20" t="s">
        <v>28</v>
      </c>
      <c r="E69" s="21" t="s">
        <v>29</v>
      </c>
      <c r="F69" s="22">
        <v>0</v>
      </c>
    </row>
    <row r="70" spans="1:6" ht="25.5">
      <c r="A70" s="17" t="s">
        <v>17</v>
      </c>
      <c r="B70" s="21" t="s">
        <v>24</v>
      </c>
      <c r="C70" s="22">
        <v>0</v>
      </c>
      <c r="D70" s="9" t="s">
        <v>30</v>
      </c>
      <c r="E70" s="24" t="s">
        <v>31</v>
      </c>
      <c r="F70" s="25">
        <f>SUM(F71:F73)</f>
        <v>0</v>
      </c>
    </row>
    <row r="71" spans="1:6" ht="38.25">
      <c r="A71" s="17" t="s">
        <v>19</v>
      </c>
      <c r="B71" s="21" t="s">
        <v>27</v>
      </c>
      <c r="C71" s="22">
        <v>0</v>
      </c>
      <c r="D71" s="20" t="s">
        <v>32</v>
      </c>
      <c r="E71" s="21" t="s">
        <v>33</v>
      </c>
      <c r="F71" s="22">
        <v>0</v>
      </c>
    </row>
    <row r="72" spans="1:6" ht="15">
      <c r="A72" s="17" t="s">
        <v>22</v>
      </c>
      <c r="B72" s="21" t="s">
        <v>4</v>
      </c>
      <c r="C72" s="22">
        <f>'1 melléklet'!C15</f>
        <v>13714021</v>
      </c>
      <c r="D72" s="20" t="s">
        <v>35</v>
      </c>
      <c r="E72" s="21" t="s">
        <v>36</v>
      </c>
      <c r="F72" s="22">
        <v>0</v>
      </c>
    </row>
    <row r="73" spans="1:6" ht="15">
      <c r="A73" s="17" t="s">
        <v>25</v>
      </c>
      <c r="B73" s="21" t="s">
        <v>3</v>
      </c>
      <c r="C73" s="22">
        <v>0</v>
      </c>
      <c r="D73" s="20" t="s">
        <v>39</v>
      </c>
      <c r="E73" s="21" t="s">
        <v>40</v>
      </c>
      <c r="F73" s="22">
        <v>0</v>
      </c>
    </row>
    <row r="74" spans="1:6" ht="25.5">
      <c r="A74" s="17" t="s">
        <v>28</v>
      </c>
      <c r="B74" s="21" t="s">
        <v>34</v>
      </c>
      <c r="C74" s="22">
        <v>0</v>
      </c>
      <c r="D74" s="9" t="s">
        <v>42</v>
      </c>
      <c r="E74" s="24" t="s">
        <v>43</v>
      </c>
      <c r="F74" s="25">
        <f>SUM(F75:F78)</f>
        <v>0</v>
      </c>
    </row>
    <row r="75" spans="1:6" ht="25.5">
      <c r="A75" s="17" t="s">
        <v>37</v>
      </c>
      <c r="B75" s="21" t="s">
        <v>38</v>
      </c>
      <c r="C75" s="22">
        <v>0</v>
      </c>
      <c r="D75" s="20" t="s">
        <v>45</v>
      </c>
      <c r="E75" s="21" t="s">
        <v>46</v>
      </c>
      <c r="F75" s="22">
        <v>0</v>
      </c>
    </row>
    <row r="76" spans="1:6" ht="38.25">
      <c r="A76" s="14" t="s">
        <v>30</v>
      </c>
      <c r="B76" s="24" t="s">
        <v>41</v>
      </c>
      <c r="C76" s="25">
        <f>C77+C78+C79+C80+C81</f>
        <v>0</v>
      </c>
      <c r="D76" s="20" t="s">
        <v>48</v>
      </c>
      <c r="E76" s="21" t="s">
        <v>49</v>
      </c>
      <c r="F76" s="22">
        <v>0</v>
      </c>
    </row>
    <row r="77" spans="1:6" ht="25.5">
      <c r="A77" s="17" t="s">
        <v>32</v>
      </c>
      <c r="B77" s="21" t="s">
        <v>44</v>
      </c>
      <c r="C77" s="22">
        <v>0</v>
      </c>
      <c r="D77" s="20" t="s">
        <v>51</v>
      </c>
      <c r="E77" s="21" t="s">
        <v>94</v>
      </c>
      <c r="F77" s="22">
        <v>0</v>
      </c>
    </row>
    <row r="78" spans="1:6" ht="38.25">
      <c r="A78" s="17" t="s">
        <v>35</v>
      </c>
      <c r="B78" s="21" t="s">
        <v>47</v>
      </c>
      <c r="C78" s="22">
        <v>0</v>
      </c>
      <c r="D78" s="20" t="s">
        <v>54</v>
      </c>
      <c r="E78" s="21" t="s">
        <v>52</v>
      </c>
      <c r="F78" s="22">
        <v>0</v>
      </c>
    </row>
    <row r="79" spans="1:6" ht="25.5">
      <c r="A79" s="17" t="s">
        <v>39</v>
      </c>
      <c r="B79" s="21" t="s">
        <v>50</v>
      </c>
      <c r="C79" s="22">
        <v>0</v>
      </c>
      <c r="D79" s="20" t="s">
        <v>93</v>
      </c>
      <c r="E79" s="21" t="s">
        <v>95</v>
      </c>
      <c r="F79" s="22">
        <v>0</v>
      </c>
    </row>
    <row r="80" spans="1:6" ht="38.25">
      <c r="A80" s="17" t="s">
        <v>53</v>
      </c>
      <c r="B80" s="21" t="s">
        <v>83</v>
      </c>
      <c r="C80" s="22">
        <v>0</v>
      </c>
      <c r="D80" s="20"/>
      <c r="E80" s="24"/>
      <c r="F80" s="25"/>
    </row>
    <row r="81" spans="1:6" ht="25.5">
      <c r="A81" s="17" t="s">
        <v>56</v>
      </c>
      <c r="B81" s="21" t="s">
        <v>57</v>
      </c>
      <c r="C81" s="22">
        <v>0</v>
      </c>
      <c r="D81" s="20"/>
      <c r="E81" s="24"/>
      <c r="F81" s="25"/>
    </row>
    <row r="82" spans="1:6" ht="25.5">
      <c r="A82" s="9" t="s">
        <v>42</v>
      </c>
      <c r="B82" s="24" t="s">
        <v>58</v>
      </c>
      <c r="C82" s="25">
        <f>SUM(C83:C86)</f>
        <v>0</v>
      </c>
      <c r="D82" s="61"/>
      <c r="E82" s="61"/>
      <c r="F82" s="83"/>
    </row>
    <row r="83" spans="1:6" ht="15">
      <c r="A83" s="20" t="s">
        <v>45</v>
      </c>
      <c r="B83" s="21" t="s">
        <v>59</v>
      </c>
      <c r="C83" s="22">
        <v>0</v>
      </c>
      <c r="D83" s="27"/>
      <c r="E83" s="24"/>
      <c r="F83" s="25"/>
    </row>
    <row r="84" spans="1:6" ht="15">
      <c r="A84" s="20" t="s">
        <v>48</v>
      </c>
      <c r="B84" s="28" t="s">
        <v>60</v>
      </c>
      <c r="C84" s="22">
        <v>0</v>
      </c>
      <c r="D84" s="27"/>
      <c r="E84" s="28"/>
      <c r="F84" s="28"/>
    </row>
    <row r="85" spans="1:6" ht="15">
      <c r="A85" s="20" t="s">
        <v>51</v>
      </c>
      <c r="B85" s="28" t="s">
        <v>61</v>
      </c>
      <c r="C85" s="22">
        <v>0</v>
      </c>
      <c r="D85" s="27"/>
      <c r="E85" s="28"/>
      <c r="F85" s="28"/>
    </row>
    <row r="86" spans="1:6" ht="15">
      <c r="A86" s="29" t="s">
        <v>54</v>
      </c>
      <c r="B86" s="21" t="s">
        <v>62</v>
      </c>
      <c r="C86" s="22">
        <v>0</v>
      </c>
      <c r="D86" s="30"/>
      <c r="E86" s="24"/>
      <c r="F86" s="25"/>
    </row>
    <row r="87" spans="1:6" ht="15">
      <c r="A87" s="61"/>
      <c r="B87" s="24" t="s">
        <v>63</v>
      </c>
      <c r="C87" s="25">
        <f>C82+C76+C63</f>
        <v>13714021</v>
      </c>
      <c r="D87" s="29"/>
      <c r="E87" s="24" t="s">
        <v>64</v>
      </c>
      <c r="F87" s="25">
        <f>F74+F70+F63</f>
        <v>13714021</v>
      </c>
    </row>
    <row r="89" ht="15">
      <c r="B89" s="60" t="s">
        <v>82</v>
      </c>
    </row>
    <row r="90" spans="1:6" ht="15">
      <c r="A90" s="52"/>
      <c r="B90" s="53" t="s">
        <v>78</v>
      </c>
      <c r="C90" s="11" t="s">
        <v>6</v>
      </c>
      <c r="D90" s="54"/>
      <c r="E90" s="53" t="s">
        <v>79</v>
      </c>
      <c r="F90" s="11" t="s">
        <v>6</v>
      </c>
    </row>
    <row r="91" spans="1:7" ht="25.5">
      <c r="A91" s="14" t="s">
        <v>10</v>
      </c>
      <c r="B91" s="15" t="s">
        <v>11</v>
      </c>
      <c r="C91" s="16">
        <f>'1 melléklet'!C6</f>
        <v>135187384.9375</v>
      </c>
      <c r="D91" s="9" t="s">
        <v>10</v>
      </c>
      <c r="E91" s="15" t="s">
        <v>12</v>
      </c>
      <c r="F91" s="16">
        <f>'1 melléklet'!F6</f>
        <v>90058586.8375</v>
      </c>
      <c r="G91" s="55"/>
    </row>
    <row r="92" spans="1:6" ht="25.5">
      <c r="A92" s="17" t="s">
        <v>13</v>
      </c>
      <c r="B92" s="18" t="s">
        <v>14</v>
      </c>
      <c r="C92" s="19">
        <f>'1 melléklet'!C7</f>
        <v>77038255</v>
      </c>
      <c r="D92" s="20" t="s">
        <v>13</v>
      </c>
      <c r="E92" s="21" t="s">
        <v>15</v>
      </c>
      <c r="F92" s="19">
        <f>'1 melléklet'!F7</f>
        <v>39755835</v>
      </c>
    </row>
    <row r="93" spans="1:6" ht="38.25">
      <c r="A93" s="17"/>
      <c r="B93" s="21" t="s">
        <v>16</v>
      </c>
      <c r="C93" s="19">
        <f>'1 melléklet'!C8</f>
        <v>19352357</v>
      </c>
      <c r="D93" s="20" t="s">
        <v>17</v>
      </c>
      <c r="E93" s="21" t="s">
        <v>1</v>
      </c>
      <c r="F93" s="19">
        <f>'1 melléklet'!F8</f>
        <v>6576538.6125</v>
      </c>
    </row>
    <row r="94" spans="1:6" ht="25.5">
      <c r="A94" s="17"/>
      <c r="B94" s="21" t="s">
        <v>92</v>
      </c>
      <c r="C94" s="19">
        <f>'1 melléklet'!C9</f>
        <v>28583180</v>
      </c>
      <c r="D94" s="20" t="s">
        <v>19</v>
      </c>
      <c r="E94" s="21" t="s">
        <v>20</v>
      </c>
      <c r="F94" s="19">
        <f>'1 melléklet'!F9</f>
        <v>24275584</v>
      </c>
    </row>
    <row r="95" spans="1:6" ht="51">
      <c r="A95" s="17"/>
      <c r="B95" s="21" t="s">
        <v>18</v>
      </c>
      <c r="C95" s="19">
        <f>'1 melléklet'!C10</f>
        <v>26060969</v>
      </c>
      <c r="D95" s="20" t="s">
        <v>22</v>
      </c>
      <c r="E95" s="21" t="s">
        <v>23</v>
      </c>
      <c r="F95" s="19">
        <f>'1 melléklet'!F10</f>
        <v>1228700</v>
      </c>
    </row>
    <row r="96" spans="1:6" ht="51">
      <c r="A96" s="17"/>
      <c r="B96" s="21" t="s">
        <v>21</v>
      </c>
      <c r="C96" s="19">
        <f>'1 melléklet'!C11</f>
        <v>1800000</v>
      </c>
      <c r="D96" s="20" t="s">
        <v>25</v>
      </c>
      <c r="E96" s="21" t="s">
        <v>26</v>
      </c>
      <c r="F96" s="19">
        <f>'1 melléklet'!F11</f>
        <v>4253624</v>
      </c>
    </row>
    <row r="97" spans="2:6" ht="15">
      <c r="B97" s="166" t="str">
        <f>B13</f>
        <v>Elszámolásból fakadó pótlólagos támogatás</v>
      </c>
      <c r="C97" s="19">
        <f>'1 melléklet'!C12</f>
        <v>1241749</v>
      </c>
      <c r="D97" s="20" t="s">
        <v>28</v>
      </c>
      <c r="E97" s="21" t="s">
        <v>29</v>
      </c>
      <c r="F97" s="19">
        <f>'1 melléklet'!F12</f>
        <v>13968305.225000001</v>
      </c>
    </row>
    <row r="98" spans="1:6" ht="25.5">
      <c r="A98" s="17" t="s">
        <v>17</v>
      </c>
      <c r="B98" s="21" t="s">
        <v>24</v>
      </c>
      <c r="C98" s="257">
        <f>'1 melléklet'!C13</f>
        <v>0</v>
      </c>
      <c r="D98" s="9" t="s">
        <v>30</v>
      </c>
      <c r="E98" s="24" t="s">
        <v>31</v>
      </c>
      <c r="F98" s="16">
        <f>'1 melléklet'!F13</f>
        <v>5189108</v>
      </c>
    </row>
    <row r="99" spans="1:6" ht="38.25">
      <c r="A99" s="17" t="s">
        <v>19</v>
      </c>
      <c r="B99" s="21" t="s">
        <v>27</v>
      </c>
      <c r="C99" s="257">
        <f>'1 melléklet'!C14</f>
        <v>28912803.9375</v>
      </c>
      <c r="D99" s="20" t="s">
        <v>32</v>
      </c>
      <c r="E99" s="21" t="s">
        <v>33</v>
      </c>
      <c r="F99" s="257">
        <f>'1 melléklet'!F14</f>
        <v>500000</v>
      </c>
    </row>
    <row r="100" spans="1:6" ht="15">
      <c r="A100" s="17" t="s">
        <v>22</v>
      </c>
      <c r="B100" s="21" t="s">
        <v>4</v>
      </c>
      <c r="C100" s="257">
        <f>'1 melléklet'!C15</f>
        <v>13714021</v>
      </c>
      <c r="D100" s="20" t="s">
        <v>35</v>
      </c>
      <c r="E100" s="21" t="s">
        <v>36</v>
      </c>
      <c r="F100" s="257">
        <f>'1 melléklet'!F15</f>
        <v>4689108</v>
      </c>
    </row>
    <row r="101" spans="1:6" ht="15">
      <c r="A101" s="17" t="s">
        <v>25</v>
      </c>
      <c r="B101" s="21" t="s">
        <v>3</v>
      </c>
      <c r="C101" s="257">
        <f>'1 melléklet'!C16</f>
        <v>15522305</v>
      </c>
      <c r="D101" s="20" t="s">
        <v>39</v>
      </c>
      <c r="E101" s="21" t="s">
        <v>40</v>
      </c>
      <c r="F101" s="257">
        <v>0</v>
      </c>
    </row>
    <row r="102" spans="1:6" ht="25.5">
      <c r="A102" s="17" t="s">
        <v>28</v>
      </c>
      <c r="B102" s="21" t="s">
        <v>34</v>
      </c>
      <c r="C102" s="257">
        <f>'1 melléklet'!C17</f>
        <v>0</v>
      </c>
      <c r="D102" s="9" t="s">
        <v>42</v>
      </c>
      <c r="E102" s="24" t="s">
        <v>43</v>
      </c>
      <c r="F102" s="256">
        <f>'1 melléklet'!F17</f>
        <v>58320712.1</v>
      </c>
    </row>
    <row r="103" spans="1:6" ht="25.5">
      <c r="A103" s="17" t="s">
        <v>37</v>
      </c>
      <c r="B103" s="21" t="s">
        <v>38</v>
      </c>
      <c r="C103" s="257">
        <f>'1 melléklet'!C18</f>
        <v>0</v>
      </c>
      <c r="D103" s="20" t="s">
        <v>45</v>
      </c>
      <c r="E103" s="21" t="s">
        <v>46</v>
      </c>
      <c r="F103" s="256">
        <f>'1 melléklet'!F18</f>
        <v>0</v>
      </c>
    </row>
    <row r="104" spans="1:6" ht="38.25">
      <c r="A104" s="14" t="s">
        <v>30</v>
      </c>
      <c r="B104" s="24" t="s">
        <v>41</v>
      </c>
      <c r="C104" s="256">
        <f>'1 melléklet'!C19</f>
        <v>0</v>
      </c>
      <c r="D104" s="20" t="s">
        <v>48</v>
      </c>
      <c r="E104" s="26" t="s">
        <v>49</v>
      </c>
      <c r="F104" s="257">
        <f>'1 melléklet'!F19</f>
        <v>3031859</v>
      </c>
    </row>
    <row r="105" spans="1:6" ht="25.5">
      <c r="A105" s="17" t="s">
        <v>32</v>
      </c>
      <c r="B105" s="21" t="s">
        <v>44</v>
      </c>
      <c r="C105" s="257">
        <f>'1 melléklet'!C20</f>
        <v>0</v>
      </c>
      <c r="D105" s="20" t="s">
        <v>51</v>
      </c>
      <c r="E105" s="21" t="s">
        <v>52</v>
      </c>
      <c r="F105" s="257">
        <f>'1 melléklet'!F20</f>
        <v>55027226.1</v>
      </c>
    </row>
    <row r="106" spans="1:6" ht="38.25">
      <c r="A106" s="17" t="s">
        <v>35</v>
      </c>
      <c r="B106" s="21" t="s">
        <v>47</v>
      </c>
      <c r="C106" s="257">
        <f>'1 melléklet'!C21</f>
        <v>0</v>
      </c>
      <c r="D106" s="20" t="s">
        <v>54</v>
      </c>
      <c r="E106" s="21" t="s">
        <v>55</v>
      </c>
      <c r="F106" s="257">
        <f>'1 melléklet'!F21</f>
        <v>0</v>
      </c>
    </row>
    <row r="107" spans="1:6" ht="25.5">
      <c r="A107" s="17" t="s">
        <v>39</v>
      </c>
      <c r="B107" s="21" t="s">
        <v>50</v>
      </c>
      <c r="C107" s="256">
        <f>'1 melléklet'!C22</f>
        <v>0</v>
      </c>
      <c r="D107" s="20" t="s">
        <v>93</v>
      </c>
      <c r="E107" s="21" t="s">
        <v>95</v>
      </c>
      <c r="F107" s="257">
        <f>'1 melléklet'!F22</f>
        <v>261627</v>
      </c>
    </row>
    <row r="108" spans="1:6" ht="38.25">
      <c r="A108" s="17" t="s">
        <v>53</v>
      </c>
      <c r="B108" s="21" t="s">
        <v>83</v>
      </c>
      <c r="C108" s="256">
        <f>'1 melléklet'!C23</f>
        <v>0</v>
      </c>
      <c r="D108" s="9"/>
      <c r="E108" s="24"/>
      <c r="F108" s="16">
        <f>'1 melléklet'!F23</f>
        <v>0</v>
      </c>
    </row>
    <row r="109" spans="1:6" ht="25.5">
      <c r="A109" s="17" t="s">
        <v>56</v>
      </c>
      <c r="B109" s="21" t="s">
        <v>57</v>
      </c>
      <c r="C109" s="256">
        <f>'1 melléklet'!C24</f>
        <v>0</v>
      </c>
      <c r="D109" s="20"/>
      <c r="E109" s="24"/>
      <c r="F109" s="16">
        <f>'1 melléklet'!F24</f>
        <v>0</v>
      </c>
    </row>
    <row r="110" spans="1:6" ht="25.5">
      <c r="A110" s="9" t="s">
        <v>42</v>
      </c>
      <c r="B110" s="24" t="s">
        <v>58</v>
      </c>
      <c r="C110" s="256">
        <f>'1 melléklet'!C25</f>
        <v>18381022</v>
      </c>
      <c r="D110" s="27"/>
      <c r="E110" s="24"/>
      <c r="F110" s="16">
        <f>'1 melléklet'!F25</f>
        <v>0</v>
      </c>
    </row>
    <row r="111" spans="1:6" ht="15">
      <c r="A111" s="20" t="s">
        <v>45</v>
      </c>
      <c r="B111" s="21" t="s">
        <v>59</v>
      </c>
      <c r="C111" s="257">
        <f>'1 melléklet'!C26</f>
        <v>18381022</v>
      </c>
      <c r="D111" s="27"/>
      <c r="E111" s="28"/>
      <c r="F111" s="16">
        <f>'1 melléklet'!F26</f>
        <v>0</v>
      </c>
    </row>
    <row r="112" spans="1:6" ht="15">
      <c r="A112" s="20" t="s">
        <v>48</v>
      </c>
      <c r="B112" s="28" t="s">
        <v>60</v>
      </c>
      <c r="C112" s="256">
        <f>'1 melléklet'!C27</f>
        <v>0</v>
      </c>
      <c r="D112" s="27"/>
      <c r="E112" s="28"/>
      <c r="F112" s="16">
        <f>'1 melléklet'!F27</f>
        <v>0</v>
      </c>
    </row>
    <row r="113" spans="1:6" ht="15">
      <c r="A113" s="20" t="s">
        <v>51</v>
      </c>
      <c r="B113" s="28" t="s">
        <v>61</v>
      </c>
      <c r="C113" s="256">
        <f>'1 melléklet'!C28</f>
        <v>0</v>
      </c>
      <c r="D113" s="30"/>
      <c r="E113" s="24"/>
      <c r="F113" s="16">
        <f>'1 melléklet'!F28</f>
        <v>0</v>
      </c>
    </row>
    <row r="114" spans="1:6" ht="15">
      <c r="A114" s="29" t="s">
        <v>54</v>
      </c>
      <c r="B114" s="21" t="s">
        <v>62</v>
      </c>
      <c r="C114" s="256">
        <f>'1 melléklet'!C29</f>
        <v>0</v>
      </c>
      <c r="D114" s="29"/>
      <c r="F114" s="16">
        <f>'1 melléklet'!F29</f>
        <v>0</v>
      </c>
    </row>
    <row r="115" spans="2:6" ht="15">
      <c r="B115" s="24" t="s">
        <v>63</v>
      </c>
      <c r="C115" s="16">
        <f>'1 melléklet'!C30</f>
        <v>153568406.9375</v>
      </c>
      <c r="E115" s="24" t="s">
        <v>64</v>
      </c>
      <c r="F115" s="16">
        <f>'1 melléklet'!F30</f>
        <v>153568406.9375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SheetLayoutView="100" workbookViewId="0" topLeftCell="A1">
      <selection activeCell="B3" sqref="B3:F3"/>
    </sheetView>
  </sheetViews>
  <sheetFormatPr defaultColWidth="9.140625" defaultRowHeight="15"/>
  <cols>
    <col min="1" max="1" width="3.00390625" style="0" customWidth="1"/>
    <col min="2" max="2" width="28.421875" style="0" customWidth="1"/>
    <col min="3" max="3" width="35.00390625" style="48" customWidth="1"/>
    <col min="4" max="4" width="3.140625" style="0" customWidth="1"/>
    <col min="5" max="5" width="32.00390625" style="0" customWidth="1"/>
    <col min="6" max="6" width="26.7109375" style="48" customWidth="1"/>
    <col min="8" max="8" width="11.140625" style="0" bestFit="1" customWidth="1"/>
  </cols>
  <sheetData>
    <row r="1" spans="1:6" ht="15">
      <c r="A1" s="290" t="s">
        <v>421</v>
      </c>
      <c r="B1" s="290"/>
      <c r="C1" s="290"/>
      <c r="D1" s="290"/>
      <c r="E1" s="290"/>
      <c r="F1" s="290"/>
    </row>
    <row r="3" spans="2:6" ht="32.25" customHeight="1">
      <c r="B3" s="280" t="s">
        <v>252</v>
      </c>
      <c r="C3" s="280"/>
      <c r="D3" s="280"/>
      <c r="E3" s="280"/>
      <c r="F3" s="280"/>
    </row>
    <row r="4" spans="2:6" ht="15">
      <c r="B4" s="49"/>
      <c r="C4" s="49"/>
      <c r="D4" s="49"/>
      <c r="E4" s="49"/>
      <c r="F4" s="49"/>
    </row>
    <row r="5" spans="2:6" ht="15">
      <c r="B5" s="50" t="s">
        <v>77</v>
      </c>
      <c r="C5" s="4"/>
      <c r="D5" s="51"/>
      <c r="E5" s="51"/>
      <c r="F5" s="4" t="s">
        <v>9</v>
      </c>
    </row>
    <row r="6" spans="1:6" s="55" customFormat="1" ht="12">
      <c r="A6" s="9"/>
      <c r="B6" s="10" t="s">
        <v>7</v>
      </c>
      <c r="C6" s="11" t="s">
        <v>6</v>
      </c>
      <c r="D6" s="12"/>
      <c r="E6" s="10" t="s">
        <v>2</v>
      </c>
      <c r="F6" s="11" t="s">
        <v>6</v>
      </c>
    </row>
    <row r="7" spans="1:6" ht="25.5">
      <c r="A7" s="14" t="s">
        <v>10</v>
      </c>
      <c r="B7" s="15" t="s">
        <v>11</v>
      </c>
      <c r="C7" s="256">
        <f>C55-C39-C23</f>
        <v>0</v>
      </c>
      <c r="D7" s="9" t="s">
        <v>10</v>
      </c>
      <c r="E7" s="15" t="s">
        <v>12</v>
      </c>
      <c r="F7" s="16">
        <f>F55-F39-F23</f>
        <v>29781974.75</v>
      </c>
    </row>
    <row r="8" spans="1:6" ht="25.5">
      <c r="A8" s="17" t="s">
        <v>13</v>
      </c>
      <c r="B8" s="21" t="s">
        <v>24</v>
      </c>
      <c r="C8" s="257">
        <f aca="true" t="shared" si="0" ref="C8:C19">C56-C40-C24</f>
        <v>0</v>
      </c>
      <c r="D8" s="20" t="s">
        <v>13</v>
      </c>
      <c r="E8" s="21" t="s">
        <v>15</v>
      </c>
      <c r="F8" s="19">
        <f aca="true" t="shared" si="1" ref="F8:F19">F56-F40-F24</f>
        <v>24229490</v>
      </c>
    </row>
    <row r="9" spans="1:6" ht="38.25">
      <c r="A9" s="17" t="s">
        <v>17</v>
      </c>
      <c r="B9" s="21" t="s">
        <v>27</v>
      </c>
      <c r="C9" s="257">
        <f t="shared" si="0"/>
        <v>0</v>
      </c>
      <c r="D9" s="20" t="s">
        <v>17</v>
      </c>
      <c r="E9" s="21" t="s">
        <v>1</v>
      </c>
      <c r="F9" s="19">
        <f t="shared" si="1"/>
        <v>4240160.75</v>
      </c>
    </row>
    <row r="10" spans="1:6" ht="15">
      <c r="A10" s="17" t="s">
        <v>19</v>
      </c>
      <c r="B10" s="21" t="s">
        <v>3</v>
      </c>
      <c r="C10" s="257">
        <f t="shared" si="0"/>
        <v>0</v>
      </c>
      <c r="D10" s="20" t="s">
        <v>19</v>
      </c>
      <c r="E10" s="21" t="s">
        <v>20</v>
      </c>
      <c r="F10" s="19">
        <f t="shared" si="1"/>
        <v>1312324</v>
      </c>
    </row>
    <row r="11" spans="1:6" ht="25.5">
      <c r="A11" s="17" t="s">
        <v>22</v>
      </c>
      <c r="B11" s="21" t="s">
        <v>38</v>
      </c>
      <c r="C11" s="257">
        <f t="shared" si="0"/>
        <v>0</v>
      </c>
      <c r="D11" s="20" t="s">
        <v>22</v>
      </c>
      <c r="E11" s="21" t="s">
        <v>26</v>
      </c>
      <c r="F11" s="257">
        <f t="shared" si="1"/>
        <v>0</v>
      </c>
    </row>
    <row r="12" spans="1:6" ht="25.5">
      <c r="A12" s="14" t="s">
        <v>30</v>
      </c>
      <c r="B12" s="24" t="s">
        <v>41</v>
      </c>
      <c r="C12" s="256">
        <f t="shared" si="0"/>
        <v>0</v>
      </c>
      <c r="D12" s="20" t="s">
        <v>25</v>
      </c>
      <c r="E12" s="21" t="s">
        <v>29</v>
      </c>
      <c r="F12" s="257">
        <f t="shared" si="1"/>
        <v>0</v>
      </c>
    </row>
    <row r="13" spans="1:6" ht="38.25">
      <c r="A13" s="17" t="s">
        <v>32</v>
      </c>
      <c r="B13" s="21" t="s">
        <v>47</v>
      </c>
      <c r="C13" s="257">
        <f t="shared" si="0"/>
        <v>0</v>
      </c>
      <c r="D13" s="9" t="s">
        <v>30</v>
      </c>
      <c r="E13" s="24" t="s">
        <v>31</v>
      </c>
      <c r="F13" s="256">
        <f t="shared" si="1"/>
        <v>380000</v>
      </c>
    </row>
    <row r="14" spans="1:6" ht="25.5">
      <c r="A14" s="17" t="s">
        <v>35</v>
      </c>
      <c r="B14" s="21" t="s">
        <v>50</v>
      </c>
      <c r="C14" s="257">
        <f t="shared" si="0"/>
        <v>0</v>
      </c>
      <c r="D14" s="20" t="s">
        <v>32</v>
      </c>
      <c r="E14" s="21" t="s">
        <v>33</v>
      </c>
      <c r="F14" s="257">
        <f t="shared" si="1"/>
        <v>350000</v>
      </c>
    </row>
    <row r="15" spans="1:6" ht="25.5">
      <c r="A15" s="17" t="s">
        <v>39</v>
      </c>
      <c r="B15" s="21" t="s">
        <v>57</v>
      </c>
      <c r="C15" s="257">
        <f t="shared" si="0"/>
        <v>0</v>
      </c>
      <c r="D15" s="20" t="s">
        <v>35</v>
      </c>
      <c r="E15" s="21" t="s">
        <v>36</v>
      </c>
      <c r="F15" s="257">
        <f t="shared" si="1"/>
        <v>30000</v>
      </c>
    </row>
    <row r="16" spans="1:6" ht="15">
      <c r="A16" s="9" t="s">
        <v>42</v>
      </c>
      <c r="B16" s="24" t="s">
        <v>58</v>
      </c>
      <c r="C16" s="256">
        <f t="shared" si="0"/>
        <v>30161974.75</v>
      </c>
      <c r="D16" s="20" t="s">
        <v>39</v>
      </c>
      <c r="E16" s="21" t="s">
        <v>40</v>
      </c>
      <c r="F16" s="257">
        <f t="shared" si="1"/>
        <v>0</v>
      </c>
    </row>
    <row r="17" spans="1:6" ht="15">
      <c r="A17" s="20" t="s">
        <v>45</v>
      </c>
      <c r="B17" s="21" t="s">
        <v>59</v>
      </c>
      <c r="C17" s="257">
        <f t="shared" si="0"/>
        <v>29460</v>
      </c>
      <c r="D17" s="9" t="s">
        <v>42</v>
      </c>
      <c r="E17" s="24" t="s">
        <v>43</v>
      </c>
      <c r="F17" s="256">
        <f t="shared" si="1"/>
        <v>0</v>
      </c>
    </row>
    <row r="18" spans="1:6" ht="15">
      <c r="A18" s="20" t="s">
        <v>48</v>
      </c>
      <c r="B18" s="21" t="s">
        <v>96</v>
      </c>
      <c r="C18" s="257">
        <f t="shared" si="0"/>
        <v>30132514.75</v>
      </c>
      <c r="D18" s="30"/>
      <c r="E18" s="24"/>
      <c r="F18" s="256"/>
    </row>
    <row r="19" spans="1:6" ht="15">
      <c r="A19" s="31"/>
      <c r="B19" s="24" t="s">
        <v>63</v>
      </c>
      <c r="C19" s="256">
        <f t="shared" si="0"/>
        <v>30161974.75</v>
      </c>
      <c r="D19" s="29"/>
      <c r="E19" s="24" t="s">
        <v>64</v>
      </c>
      <c r="F19" s="16">
        <f t="shared" si="1"/>
        <v>30161974.75</v>
      </c>
    </row>
    <row r="20" spans="1:6" ht="15">
      <c r="A20" s="56"/>
      <c r="B20" s="57"/>
      <c r="C20" s="58"/>
      <c r="D20" s="59"/>
      <c r="E20" s="57"/>
      <c r="F20" s="58"/>
    </row>
    <row r="21" ht="15">
      <c r="B21" s="60" t="s">
        <v>80</v>
      </c>
    </row>
    <row r="22" spans="1:7" ht="15">
      <c r="A22" s="9"/>
      <c r="B22" s="10" t="s">
        <v>7</v>
      </c>
      <c r="C22" s="11" t="s">
        <v>6</v>
      </c>
      <c r="D22" s="12"/>
      <c r="E22" s="10" t="s">
        <v>2</v>
      </c>
      <c r="F22" s="11" t="s">
        <v>6</v>
      </c>
      <c r="G22" s="55"/>
    </row>
    <row r="23" spans="1:6" ht="25.5">
      <c r="A23" s="14" t="s">
        <v>10</v>
      </c>
      <c r="B23" s="15" t="s">
        <v>11</v>
      </c>
      <c r="C23" s="256">
        <f>SUM(C24:C27)</f>
        <v>0</v>
      </c>
      <c r="D23" s="9" t="s">
        <v>10</v>
      </c>
      <c r="E23" s="15" t="s">
        <v>12</v>
      </c>
      <c r="F23" s="256">
        <f>SUM(F24:F28)</f>
        <v>0</v>
      </c>
    </row>
    <row r="24" spans="1:6" ht="25.5">
      <c r="A24" s="17" t="s">
        <v>13</v>
      </c>
      <c r="B24" s="21" t="s">
        <v>24</v>
      </c>
      <c r="C24" s="22">
        <v>0</v>
      </c>
      <c r="D24" s="20" t="s">
        <v>13</v>
      </c>
      <c r="E24" s="21" t="s">
        <v>15</v>
      </c>
      <c r="F24" s="22">
        <v>0</v>
      </c>
    </row>
    <row r="25" spans="1:6" ht="38.25">
      <c r="A25" s="17" t="s">
        <v>17</v>
      </c>
      <c r="B25" s="21" t="s">
        <v>27</v>
      </c>
      <c r="C25" s="22">
        <v>0</v>
      </c>
      <c r="D25" s="20" t="s">
        <v>17</v>
      </c>
      <c r="E25" s="21" t="s">
        <v>1</v>
      </c>
      <c r="F25" s="22">
        <v>0</v>
      </c>
    </row>
    <row r="26" spans="1:6" ht="15">
      <c r="A26" s="17" t="s">
        <v>19</v>
      </c>
      <c r="B26" s="21" t="s">
        <v>3</v>
      </c>
      <c r="C26" s="22">
        <v>0</v>
      </c>
      <c r="D26" s="20" t="s">
        <v>19</v>
      </c>
      <c r="E26" s="21" t="s">
        <v>20</v>
      </c>
      <c r="F26" s="22">
        <v>0</v>
      </c>
    </row>
    <row r="27" spans="1:6" ht="25.5">
      <c r="A27" s="17" t="s">
        <v>22</v>
      </c>
      <c r="B27" s="21" t="s">
        <v>38</v>
      </c>
      <c r="C27" s="22">
        <v>0</v>
      </c>
      <c r="D27" s="20" t="s">
        <v>22</v>
      </c>
      <c r="E27" s="21" t="s">
        <v>26</v>
      </c>
      <c r="F27" s="22">
        <v>0</v>
      </c>
    </row>
    <row r="28" spans="1:6" ht="38.25">
      <c r="A28" s="14" t="s">
        <v>30</v>
      </c>
      <c r="B28" s="24" t="s">
        <v>41</v>
      </c>
      <c r="C28" s="25">
        <f>SUM(C29:C31)</f>
        <v>0</v>
      </c>
      <c r="D28" s="20" t="s">
        <v>25</v>
      </c>
      <c r="E28" s="21" t="s">
        <v>29</v>
      </c>
      <c r="F28" s="22">
        <v>0</v>
      </c>
    </row>
    <row r="29" spans="1:6" ht="38.25">
      <c r="A29" s="17" t="s">
        <v>32</v>
      </c>
      <c r="B29" s="21" t="s">
        <v>47</v>
      </c>
      <c r="C29" s="22">
        <v>0</v>
      </c>
      <c r="D29" s="9" t="s">
        <v>30</v>
      </c>
      <c r="E29" s="24" t="s">
        <v>31</v>
      </c>
      <c r="F29" s="25">
        <f>SUM(F30:F32)</f>
        <v>0</v>
      </c>
    </row>
    <row r="30" spans="1:6" ht="25.5">
      <c r="A30" s="17" t="s">
        <v>35</v>
      </c>
      <c r="B30" s="21" t="s">
        <v>50</v>
      </c>
      <c r="C30" s="22">
        <v>0</v>
      </c>
      <c r="D30" s="20" t="s">
        <v>32</v>
      </c>
      <c r="E30" s="21" t="s">
        <v>33</v>
      </c>
      <c r="F30" s="22">
        <v>0</v>
      </c>
    </row>
    <row r="31" spans="1:6" ht="25.5">
      <c r="A31" s="17" t="s">
        <v>39</v>
      </c>
      <c r="B31" s="21" t="s">
        <v>57</v>
      </c>
      <c r="C31" s="22">
        <v>0</v>
      </c>
      <c r="D31" s="20" t="s">
        <v>35</v>
      </c>
      <c r="E31" s="21" t="s">
        <v>36</v>
      </c>
      <c r="F31" s="22">
        <v>0</v>
      </c>
    </row>
    <row r="32" spans="1:6" ht="25.5">
      <c r="A32" s="9" t="s">
        <v>42</v>
      </c>
      <c r="B32" s="24" t="s">
        <v>58</v>
      </c>
      <c r="C32" s="25">
        <f>SUM(C33:C34)</f>
        <v>0</v>
      </c>
      <c r="D32" s="20" t="s">
        <v>39</v>
      </c>
      <c r="E32" s="21" t="s">
        <v>40</v>
      </c>
      <c r="F32" s="22">
        <v>0</v>
      </c>
    </row>
    <row r="33" spans="1:6" ht="15">
      <c r="A33" s="20" t="s">
        <v>45</v>
      </c>
      <c r="B33" s="21" t="s">
        <v>59</v>
      </c>
      <c r="C33" s="22">
        <v>0</v>
      </c>
      <c r="D33" s="9" t="s">
        <v>42</v>
      </c>
      <c r="E33" s="24" t="s">
        <v>43</v>
      </c>
      <c r="F33" s="25">
        <v>0</v>
      </c>
    </row>
    <row r="34" spans="1:6" ht="15">
      <c r="A34" s="20" t="s">
        <v>48</v>
      </c>
      <c r="B34" s="21" t="s">
        <v>96</v>
      </c>
      <c r="C34" s="22">
        <v>0</v>
      </c>
      <c r="D34" s="30"/>
      <c r="E34" s="24"/>
      <c r="F34" s="25"/>
    </row>
    <row r="35" spans="1:6" ht="15">
      <c r="A35" s="31"/>
      <c r="B35" s="24" t="s">
        <v>63</v>
      </c>
      <c r="C35" s="25">
        <f>C32+C28+C23</f>
        <v>0</v>
      </c>
      <c r="D35" s="29"/>
      <c r="E35" s="24" t="s">
        <v>64</v>
      </c>
      <c r="F35" s="25">
        <f>F33+F29+F23</f>
        <v>0</v>
      </c>
    </row>
    <row r="37" ht="15">
      <c r="B37" s="60" t="s">
        <v>81</v>
      </c>
    </row>
    <row r="38" spans="1:7" ht="15">
      <c r="A38" s="9"/>
      <c r="B38" s="10" t="s">
        <v>7</v>
      </c>
      <c r="C38" s="11" t="s">
        <v>6</v>
      </c>
      <c r="D38" s="12"/>
      <c r="E38" s="10" t="s">
        <v>2</v>
      </c>
      <c r="F38" s="11" t="s">
        <v>6</v>
      </c>
      <c r="G38" s="55"/>
    </row>
    <row r="39" spans="1:6" ht="25.5">
      <c r="A39" s="14" t="s">
        <v>10</v>
      </c>
      <c r="B39" s="15" t="s">
        <v>11</v>
      </c>
      <c r="C39" s="256">
        <f>SUM(C40:C43)</f>
        <v>0</v>
      </c>
      <c r="D39" s="9" t="s">
        <v>10</v>
      </c>
      <c r="E39" s="15" t="s">
        <v>12</v>
      </c>
      <c r="F39" s="256">
        <f>SUM(F40:F44)</f>
        <v>0</v>
      </c>
    </row>
    <row r="40" spans="1:6" ht="25.5">
      <c r="A40" s="17" t="s">
        <v>13</v>
      </c>
      <c r="B40" s="21" t="s">
        <v>24</v>
      </c>
      <c r="C40" s="22">
        <v>0</v>
      </c>
      <c r="D40" s="20" t="s">
        <v>13</v>
      </c>
      <c r="E40" s="21" t="s">
        <v>15</v>
      </c>
      <c r="F40" s="22">
        <v>0</v>
      </c>
    </row>
    <row r="41" spans="1:6" ht="38.25">
      <c r="A41" s="17" t="s">
        <v>17</v>
      </c>
      <c r="B41" s="21" t="s">
        <v>27</v>
      </c>
      <c r="C41" s="22">
        <v>0</v>
      </c>
      <c r="D41" s="20" t="s">
        <v>17</v>
      </c>
      <c r="E41" s="21" t="s">
        <v>1</v>
      </c>
      <c r="F41" s="22">
        <v>0</v>
      </c>
    </row>
    <row r="42" spans="1:6" ht="15">
      <c r="A42" s="17" t="s">
        <v>19</v>
      </c>
      <c r="B42" s="21" t="s">
        <v>3</v>
      </c>
      <c r="C42" s="22">
        <v>0</v>
      </c>
      <c r="D42" s="20" t="s">
        <v>19</v>
      </c>
      <c r="E42" s="21" t="s">
        <v>20</v>
      </c>
      <c r="F42" s="22">
        <v>0</v>
      </c>
    </row>
    <row r="43" spans="1:6" ht="25.5">
      <c r="A43" s="17" t="s">
        <v>22</v>
      </c>
      <c r="B43" s="21" t="s">
        <v>38</v>
      </c>
      <c r="C43" s="22">
        <v>0</v>
      </c>
      <c r="D43" s="20" t="s">
        <v>22</v>
      </c>
      <c r="E43" s="21" t="s">
        <v>26</v>
      </c>
      <c r="F43" s="22">
        <v>0</v>
      </c>
    </row>
    <row r="44" spans="1:6" ht="38.25">
      <c r="A44" s="14" t="s">
        <v>30</v>
      </c>
      <c r="B44" s="24" t="s">
        <v>41</v>
      </c>
      <c r="C44" s="25">
        <f>SUM(C45:C47)</f>
        <v>0</v>
      </c>
      <c r="D44" s="20" t="s">
        <v>25</v>
      </c>
      <c r="E44" s="21" t="s">
        <v>29</v>
      </c>
      <c r="F44" s="22">
        <v>0</v>
      </c>
    </row>
    <row r="45" spans="1:6" ht="38.25">
      <c r="A45" s="17" t="s">
        <v>32</v>
      </c>
      <c r="B45" s="21" t="s">
        <v>47</v>
      </c>
      <c r="C45" s="22">
        <v>0</v>
      </c>
      <c r="D45" s="9" t="s">
        <v>30</v>
      </c>
      <c r="E45" s="24" t="s">
        <v>31</v>
      </c>
      <c r="F45" s="25">
        <f>SUM(F46:F48)</f>
        <v>0</v>
      </c>
    </row>
    <row r="46" spans="1:6" ht="25.5">
      <c r="A46" s="17" t="s">
        <v>35</v>
      </c>
      <c r="B46" s="21" t="s">
        <v>50</v>
      </c>
      <c r="C46" s="22">
        <v>0</v>
      </c>
      <c r="D46" s="20" t="s">
        <v>32</v>
      </c>
      <c r="E46" s="21" t="s">
        <v>33</v>
      </c>
      <c r="F46" s="22">
        <v>0</v>
      </c>
    </row>
    <row r="47" spans="1:6" ht="25.5">
      <c r="A47" s="17" t="s">
        <v>39</v>
      </c>
      <c r="B47" s="21" t="s">
        <v>57</v>
      </c>
      <c r="C47" s="22">
        <v>0</v>
      </c>
      <c r="D47" s="20" t="s">
        <v>35</v>
      </c>
      <c r="E47" s="21" t="s">
        <v>36</v>
      </c>
      <c r="F47" s="22">
        <v>0</v>
      </c>
    </row>
    <row r="48" spans="1:6" ht="25.5">
      <c r="A48" s="9" t="s">
        <v>42</v>
      </c>
      <c r="B48" s="24" t="s">
        <v>58</v>
      </c>
      <c r="C48" s="25">
        <f>SUM(C49:C50)</f>
        <v>0</v>
      </c>
      <c r="D48" s="20" t="s">
        <v>39</v>
      </c>
      <c r="E48" s="21" t="s">
        <v>40</v>
      </c>
      <c r="F48" s="22">
        <v>0</v>
      </c>
    </row>
    <row r="49" spans="1:6" ht="15">
      <c r="A49" s="20" t="s">
        <v>45</v>
      </c>
      <c r="B49" s="21" t="s">
        <v>59</v>
      </c>
      <c r="C49" s="22">
        <v>0</v>
      </c>
      <c r="D49" s="9" t="s">
        <v>42</v>
      </c>
      <c r="E49" s="24" t="s">
        <v>43</v>
      </c>
      <c r="F49" s="25">
        <v>0</v>
      </c>
    </row>
    <row r="50" spans="1:6" ht="15">
      <c r="A50" s="20" t="s">
        <v>48</v>
      </c>
      <c r="B50" s="21" t="s">
        <v>96</v>
      </c>
      <c r="C50" s="22">
        <v>0</v>
      </c>
      <c r="D50" s="30"/>
      <c r="E50" s="24"/>
      <c r="F50" s="25"/>
    </row>
    <row r="51" spans="1:6" ht="15">
      <c r="A51" s="31"/>
      <c r="B51" s="24" t="s">
        <v>63</v>
      </c>
      <c r="C51" s="25">
        <f>C48+C44+C39</f>
        <v>0</v>
      </c>
      <c r="D51" s="29"/>
      <c r="E51" s="24" t="s">
        <v>64</v>
      </c>
      <c r="F51" s="25">
        <f>F49+F45+F39</f>
        <v>0</v>
      </c>
    </row>
    <row r="53" ht="15">
      <c r="B53" s="60" t="s">
        <v>82</v>
      </c>
    </row>
    <row r="54" spans="1:7" ht="15">
      <c r="A54" s="9"/>
      <c r="B54" s="10" t="s">
        <v>7</v>
      </c>
      <c r="C54" s="11" t="s">
        <v>6</v>
      </c>
      <c r="D54" s="12"/>
      <c r="E54" s="10" t="s">
        <v>2</v>
      </c>
      <c r="F54" s="11" t="s">
        <v>6</v>
      </c>
      <c r="G54" s="55"/>
    </row>
    <row r="55" spans="1:6" ht="25.5">
      <c r="A55" s="14" t="s">
        <v>10</v>
      </c>
      <c r="B55" s="15" t="s">
        <v>11</v>
      </c>
      <c r="C55" s="256">
        <f>'2 melléklet'!C6</f>
        <v>0</v>
      </c>
      <c r="D55" s="9" t="s">
        <v>10</v>
      </c>
      <c r="E55" s="15" t="s">
        <v>12</v>
      </c>
      <c r="F55" s="16">
        <f>'2 melléklet'!F6</f>
        <v>29781974.75</v>
      </c>
    </row>
    <row r="56" spans="1:6" ht="25.5">
      <c r="A56" s="17" t="s">
        <v>13</v>
      </c>
      <c r="B56" s="21" t="s">
        <v>24</v>
      </c>
      <c r="C56" s="257">
        <f>'2 melléklet'!C7</f>
        <v>0</v>
      </c>
      <c r="D56" s="20" t="s">
        <v>13</v>
      </c>
      <c r="E56" s="21" t="s">
        <v>15</v>
      </c>
      <c r="F56" s="19">
        <f>'2 melléklet'!F7</f>
        <v>24229490</v>
      </c>
    </row>
    <row r="57" spans="1:6" ht="38.25">
      <c r="A57" s="17" t="s">
        <v>17</v>
      </c>
      <c r="B57" s="21" t="s">
        <v>27</v>
      </c>
      <c r="C57" s="257">
        <f>'2 melléklet'!C8</f>
        <v>0</v>
      </c>
      <c r="D57" s="20" t="s">
        <v>17</v>
      </c>
      <c r="E57" s="21" t="s">
        <v>1</v>
      </c>
      <c r="F57" s="19">
        <f>'2 melléklet'!F8</f>
        <v>4240160.75</v>
      </c>
    </row>
    <row r="58" spans="1:6" ht="15">
      <c r="A58" s="17" t="s">
        <v>19</v>
      </c>
      <c r="B58" s="21" t="s">
        <v>3</v>
      </c>
      <c r="C58" s="257">
        <f>'2 melléklet'!C9</f>
        <v>0</v>
      </c>
      <c r="D58" s="20" t="s">
        <v>19</v>
      </c>
      <c r="E58" s="21" t="s">
        <v>20</v>
      </c>
      <c r="F58" s="257">
        <f>'2 melléklet'!F9</f>
        <v>1312324</v>
      </c>
    </row>
    <row r="59" spans="1:6" ht="25.5">
      <c r="A59" s="17" t="s">
        <v>22</v>
      </c>
      <c r="B59" s="21" t="s">
        <v>38</v>
      </c>
      <c r="C59" s="257">
        <f>'2 melléklet'!C10</f>
        <v>0</v>
      </c>
      <c r="D59" s="20" t="s">
        <v>22</v>
      </c>
      <c r="E59" s="21" t="s">
        <v>26</v>
      </c>
      <c r="F59" s="257">
        <f>'2 melléklet'!F10</f>
        <v>0</v>
      </c>
    </row>
    <row r="60" spans="1:6" ht="38.25">
      <c r="A60" s="14" t="s">
        <v>30</v>
      </c>
      <c r="B60" s="24" t="s">
        <v>41</v>
      </c>
      <c r="C60" s="256">
        <f>'2 melléklet'!C11</f>
        <v>0</v>
      </c>
      <c r="D60" s="20" t="s">
        <v>25</v>
      </c>
      <c r="E60" s="21" t="s">
        <v>29</v>
      </c>
      <c r="F60" s="257">
        <f>'2 melléklet'!F11</f>
        <v>0</v>
      </c>
    </row>
    <row r="61" spans="1:6" ht="38.25">
      <c r="A61" s="17" t="s">
        <v>32</v>
      </c>
      <c r="B61" s="21" t="s">
        <v>47</v>
      </c>
      <c r="C61" s="257">
        <f>'2 melléklet'!C12</f>
        <v>0</v>
      </c>
      <c r="D61" s="9" t="s">
        <v>30</v>
      </c>
      <c r="E61" s="24" t="s">
        <v>31</v>
      </c>
      <c r="F61" s="256">
        <f>'2 melléklet'!F12</f>
        <v>380000</v>
      </c>
    </row>
    <row r="62" spans="1:6" ht="25.5">
      <c r="A62" s="17" t="s">
        <v>35</v>
      </c>
      <c r="B62" s="21" t="s">
        <v>50</v>
      </c>
      <c r="C62" s="257">
        <f>'2 melléklet'!C13</f>
        <v>0</v>
      </c>
      <c r="D62" s="20" t="s">
        <v>32</v>
      </c>
      <c r="E62" s="21" t="s">
        <v>33</v>
      </c>
      <c r="F62" s="257">
        <f>'2 melléklet'!F13</f>
        <v>350000</v>
      </c>
    </row>
    <row r="63" spans="1:6" ht="25.5">
      <c r="A63" s="17" t="s">
        <v>39</v>
      </c>
      <c r="B63" s="21" t="s">
        <v>57</v>
      </c>
      <c r="C63" s="257">
        <f>'2 melléklet'!C14</f>
        <v>0</v>
      </c>
      <c r="D63" s="20" t="s">
        <v>35</v>
      </c>
      <c r="E63" s="21" t="s">
        <v>36</v>
      </c>
      <c r="F63" s="257">
        <f>'2 melléklet'!F14</f>
        <v>30000</v>
      </c>
    </row>
    <row r="64" spans="1:6" ht="25.5">
      <c r="A64" s="9" t="s">
        <v>42</v>
      </c>
      <c r="B64" s="24" t="s">
        <v>58</v>
      </c>
      <c r="C64" s="256">
        <f>'2 melléklet'!C15</f>
        <v>30161974.75</v>
      </c>
      <c r="D64" s="20" t="s">
        <v>39</v>
      </c>
      <c r="E64" s="21" t="s">
        <v>40</v>
      </c>
      <c r="F64" s="257">
        <f>'2 melléklet'!F15</f>
        <v>0</v>
      </c>
    </row>
    <row r="65" spans="1:6" ht="15">
      <c r="A65" s="20" t="s">
        <v>45</v>
      </c>
      <c r="B65" s="21" t="s">
        <v>59</v>
      </c>
      <c r="C65" s="19">
        <f>'2 melléklet'!C16</f>
        <v>29460</v>
      </c>
      <c r="D65" s="9" t="s">
        <v>42</v>
      </c>
      <c r="E65" s="24" t="s">
        <v>43</v>
      </c>
      <c r="F65" s="256">
        <f>'2 melléklet'!F16</f>
        <v>0</v>
      </c>
    </row>
    <row r="66" spans="1:6" ht="15">
      <c r="A66" s="20" t="s">
        <v>48</v>
      </c>
      <c r="B66" s="21" t="s">
        <v>96</v>
      </c>
      <c r="C66" s="19">
        <f>'2 melléklet'!C17</f>
        <v>30132514.75</v>
      </c>
      <c r="D66" s="30"/>
      <c r="E66" s="24"/>
      <c r="F66" s="256"/>
    </row>
    <row r="67" spans="1:6" ht="15">
      <c r="A67" s="31"/>
      <c r="B67" s="24" t="s">
        <v>63</v>
      </c>
      <c r="C67" s="16">
        <f>'2 melléklet'!C18</f>
        <v>30161974.75</v>
      </c>
      <c r="D67" s="29"/>
      <c r="E67" s="24" t="s">
        <v>64</v>
      </c>
      <c r="F67" s="16">
        <f>'2 melléklet'!F18</f>
        <v>30161974.75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3.00390625" style="0" customWidth="1"/>
    <col min="2" max="2" width="28.421875" style="0" customWidth="1"/>
    <col min="3" max="3" width="35.00390625" style="48" customWidth="1"/>
    <col min="4" max="4" width="3.140625" style="0" customWidth="1"/>
    <col min="5" max="5" width="32.00390625" style="0" customWidth="1"/>
    <col min="6" max="6" width="26.7109375" style="48" customWidth="1"/>
    <col min="8" max="8" width="11.140625" style="0" bestFit="1" customWidth="1"/>
  </cols>
  <sheetData>
    <row r="1" spans="1:6" ht="15">
      <c r="A1" s="290" t="s">
        <v>422</v>
      </c>
      <c r="B1" s="290"/>
      <c r="C1" s="290"/>
      <c r="D1" s="290"/>
      <c r="E1" s="290"/>
      <c r="F1" s="290"/>
    </row>
    <row r="3" spans="2:6" ht="32.25" customHeight="1">
      <c r="B3" s="280" t="s">
        <v>253</v>
      </c>
      <c r="C3" s="280"/>
      <c r="D3" s="280"/>
      <c r="E3" s="280"/>
      <c r="F3" s="280"/>
    </row>
    <row r="4" spans="2:6" ht="15">
      <c r="B4" s="49"/>
      <c r="C4" s="49"/>
      <c r="D4" s="49"/>
      <c r="E4" s="49"/>
      <c r="F4" s="49"/>
    </row>
    <row r="5" spans="2:6" ht="15">
      <c r="B5" s="50" t="s">
        <v>77</v>
      </c>
      <c r="C5" s="4"/>
      <c r="D5" s="51"/>
      <c r="E5" s="51"/>
      <c r="F5" s="4" t="s">
        <v>9</v>
      </c>
    </row>
    <row r="6" spans="1:6" s="55" customFormat="1" ht="12">
      <c r="A6" s="9"/>
      <c r="B6" s="10" t="s">
        <v>7</v>
      </c>
      <c r="C6" s="11" t="s">
        <v>6</v>
      </c>
      <c r="D6" s="12"/>
      <c r="E6" s="10" t="s">
        <v>2</v>
      </c>
      <c r="F6" s="11" t="s">
        <v>6</v>
      </c>
    </row>
    <row r="7" spans="1:6" ht="25.5">
      <c r="A7" s="14" t="s">
        <v>10</v>
      </c>
      <c r="B7" s="15" t="s">
        <v>11</v>
      </c>
      <c r="C7" s="16">
        <f>SUM(C8:C11)</f>
        <v>5356036</v>
      </c>
      <c r="D7" s="9" t="s">
        <v>10</v>
      </c>
      <c r="E7" s="15" t="s">
        <v>12</v>
      </c>
      <c r="F7" s="16">
        <f>SUM(F8:F12)</f>
        <v>29760064.855000004</v>
      </c>
    </row>
    <row r="8" spans="1:6" ht="25.5">
      <c r="A8" s="17" t="s">
        <v>13</v>
      </c>
      <c r="B8" s="21" t="s">
        <v>24</v>
      </c>
      <c r="C8" s="22">
        <f>C56-C40-C24</f>
        <v>0</v>
      </c>
      <c r="D8" s="20" t="s">
        <v>13</v>
      </c>
      <c r="E8" s="21" t="s">
        <v>15</v>
      </c>
      <c r="F8" s="22">
        <f>F56-F40-F24</f>
        <v>10083285.81</v>
      </c>
    </row>
    <row r="9" spans="1:6" ht="38.25">
      <c r="A9" s="17" t="s">
        <v>17</v>
      </c>
      <c r="B9" s="21" t="s">
        <v>27</v>
      </c>
      <c r="C9" s="22">
        <f aca="true" t="shared" si="0" ref="C9:C15">C57-C41-C25</f>
        <v>0</v>
      </c>
      <c r="D9" s="20" t="s">
        <v>17</v>
      </c>
      <c r="E9" s="21" t="s">
        <v>1</v>
      </c>
      <c r="F9" s="22">
        <f aca="true" t="shared" si="1" ref="F9:F17">F57-F41-F25</f>
        <v>1721335.945</v>
      </c>
    </row>
    <row r="10" spans="1:6" ht="15">
      <c r="A10" s="17" t="s">
        <v>19</v>
      </c>
      <c r="B10" s="21" t="s">
        <v>3</v>
      </c>
      <c r="C10" s="22">
        <f>'Segédlet konyha'!B7+'Segédlet konyha'!B6</f>
        <v>5356036</v>
      </c>
      <c r="D10" s="20" t="s">
        <v>19</v>
      </c>
      <c r="E10" s="21" t="s">
        <v>20</v>
      </c>
      <c r="F10" s="22">
        <f t="shared" si="1"/>
        <v>17955443.1</v>
      </c>
    </row>
    <row r="11" spans="1:6" ht="25.5">
      <c r="A11" s="17" t="s">
        <v>22</v>
      </c>
      <c r="B11" s="21" t="s">
        <v>38</v>
      </c>
      <c r="C11" s="22">
        <f t="shared" si="0"/>
        <v>0</v>
      </c>
      <c r="D11" s="20" t="s">
        <v>22</v>
      </c>
      <c r="E11" s="21" t="s">
        <v>26</v>
      </c>
      <c r="F11" s="22">
        <f t="shared" si="1"/>
        <v>0</v>
      </c>
    </row>
    <row r="12" spans="1:6" ht="25.5">
      <c r="A12" s="14" t="s">
        <v>30</v>
      </c>
      <c r="B12" s="24" t="s">
        <v>41</v>
      </c>
      <c r="C12" s="25">
        <f>SUM(C13:C15)</f>
        <v>0</v>
      </c>
      <c r="D12" s="20" t="s">
        <v>25</v>
      </c>
      <c r="E12" s="21" t="s">
        <v>29</v>
      </c>
      <c r="F12" s="22">
        <f t="shared" si="1"/>
        <v>0</v>
      </c>
    </row>
    <row r="13" spans="1:6" ht="38.25">
      <c r="A13" s="17" t="s">
        <v>32</v>
      </c>
      <c r="B13" s="21" t="s">
        <v>47</v>
      </c>
      <c r="C13" s="22">
        <f t="shared" si="0"/>
        <v>0</v>
      </c>
      <c r="D13" s="9" t="s">
        <v>30</v>
      </c>
      <c r="E13" s="24" t="s">
        <v>31</v>
      </c>
      <c r="F13" s="25">
        <f>SUM(F14:F16)</f>
        <v>959000</v>
      </c>
    </row>
    <row r="14" spans="1:6" ht="25.5">
      <c r="A14" s="17" t="s">
        <v>35</v>
      </c>
      <c r="B14" s="21" t="s">
        <v>50</v>
      </c>
      <c r="C14" s="22">
        <f t="shared" si="0"/>
        <v>0</v>
      </c>
      <c r="D14" s="20" t="s">
        <v>32</v>
      </c>
      <c r="E14" s="21" t="s">
        <v>33</v>
      </c>
      <c r="F14" s="22">
        <f t="shared" si="1"/>
        <v>448000</v>
      </c>
    </row>
    <row r="15" spans="1:6" ht="25.5">
      <c r="A15" s="17" t="s">
        <v>39</v>
      </c>
      <c r="B15" s="21" t="s">
        <v>57</v>
      </c>
      <c r="C15" s="22">
        <f t="shared" si="0"/>
        <v>0</v>
      </c>
      <c r="D15" s="20" t="s">
        <v>35</v>
      </c>
      <c r="E15" s="21" t="s">
        <v>36</v>
      </c>
      <c r="F15" s="22">
        <f t="shared" si="1"/>
        <v>511000</v>
      </c>
    </row>
    <row r="16" spans="1:6" ht="15">
      <c r="A16" s="9" t="s">
        <v>42</v>
      </c>
      <c r="B16" s="24" t="s">
        <v>58</v>
      </c>
      <c r="C16" s="25">
        <f>SUM(C17:C18)</f>
        <v>25275643.35</v>
      </c>
      <c r="D16" s="20" t="s">
        <v>39</v>
      </c>
      <c r="E16" s="21" t="s">
        <v>40</v>
      </c>
      <c r="F16" s="22">
        <f t="shared" si="1"/>
        <v>0</v>
      </c>
    </row>
    <row r="17" spans="1:6" ht="15">
      <c r="A17" s="20" t="s">
        <v>45</v>
      </c>
      <c r="B17" s="21" t="s">
        <v>59</v>
      </c>
      <c r="C17" s="22">
        <f>'Segédlet konyha'!B12</f>
        <v>380932</v>
      </c>
      <c r="D17" s="9" t="s">
        <v>42</v>
      </c>
      <c r="E17" s="24" t="s">
        <v>43</v>
      </c>
      <c r="F17" s="25">
        <f t="shared" si="1"/>
        <v>0</v>
      </c>
    </row>
    <row r="18" spans="1:6" ht="15">
      <c r="A18" s="20" t="s">
        <v>48</v>
      </c>
      <c r="B18" s="21" t="s">
        <v>96</v>
      </c>
      <c r="C18" s="22">
        <f>'Segédlet konyha'!B10</f>
        <v>24894711.35</v>
      </c>
      <c r="D18" s="30"/>
      <c r="E18" s="24"/>
      <c r="F18" s="25"/>
    </row>
    <row r="19" spans="1:6" ht="15">
      <c r="A19" s="31"/>
      <c r="B19" s="24" t="s">
        <v>63</v>
      </c>
      <c r="C19" s="25">
        <f>C16+C12+C7</f>
        <v>30631679.35</v>
      </c>
      <c r="D19" s="29"/>
      <c r="E19" s="24" t="s">
        <v>64</v>
      </c>
      <c r="F19" s="25">
        <f>F17+F13+F7</f>
        <v>30719064.855000004</v>
      </c>
    </row>
    <row r="20" spans="1:6" ht="15">
      <c r="A20" s="56"/>
      <c r="B20" s="57"/>
      <c r="C20" s="58"/>
      <c r="D20" s="59"/>
      <c r="E20" s="57"/>
      <c r="F20" s="58"/>
    </row>
    <row r="21" ht="15">
      <c r="B21" s="60" t="s">
        <v>80</v>
      </c>
    </row>
    <row r="22" spans="1:7" ht="15">
      <c r="A22" s="9"/>
      <c r="B22" s="10" t="s">
        <v>7</v>
      </c>
      <c r="C22" s="11" t="s">
        <v>6</v>
      </c>
      <c r="D22" s="12"/>
      <c r="E22" s="10" t="s">
        <v>2</v>
      </c>
      <c r="F22" s="11" t="s">
        <v>6</v>
      </c>
      <c r="G22" s="55"/>
    </row>
    <row r="23" spans="1:6" ht="25.5">
      <c r="A23" s="14" t="s">
        <v>10</v>
      </c>
      <c r="B23" s="15" t="s">
        <v>11</v>
      </c>
      <c r="C23" s="16">
        <f>SUM(C24:C27)</f>
        <v>13049816</v>
      </c>
      <c r="D23" s="9" t="s">
        <v>10</v>
      </c>
      <c r="E23" s="15" t="s">
        <v>12</v>
      </c>
      <c r="F23" s="16">
        <f>SUM(F24:F28)</f>
        <v>12551430.495</v>
      </c>
    </row>
    <row r="24" spans="1:6" ht="25.5">
      <c r="A24" s="17" t="s">
        <v>13</v>
      </c>
      <c r="B24" s="21" t="s">
        <v>24</v>
      </c>
      <c r="C24" s="22">
        <v>0</v>
      </c>
      <c r="D24" s="20" t="s">
        <v>13</v>
      </c>
      <c r="E24" s="21" t="s">
        <v>15</v>
      </c>
      <c r="F24" s="22">
        <f>F56*0.29</f>
        <v>4118525.19</v>
      </c>
    </row>
    <row r="25" spans="1:6" ht="38.25">
      <c r="A25" s="17" t="s">
        <v>17</v>
      </c>
      <c r="B25" s="21" t="s">
        <v>27</v>
      </c>
      <c r="C25" s="22">
        <v>0</v>
      </c>
      <c r="D25" s="20" t="s">
        <v>17</v>
      </c>
      <c r="E25" s="21" t="s">
        <v>1</v>
      </c>
      <c r="F25" s="22">
        <f>F57*0.3</f>
        <v>737715.405</v>
      </c>
    </row>
    <row r="26" spans="1:6" ht="15">
      <c r="A26" s="17" t="s">
        <v>19</v>
      </c>
      <c r="B26" s="21" t="s">
        <v>3</v>
      </c>
      <c r="C26" s="22">
        <f>'Segédlet konyha'!B8</f>
        <v>13049816</v>
      </c>
      <c r="D26" s="20" t="s">
        <v>19</v>
      </c>
      <c r="E26" s="21" t="s">
        <v>20</v>
      </c>
      <c r="F26" s="22">
        <f>F58*0.3</f>
        <v>7695189.899999999</v>
      </c>
    </row>
    <row r="27" spans="1:6" ht="25.5">
      <c r="A27" s="17" t="s">
        <v>22</v>
      </c>
      <c r="B27" s="21" t="s">
        <v>38</v>
      </c>
      <c r="C27" s="22">
        <v>0</v>
      </c>
      <c r="D27" s="20" t="s">
        <v>22</v>
      </c>
      <c r="E27" s="21" t="s">
        <v>26</v>
      </c>
      <c r="F27" s="22">
        <f>F59*0.4</f>
        <v>0</v>
      </c>
    </row>
    <row r="28" spans="1:6" ht="38.25">
      <c r="A28" s="14" t="s">
        <v>30</v>
      </c>
      <c r="B28" s="24" t="s">
        <v>41</v>
      </c>
      <c r="C28" s="25">
        <f>SUM(C29:C31)</f>
        <v>0</v>
      </c>
      <c r="D28" s="20" t="s">
        <v>25</v>
      </c>
      <c r="E28" s="21" t="s">
        <v>29</v>
      </c>
      <c r="F28" s="22">
        <f>F60*0.4</f>
        <v>0</v>
      </c>
    </row>
    <row r="29" spans="1:6" ht="38.25">
      <c r="A29" s="17" t="s">
        <v>32</v>
      </c>
      <c r="B29" s="21" t="s">
        <v>47</v>
      </c>
      <c r="C29" s="22">
        <v>0</v>
      </c>
      <c r="D29" s="9" t="s">
        <v>30</v>
      </c>
      <c r="E29" s="24" t="s">
        <v>31</v>
      </c>
      <c r="F29" s="25">
        <f>SUM(F30:F32)</f>
        <v>411000</v>
      </c>
    </row>
    <row r="30" spans="1:6" ht="25.5">
      <c r="A30" s="17" t="s">
        <v>35</v>
      </c>
      <c r="B30" s="21" t="s">
        <v>50</v>
      </c>
      <c r="C30" s="22">
        <v>0</v>
      </c>
      <c r="D30" s="20" t="s">
        <v>32</v>
      </c>
      <c r="E30" s="21" t="s">
        <v>33</v>
      </c>
      <c r="F30" s="22">
        <f>F62*0.3</f>
        <v>192000</v>
      </c>
    </row>
    <row r="31" spans="1:6" ht="25.5">
      <c r="A31" s="17" t="s">
        <v>39</v>
      </c>
      <c r="B31" s="21" t="s">
        <v>57</v>
      </c>
      <c r="C31" s="22">
        <v>0</v>
      </c>
      <c r="D31" s="20" t="s">
        <v>35</v>
      </c>
      <c r="E31" s="21" t="s">
        <v>36</v>
      </c>
      <c r="F31" s="22">
        <f>F63*0.3</f>
        <v>219000</v>
      </c>
    </row>
    <row r="32" spans="1:6" ht="25.5">
      <c r="A32" s="9" t="s">
        <v>42</v>
      </c>
      <c r="B32" s="24" t="s">
        <v>58</v>
      </c>
      <c r="C32" s="25">
        <f>SUM(C33:C34)</f>
        <v>0</v>
      </c>
      <c r="D32" s="20" t="s">
        <v>39</v>
      </c>
      <c r="E32" s="21" t="s">
        <v>40</v>
      </c>
      <c r="F32" s="22">
        <f>F64*0.4</f>
        <v>0</v>
      </c>
    </row>
    <row r="33" spans="1:6" ht="15">
      <c r="A33" s="20" t="s">
        <v>45</v>
      </c>
      <c r="B33" s="21" t="s">
        <v>59</v>
      </c>
      <c r="C33" s="22">
        <v>0</v>
      </c>
      <c r="D33" s="9" t="s">
        <v>42</v>
      </c>
      <c r="E33" s="24" t="s">
        <v>43</v>
      </c>
      <c r="F33" s="25">
        <f>F65*0.4</f>
        <v>0</v>
      </c>
    </row>
    <row r="34" spans="1:6" ht="15">
      <c r="A34" s="20" t="s">
        <v>48</v>
      </c>
      <c r="B34" s="21" t="s">
        <v>96</v>
      </c>
      <c r="C34" s="22">
        <v>0</v>
      </c>
      <c r="D34" s="30"/>
      <c r="E34" s="24"/>
      <c r="F34" s="25"/>
    </row>
    <row r="35" spans="1:6" ht="15">
      <c r="A35" s="31"/>
      <c r="B35" s="24" t="s">
        <v>63</v>
      </c>
      <c r="C35" s="25">
        <f>C32+C28+C23</f>
        <v>13049816</v>
      </c>
      <c r="D35" s="29"/>
      <c r="E35" s="24" t="s">
        <v>64</v>
      </c>
      <c r="F35" s="25">
        <f>F33+F29+F23</f>
        <v>12962430.495</v>
      </c>
    </row>
    <row r="37" ht="15">
      <c r="B37" s="60" t="s">
        <v>81</v>
      </c>
    </row>
    <row r="38" spans="1:7" ht="15">
      <c r="A38" s="9"/>
      <c r="B38" s="10" t="s">
        <v>7</v>
      </c>
      <c r="C38" s="11" t="s">
        <v>6</v>
      </c>
      <c r="D38" s="12"/>
      <c r="E38" s="10" t="s">
        <v>2</v>
      </c>
      <c r="F38" s="11" t="s">
        <v>6</v>
      </c>
      <c r="G38" s="55"/>
    </row>
    <row r="39" spans="1:6" ht="25.5">
      <c r="A39" s="14" t="s">
        <v>10</v>
      </c>
      <c r="B39" s="15" t="s">
        <v>11</v>
      </c>
      <c r="C39" s="16">
        <f>SUM(C40:C43)</f>
        <v>0</v>
      </c>
      <c r="D39" s="9" t="s">
        <v>10</v>
      </c>
      <c r="E39" s="15" t="s">
        <v>12</v>
      </c>
      <c r="F39" s="16">
        <f>SUM(F40:F44)</f>
        <v>0</v>
      </c>
    </row>
    <row r="40" spans="1:6" ht="25.5">
      <c r="A40" s="17" t="s">
        <v>13</v>
      </c>
      <c r="B40" s="21" t="s">
        <v>24</v>
      </c>
      <c r="C40" s="22">
        <v>0</v>
      </c>
      <c r="D40" s="20" t="s">
        <v>13</v>
      </c>
      <c r="E40" s="21" t="s">
        <v>15</v>
      </c>
      <c r="F40" s="22">
        <v>0</v>
      </c>
    </row>
    <row r="41" spans="1:6" ht="38.25">
      <c r="A41" s="17" t="s">
        <v>17</v>
      </c>
      <c r="B41" s="21" t="s">
        <v>27</v>
      </c>
      <c r="C41" s="22">
        <v>0</v>
      </c>
      <c r="D41" s="20" t="s">
        <v>17</v>
      </c>
      <c r="E41" s="21" t="s">
        <v>1</v>
      </c>
      <c r="F41" s="22">
        <v>0</v>
      </c>
    </row>
    <row r="42" spans="1:6" ht="15">
      <c r="A42" s="17" t="s">
        <v>19</v>
      </c>
      <c r="B42" s="21" t="s">
        <v>3</v>
      </c>
      <c r="C42" s="22">
        <v>0</v>
      </c>
      <c r="D42" s="20" t="s">
        <v>19</v>
      </c>
      <c r="E42" s="21" t="s">
        <v>20</v>
      </c>
      <c r="F42" s="22">
        <v>0</v>
      </c>
    </row>
    <row r="43" spans="1:6" ht="25.5">
      <c r="A43" s="17" t="s">
        <v>22</v>
      </c>
      <c r="B43" s="21" t="s">
        <v>38</v>
      </c>
      <c r="C43" s="22">
        <v>0</v>
      </c>
      <c r="D43" s="20" t="s">
        <v>22</v>
      </c>
      <c r="E43" s="21" t="s">
        <v>26</v>
      </c>
      <c r="F43" s="22">
        <v>0</v>
      </c>
    </row>
    <row r="44" spans="1:6" ht="38.25">
      <c r="A44" s="14" t="s">
        <v>30</v>
      </c>
      <c r="B44" s="24" t="s">
        <v>41</v>
      </c>
      <c r="C44" s="25">
        <f>SUM(C45:C47)</f>
        <v>0</v>
      </c>
      <c r="D44" s="20" t="s">
        <v>25</v>
      </c>
      <c r="E44" s="21" t="s">
        <v>29</v>
      </c>
      <c r="F44" s="22">
        <v>0</v>
      </c>
    </row>
    <row r="45" spans="1:6" ht="38.25">
      <c r="A45" s="17" t="s">
        <v>32</v>
      </c>
      <c r="B45" s="21" t="s">
        <v>47</v>
      </c>
      <c r="C45" s="22">
        <v>0</v>
      </c>
      <c r="D45" s="9" t="s">
        <v>30</v>
      </c>
      <c r="E45" s="24" t="s">
        <v>31</v>
      </c>
      <c r="F45" s="25">
        <f>SUM(F46:F48)</f>
        <v>0</v>
      </c>
    </row>
    <row r="46" spans="1:6" ht="25.5">
      <c r="A46" s="17" t="s">
        <v>35</v>
      </c>
      <c r="B46" s="21" t="s">
        <v>50</v>
      </c>
      <c r="C46" s="22">
        <v>0</v>
      </c>
      <c r="D46" s="20" t="s">
        <v>32</v>
      </c>
      <c r="E46" s="21" t="s">
        <v>33</v>
      </c>
      <c r="F46" s="22">
        <v>0</v>
      </c>
    </row>
    <row r="47" spans="1:6" ht="25.5">
      <c r="A47" s="17" t="s">
        <v>39</v>
      </c>
      <c r="B47" s="21" t="s">
        <v>57</v>
      </c>
      <c r="C47" s="22">
        <v>0</v>
      </c>
      <c r="D47" s="20" t="s">
        <v>35</v>
      </c>
      <c r="E47" s="21" t="s">
        <v>36</v>
      </c>
      <c r="F47" s="22">
        <v>0</v>
      </c>
    </row>
    <row r="48" spans="1:6" ht="25.5">
      <c r="A48" s="9" t="s">
        <v>42</v>
      </c>
      <c r="B48" s="24" t="s">
        <v>58</v>
      </c>
      <c r="C48" s="25">
        <f>SUM(C49:C50)</f>
        <v>0</v>
      </c>
      <c r="D48" s="20" t="s">
        <v>39</v>
      </c>
      <c r="E48" s="21" t="s">
        <v>40</v>
      </c>
      <c r="F48" s="22">
        <v>0</v>
      </c>
    </row>
    <row r="49" spans="1:6" ht="15">
      <c r="A49" s="20" t="s">
        <v>45</v>
      </c>
      <c r="B49" s="21" t="s">
        <v>59</v>
      </c>
      <c r="C49" s="22">
        <v>0</v>
      </c>
      <c r="D49" s="9" t="s">
        <v>42</v>
      </c>
      <c r="E49" s="24" t="s">
        <v>43</v>
      </c>
      <c r="F49" s="25">
        <v>0</v>
      </c>
    </row>
    <row r="50" spans="1:6" ht="15">
      <c r="A50" s="20" t="s">
        <v>48</v>
      </c>
      <c r="B50" s="21" t="s">
        <v>96</v>
      </c>
      <c r="C50" s="22">
        <v>0</v>
      </c>
      <c r="D50" s="30"/>
      <c r="E50" s="24"/>
      <c r="F50" s="25"/>
    </row>
    <row r="51" spans="1:6" ht="15">
      <c r="A51" s="31"/>
      <c r="B51" s="24" t="s">
        <v>63</v>
      </c>
      <c r="C51" s="25">
        <f>C48+C44+C39</f>
        <v>0</v>
      </c>
      <c r="D51" s="29"/>
      <c r="E51" s="24" t="s">
        <v>64</v>
      </c>
      <c r="F51" s="25">
        <f>F49+F45+F39</f>
        <v>0</v>
      </c>
    </row>
    <row r="53" ht="15">
      <c r="B53" s="60" t="s">
        <v>82</v>
      </c>
    </row>
    <row r="54" spans="1:7" ht="15">
      <c r="A54" s="9"/>
      <c r="B54" s="10" t="s">
        <v>7</v>
      </c>
      <c r="C54" s="11" t="s">
        <v>6</v>
      </c>
      <c r="D54" s="12"/>
      <c r="E54" s="10" t="s">
        <v>2</v>
      </c>
      <c r="F54" s="11" t="s">
        <v>6</v>
      </c>
      <c r="G54" s="55"/>
    </row>
    <row r="55" spans="1:6" ht="25.5">
      <c r="A55" s="14" t="s">
        <v>10</v>
      </c>
      <c r="B55" s="15" t="s">
        <v>11</v>
      </c>
      <c r="C55" s="114">
        <f>'3 melléklet'!C6</f>
        <v>18405852</v>
      </c>
      <c r="D55" s="107" t="s">
        <v>10</v>
      </c>
      <c r="E55" s="108" t="s">
        <v>12</v>
      </c>
      <c r="F55" s="114">
        <f>'3 melléklet'!F6</f>
        <v>42311495.35</v>
      </c>
    </row>
    <row r="56" spans="1:6" ht="25.5">
      <c r="A56" s="17" t="s">
        <v>13</v>
      </c>
      <c r="B56" s="21" t="s">
        <v>24</v>
      </c>
      <c r="C56" s="258">
        <f>'3 melléklet'!C7</f>
        <v>0</v>
      </c>
      <c r="D56" s="112" t="s">
        <v>13</v>
      </c>
      <c r="E56" s="113" t="s">
        <v>15</v>
      </c>
      <c r="F56" s="258">
        <f>'3 melléklet'!F7</f>
        <v>14201811</v>
      </c>
    </row>
    <row r="57" spans="1:6" ht="38.25">
      <c r="A57" s="17" t="s">
        <v>17</v>
      </c>
      <c r="B57" s="21" t="s">
        <v>27</v>
      </c>
      <c r="C57" s="258">
        <f>'3 melléklet'!C8</f>
        <v>0</v>
      </c>
      <c r="D57" s="112" t="s">
        <v>17</v>
      </c>
      <c r="E57" s="113" t="s">
        <v>1</v>
      </c>
      <c r="F57" s="258">
        <f>'3 melléklet'!F8</f>
        <v>2459051.35</v>
      </c>
    </row>
    <row r="58" spans="1:6" ht="15">
      <c r="A58" s="17" t="s">
        <v>19</v>
      </c>
      <c r="B58" s="21" t="s">
        <v>3</v>
      </c>
      <c r="C58" s="258">
        <f>'3 melléklet'!C9</f>
        <v>18405852</v>
      </c>
      <c r="D58" s="112" t="s">
        <v>19</v>
      </c>
      <c r="E58" s="113" t="s">
        <v>20</v>
      </c>
      <c r="F58" s="258">
        <f>'3 melléklet'!F9</f>
        <v>25650633</v>
      </c>
    </row>
    <row r="59" spans="1:6" ht="25.5">
      <c r="A59" s="17" t="s">
        <v>22</v>
      </c>
      <c r="B59" s="21" t="s">
        <v>38</v>
      </c>
      <c r="C59" s="258">
        <f>'3 melléklet'!C10</f>
        <v>0</v>
      </c>
      <c r="D59" s="112" t="s">
        <v>22</v>
      </c>
      <c r="E59" s="113" t="s">
        <v>26</v>
      </c>
      <c r="F59" s="258">
        <f>'3 melléklet'!F10</f>
        <v>0</v>
      </c>
    </row>
    <row r="60" spans="1:6" ht="38.25">
      <c r="A60" s="14" t="s">
        <v>30</v>
      </c>
      <c r="B60" s="24" t="s">
        <v>41</v>
      </c>
      <c r="C60" s="114">
        <f>'3 melléklet'!C11</f>
        <v>0</v>
      </c>
      <c r="D60" s="112" t="s">
        <v>25</v>
      </c>
      <c r="E60" s="113" t="s">
        <v>29</v>
      </c>
      <c r="F60" s="258">
        <f>'3 melléklet'!F11</f>
        <v>0</v>
      </c>
    </row>
    <row r="61" spans="1:6" ht="38.25">
      <c r="A61" s="17" t="s">
        <v>32</v>
      </c>
      <c r="B61" s="21" t="s">
        <v>47</v>
      </c>
      <c r="C61" s="258">
        <f>'3 melléklet'!C12</f>
        <v>0</v>
      </c>
      <c r="D61" s="115" t="s">
        <v>30</v>
      </c>
      <c r="E61" s="116" t="s">
        <v>31</v>
      </c>
      <c r="F61" s="114">
        <f>'3 melléklet'!F12</f>
        <v>1370000</v>
      </c>
    </row>
    <row r="62" spans="1:6" ht="25.5">
      <c r="A62" s="17" t="s">
        <v>35</v>
      </c>
      <c r="B62" s="21" t="s">
        <v>50</v>
      </c>
      <c r="C62" s="258">
        <f>'3 melléklet'!C13</f>
        <v>0</v>
      </c>
      <c r="D62" s="112" t="s">
        <v>32</v>
      </c>
      <c r="E62" s="113" t="s">
        <v>33</v>
      </c>
      <c r="F62" s="258">
        <f>'3 melléklet'!F13</f>
        <v>640000</v>
      </c>
    </row>
    <row r="63" spans="1:6" ht="25.5">
      <c r="A63" s="17" t="s">
        <v>39</v>
      </c>
      <c r="B63" s="21" t="s">
        <v>57</v>
      </c>
      <c r="C63" s="258">
        <f>'3 melléklet'!C14</f>
        <v>0</v>
      </c>
      <c r="D63" s="112" t="s">
        <v>35</v>
      </c>
      <c r="E63" s="113" t="s">
        <v>36</v>
      </c>
      <c r="F63" s="258">
        <f>'3 melléklet'!F14</f>
        <v>730000</v>
      </c>
    </row>
    <row r="64" spans="1:6" ht="25.5">
      <c r="A64" s="9" t="s">
        <v>42</v>
      </c>
      <c r="B64" s="24" t="s">
        <v>58</v>
      </c>
      <c r="C64" s="114">
        <f>'3 melléklet'!C15</f>
        <v>25275643.35</v>
      </c>
      <c r="D64" s="112" t="s">
        <v>39</v>
      </c>
      <c r="E64" s="113" t="s">
        <v>40</v>
      </c>
      <c r="F64" s="258">
        <f>'3 melléklet'!F15</f>
        <v>0</v>
      </c>
    </row>
    <row r="65" spans="1:6" ht="15">
      <c r="A65" s="20" t="s">
        <v>45</v>
      </c>
      <c r="B65" s="21" t="s">
        <v>59</v>
      </c>
      <c r="C65" s="258">
        <f>'3 melléklet'!C16</f>
        <v>380932</v>
      </c>
      <c r="D65" s="115" t="s">
        <v>42</v>
      </c>
      <c r="E65" s="116" t="s">
        <v>43</v>
      </c>
      <c r="F65" s="114">
        <f>'3 melléklet'!F16</f>
        <v>0</v>
      </c>
    </row>
    <row r="66" spans="1:6" ht="15">
      <c r="A66" s="20" t="s">
        <v>48</v>
      </c>
      <c r="B66" s="21" t="s">
        <v>96</v>
      </c>
      <c r="C66" s="258">
        <f>'3 melléklet'!C17</f>
        <v>24894711.35</v>
      </c>
      <c r="D66" s="110"/>
      <c r="E66" s="109"/>
      <c r="F66" s="114"/>
    </row>
    <row r="67" spans="1:6" ht="15">
      <c r="A67" s="31"/>
      <c r="B67" s="24" t="s">
        <v>63</v>
      </c>
      <c r="C67" s="114">
        <f>'3 melléklet'!C18</f>
        <v>43681495.35</v>
      </c>
      <c r="D67" s="111"/>
      <c r="E67" s="109" t="s">
        <v>64</v>
      </c>
      <c r="F67" s="114">
        <f>'3 melléklet'!F18</f>
        <v>43681495.35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5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62" customWidth="1"/>
    <col min="2" max="2" width="28.421875" style="62" customWidth="1"/>
    <col min="3" max="3" width="35.00390625" style="62" customWidth="1"/>
    <col min="4" max="4" width="9.140625" style="62" customWidth="1"/>
    <col min="5" max="5" width="32.00390625" style="62" customWidth="1"/>
    <col min="6" max="6" width="26.7109375" style="62" customWidth="1"/>
    <col min="7" max="16384" width="9.140625" style="62" customWidth="1"/>
  </cols>
  <sheetData>
    <row r="1" spans="1:8" ht="15" customHeight="1">
      <c r="A1" s="292" t="s">
        <v>423</v>
      </c>
      <c r="B1" s="292"/>
      <c r="C1" s="292"/>
      <c r="D1" s="292"/>
      <c r="E1" s="292"/>
      <c r="F1" s="292"/>
      <c r="G1" s="292"/>
      <c r="H1" s="268"/>
    </row>
    <row r="2" ht="26.25" customHeight="1"/>
    <row r="3" spans="1:8" ht="15" customHeight="1">
      <c r="A3" s="281" t="s">
        <v>120</v>
      </c>
      <c r="B3" s="281"/>
      <c r="C3" s="281"/>
      <c r="D3" s="281"/>
      <c r="E3" s="281"/>
      <c r="F3" s="281"/>
      <c r="G3" s="281"/>
      <c r="H3" s="267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7" ht="15">
      <c r="A5" s="103"/>
      <c r="B5" s="103"/>
      <c r="C5" s="103"/>
      <c r="D5" s="103"/>
      <c r="E5" s="103"/>
      <c r="F5" s="103"/>
      <c r="G5" s="104" t="s">
        <v>9</v>
      </c>
    </row>
    <row r="6" spans="1:7" ht="26.25">
      <c r="A6" s="102" t="s">
        <v>116</v>
      </c>
      <c r="B6" s="102" t="s">
        <v>117</v>
      </c>
      <c r="C6" s="102" t="s">
        <v>118</v>
      </c>
      <c r="D6" s="102">
        <v>2020</v>
      </c>
      <c r="E6" s="102">
        <v>2021</v>
      </c>
      <c r="F6" s="102">
        <v>2022</v>
      </c>
      <c r="G6" s="102">
        <v>2023</v>
      </c>
    </row>
    <row r="7" spans="1:7" ht="26.25">
      <c r="A7" s="99" t="s">
        <v>119</v>
      </c>
      <c r="B7" s="99" t="s">
        <v>121</v>
      </c>
      <c r="C7" s="101" t="s">
        <v>122</v>
      </c>
      <c r="D7" s="105">
        <v>378978</v>
      </c>
      <c r="E7" s="105">
        <v>378978</v>
      </c>
      <c r="F7" s="105">
        <v>378978</v>
      </c>
      <c r="G7" s="105">
        <v>94746</v>
      </c>
    </row>
    <row r="8" spans="1:7" ht="26.25">
      <c r="A8" s="99" t="s">
        <v>124</v>
      </c>
      <c r="B8" s="99" t="s">
        <v>125</v>
      </c>
      <c r="C8" s="101" t="s">
        <v>126</v>
      </c>
      <c r="D8" s="105">
        <v>1069608</v>
      </c>
      <c r="E8" s="105">
        <v>900253</v>
      </c>
      <c r="F8" s="105">
        <v>0</v>
      </c>
      <c r="G8" s="105">
        <v>0</v>
      </c>
    </row>
  </sheetData>
  <sheetProtection/>
  <mergeCells count="2"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57421875" style="0" customWidth="1"/>
    <col min="2" max="2" width="28.421875" style="0" customWidth="1"/>
    <col min="3" max="3" width="35.00390625" style="0" customWidth="1"/>
    <col min="5" max="5" width="32.00390625" style="0" customWidth="1"/>
    <col min="6" max="6" width="26.7109375" style="0" customWidth="1"/>
  </cols>
  <sheetData>
    <row r="1" spans="1:3" ht="15">
      <c r="A1" s="282" t="s">
        <v>424</v>
      </c>
      <c r="B1" s="282"/>
      <c r="C1" s="282"/>
    </row>
    <row r="2" spans="1:3" ht="26.25" customHeight="1">
      <c r="A2" s="283" t="s">
        <v>99</v>
      </c>
      <c r="B2" s="283"/>
      <c r="C2" s="283"/>
    </row>
    <row r="3" spans="1:3" ht="43.5" customHeight="1">
      <c r="A3" s="84" t="s">
        <v>413</v>
      </c>
      <c r="B3" s="117">
        <v>657000</v>
      </c>
      <c r="C3" s="85" t="s">
        <v>100</v>
      </c>
    </row>
    <row r="4" spans="1:3" ht="30">
      <c r="A4" s="87" t="s">
        <v>101</v>
      </c>
      <c r="B4" s="118">
        <f>SUM(B3:B3)</f>
        <v>657000</v>
      </c>
      <c r="C4" s="88" t="s">
        <v>100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57421875" style="62" customWidth="1"/>
    <col min="2" max="2" width="28.421875" style="62" customWidth="1"/>
    <col min="3" max="3" width="35.00390625" style="62" customWidth="1"/>
    <col min="4" max="4" width="24.7109375" style="62" customWidth="1"/>
    <col min="5" max="5" width="32.00390625" style="62" customWidth="1"/>
    <col min="6" max="6" width="26.7109375" style="62" customWidth="1"/>
    <col min="7" max="16384" width="9.140625" style="62" customWidth="1"/>
  </cols>
  <sheetData>
    <row r="1" spans="1:4" ht="15">
      <c r="A1" s="293" t="s">
        <v>425</v>
      </c>
      <c r="B1" s="294"/>
      <c r="C1" s="294"/>
      <c r="D1" s="294"/>
    </row>
    <row r="2" spans="1:4" ht="26.25" customHeight="1">
      <c r="A2" s="283" t="s">
        <v>102</v>
      </c>
      <c r="B2" s="283"/>
      <c r="C2" s="283"/>
      <c r="D2" s="283"/>
    </row>
    <row r="3" spans="1:4" ht="53.25" customHeight="1" thickBot="1">
      <c r="A3" s="89" t="s">
        <v>103</v>
      </c>
      <c r="B3" s="89" t="s">
        <v>104</v>
      </c>
      <c r="C3" s="89" t="s">
        <v>105</v>
      </c>
      <c r="D3" s="89" t="s">
        <v>115</v>
      </c>
    </row>
    <row r="4" spans="1:4" ht="26.25">
      <c r="A4" s="284">
        <v>2021</v>
      </c>
      <c r="B4" s="90" t="s">
        <v>106</v>
      </c>
      <c r="C4" s="91">
        <f>Segédlet!B20</f>
        <v>1767370</v>
      </c>
      <c r="D4" s="287">
        <v>379</v>
      </c>
    </row>
    <row r="5" spans="1:4" ht="15">
      <c r="A5" s="284"/>
      <c r="B5" s="86" t="s">
        <v>5</v>
      </c>
      <c r="C5" s="91">
        <f>Segédlet!B21</f>
        <v>9318943</v>
      </c>
      <c r="D5" s="287"/>
    </row>
    <row r="6" spans="1:4" ht="26.25">
      <c r="A6" s="284"/>
      <c r="B6" s="86" t="s">
        <v>107</v>
      </c>
      <c r="C6" s="91">
        <f>Segédlet!B22</f>
        <v>2627708</v>
      </c>
      <c r="D6" s="287"/>
    </row>
    <row r="7" spans="1:4" ht="15">
      <c r="A7" s="284"/>
      <c r="B7" s="86" t="s">
        <v>8</v>
      </c>
      <c r="C7" s="92">
        <v>0</v>
      </c>
      <c r="D7" s="287"/>
    </row>
    <row r="8" spans="1:4" ht="15.75" thickBot="1">
      <c r="A8" s="284"/>
      <c r="B8" s="93" t="s">
        <v>4</v>
      </c>
      <c r="C8" s="94">
        <f>SUM(C4:C7)</f>
        <v>13714021</v>
      </c>
      <c r="D8" s="287"/>
    </row>
    <row r="9" spans="1:4" ht="15">
      <c r="A9" s="284"/>
      <c r="B9" s="90" t="s">
        <v>109</v>
      </c>
      <c r="C9" s="91">
        <f>Segédlet!B25+Segédlet!B26</f>
        <v>1020000</v>
      </c>
      <c r="D9" s="287"/>
    </row>
    <row r="10" spans="1:4" ht="26.25">
      <c r="A10" s="284"/>
      <c r="B10" s="86" t="s">
        <v>110</v>
      </c>
      <c r="C10" s="92">
        <f>('Segédlet konyha'!B6+'Segédlet konyha'!B7)/1.27</f>
        <v>4217351.181102362</v>
      </c>
      <c r="D10" s="287"/>
    </row>
    <row r="11" spans="1:4" ht="15">
      <c r="A11" s="284"/>
      <c r="B11" s="86" t="s">
        <v>111</v>
      </c>
      <c r="C11" s="92">
        <f>('Segédlet konyha'!B8)/1.27</f>
        <v>10275445.669291338</v>
      </c>
      <c r="D11" s="287"/>
    </row>
    <row r="12" spans="1:4" ht="15">
      <c r="A12" s="284"/>
      <c r="B12" s="86" t="s">
        <v>85</v>
      </c>
      <c r="C12" s="92">
        <f>Segédlet!B28/1.2</f>
        <v>6973795</v>
      </c>
      <c r="D12" s="287"/>
    </row>
    <row r="13" spans="1:4" ht="26.25">
      <c r="A13" s="284"/>
      <c r="B13" s="86" t="s">
        <v>112</v>
      </c>
      <c r="C13" s="92">
        <f>Segédlet!B29/1.27</f>
        <v>2116980.3149606297</v>
      </c>
      <c r="D13" s="287"/>
    </row>
    <row r="14" spans="1:4" ht="26.25">
      <c r="A14" s="284"/>
      <c r="B14" s="86" t="s">
        <v>113</v>
      </c>
      <c r="C14" s="92">
        <f>Segédlet!B30/1.27</f>
        <v>1882036.2204724408</v>
      </c>
      <c r="D14" s="287"/>
    </row>
    <row r="15" spans="1:4" ht="15">
      <c r="A15" s="284"/>
      <c r="B15" s="86" t="s">
        <v>114</v>
      </c>
      <c r="C15" s="92">
        <f>(C10+C11+C13+C14)*0.27+C12*0.2</f>
        <v>6387548.614173228</v>
      </c>
      <c r="D15" s="287"/>
    </row>
    <row r="16" spans="1:4" ht="15.75" thickBot="1">
      <c r="A16" s="284"/>
      <c r="B16" s="95" t="s">
        <v>3</v>
      </c>
      <c r="C16" s="96">
        <f>SUM(C9:C15)</f>
        <v>32873157</v>
      </c>
      <c r="D16" s="287"/>
    </row>
    <row r="17" spans="1:4" ht="16.5" thickBot="1" thickTop="1">
      <c r="A17" s="286"/>
      <c r="B17" s="97" t="s">
        <v>82</v>
      </c>
      <c r="C17" s="98">
        <f>C8+C16</f>
        <v>46587178</v>
      </c>
      <c r="D17" s="288"/>
    </row>
    <row r="18" spans="1:4" ht="26.25">
      <c r="A18" s="284">
        <v>2022</v>
      </c>
      <c r="B18" s="90" t="s">
        <v>106</v>
      </c>
      <c r="C18" s="91">
        <f>C4</f>
        <v>1767370</v>
      </c>
      <c r="D18" s="287">
        <v>379</v>
      </c>
    </row>
    <row r="19" spans="1:4" ht="15">
      <c r="A19" s="284"/>
      <c r="B19" s="86" t="s">
        <v>5</v>
      </c>
      <c r="C19" s="91">
        <f aca="true" t="shared" si="0" ref="C19:C30">C5*1.05</f>
        <v>9784890.15</v>
      </c>
      <c r="D19" s="287"/>
    </row>
    <row r="20" spans="1:4" ht="26.25">
      <c r="A20" s="284"/>
      <c r="B20" s="86" t="s">
        <v>107</v>
      </c>
      <c r="C20" s="91">
        <f t="shared" si="0"/>
        <v>2759093.4</v>
      </c>
      <c r="D20" s="287"/>
    </row>
    <row r="21" spans="1:4" ht="15">
      <c r="A21" s="284"/>
      <c r="B21" s="86" t="s">
        <v>108</v>
      </c>
      <c r="C21" s="92">
        <f t="shared" si="0"/>
        <v>0</v>
      </c>
      <c r="D21" s="287"/>
    </row>
    <row r="22" spans="1:4" ht="15.75" thickBot="1">
      <c r="A22" s="284"/>
      <c r="B22" s="93" t="s">
        <v>4</v>
      </c>
      <c r="C22" s="94">
        <f t="shared" si="0"/>
        <v>14399722.05</v>
      </c>
      <c r="D22" s="287"/>
    </row>
    <row r="23" spans="1:4" ht="15">
      <c r="A23" s="284"/>
      <c r="B23" s="90" t="s">
        <v>109</v>
      </c>
      <c r="C23" s="91">
        <f t="shared" si="0"/>
        <v>1071000</v>
      </c>
      <c r="D23" s="287"/>
    </row>
    <row r="24" spans="1:4" ht="26.25">
      <c r="A24" s="284"/>
      <c r="B24" s="86" t="s">
        <v>110</v>
      </c>
      <c r="C24" s="92">
        <f t="shared" si="0"/>
        <v>4428218.74015748</v>
      </c>
      <c r="D24" s="287"/>
    </row>
    <row r="25" spans="1:4" ht="15">
      <c r="A25" s="284"/>
      <c r="B25" s="86" t="s">
        <v>111</v>
      </c>
      <c r="C25" s="92">
        <f t="shared" si="0"/>
        <v>10789217.952755906</v>
      </c>
      <c r="D25" s="287"/>
    </row>
    <row r="26" spans="1:4" ht="15">
      <c r="A26" s="284"/>
      <c r="B26" s="86" t="s">
        <v>85</v>
      </c>
      <c r="C26" s="92">
        <f t="shared" si="0"/>
        <v>7322484.75</v>
      </c>
      <c r="D26" s="287"/>
    </row>
    <row r="27" spans="1:4" ht="26.25">
      <c r="A27" s="284"/>
      <c r="B27" s="86" t="s">
        <v>112</v>
      </c>
      <c r="C27" s="92">
        <f t="shared" si="0"/>
        <v>2222829.330708661</v>
      </c>
      <c r="D27" s="287"/>
    </row>
    <row r="28" spans="1:4" ht="26.25">
      <c r="A28" s="284"/>
      <c r="B28" s="86" t="s">
        <v>113</v>
      </c>
      <c r="C28" s="92">
        <f t="shared" si="0"/>
        <v>1976138.0314960629</v>
      </c>
      <c r="D28" s="287"/>
    </row>
    <row r="29" spans="1:4" ht="15">
      <c r="A29" s="284"/>
      <c r="B29" s="86" t="s">
        <v>114</v>
      </c>
      <c r="C29" s="92">
        <f t="shared" si="0"/>
        <v>6706926.04488189</v>
      </c>
      <c r="D29" s="287"/>
    </row>
    <row r="30" spans="1:4" ht="15.75" thickBot="1">
      <c r="A30" s="284"/>
      <c r="B30" s="95" t="s">
        <v>3</v>
      </c>
      <c r="C30" s="96">
        <f t="shared" si="0"/>
        <v>34516814.85</v>
      </c>
      <c r="D30" s="287"/>
    </row>
    <row r="31" spans="1:4" ht="16.5" thickBot="1" thickTop="1">
      <c r="A31" s="286"/>
      <c r="B31" s="97" t="s">
        <v>82</v>
      </c>
      <c r="C31" s="98">
        <f>C22+C30</f>
        <v>48916536.900000006</v>
      </c>
      <c r="D31" s="288"/>
    </row>
    <row r="32" spans="1:4" ht="26.25">
      <c r="A32" s="284">
        <v>2023</v>
      </c>
      <c r="B32" s="90" t="s">
        <v>106</v>
      </c>
      <c r="C32" s="91">
        <f>C18</f>
        <v>1767370</v>
      </c>
      <c r="D32" s="287">
        <v>95</v>
      </c>
    </row>
    <row r="33" spans="1:4" ht="15">
      <c r="A33" s="284"/>
      <c r="B33" s="86" t="s">
        <v>5</v>
      </c>
      <c r="C33" s="91">
        <f aca="true" t="shared" si="1" ref="C33:C44">C19*1.05</f>
        <v>10274134.6575</v>
      </c>
      <c r="D33" s="287"/>
    </row>
    <row r="34" spans="1:4" ht="26.25">
      <c r="A34" s="284"/>
      <c r="B34" s="86" t="s">
        <v>107</v>
      </c>
      <c r="C34" s="91">
        <f t="shared" si="1"/>
        <v>2897048.07</v>
      </c>
      <c r="D34" s="287"/>
    </row>
    <row r="35" spans="1:4" ht="15">
      <c r="A35" s="284"/>
      <c r="B35" s="86" t="s">
        <v>108</v>
      </c>
      <c r="C35" s="92">
        <f t="shared" si="1"/>
        <v>0</v>
      </c>
      <c r="D35" s="287"/>
    </row>
    <row r="36" spans="1:4" ht="15.75" thickBot="1">
      <c r="A36" s="284"/>
      <c r="B36" s="93" t="s">
        <v>4</v>
      </c>
      <c r="C36" s="94">
        <f t="shared" si="1"/>
        <v>15119708.152500002</v>
      </c>
      <c r="D36" s="287"/>
    </row>
    <row r="37" spans="1:4" ht="15">
      <c r="A37" s="284"/>
      <c r="B37" s="90" t="s">
        <v>109</v>
      </c>
      <c r="C37" s="91">
        <f t="shared" si="1"/>
        <v>1124550</v>
      </c>
      <c r="D37" s="287"/>
    </row>
    <row r="38" spans="1:4" ht="26.25">
      <c r="A38" s="284"/>
      <c r="B38" s="86" t="s">
        <v>110</v>
      </c>
      <c r="C38" s="92">
        <f t="shared" si="1"/>
        <v>4649629.677165355</v>
      </c>
      <c r="D38" s="287"/>
    </row>
    <row r="39" spans="1:4" ht="15">
      <c r="A39" s="284"/>
      <c r="B39" s="86" t="s">
        <v>111</v>
      </c>
      <c r="C39" s="92">
        <f t="shared" si="1"/>
        <v>11328678.850393701</v>
      </c>
      <c r="D39" s="287"/>
    </row>
    <row r="40" spans="1:4" ht="15">
      <c r="A40" s="284"/>
      <c r="B40" s="86" t="s">
        <v>85</v>
      </c>
      <c r="C40" s="92">
        <f t="shared" si="1"/>
        <v>7688608.987500001</v>
      </c>
      <c r="D40" s="287"/>
    </row>
    <row r="41" spans="1:4" ht="26.25">
      <c r="A41" s="284"/>
      <c r="B41" s="86" t="s">
        <v>112</v>
      </c>
      <c r="C41" s="92">
        <f t="shared" si="1"/>
        <v>2333970.7972440943</v>
      </c>
      <c r="D41" s="287"/>
    </row>
    <row r="42" spans="1:4" ht="26.25">
      <c r="A42" s="284"/>
      <c r="B42" s="86" t="s">
        <v>113</v>
      </c>
      <c r="C42" s="92">
        <f t="shared" si="1"/>
        <v>2074944.9330708662</v>
      </c>
      <c r="D42" s="287"/>
    </row>
    <row r="43" spans="1:4" ht="15">
      <c r="A43" s="284"/>
      <c r="B43" s="86" t="s">
        <v>114</v>
      </c>
      <c r="C43" s="92">
        <f t="shared" si="1"/>
        <v>7042272.347125985</v>
      </c>
      <c r="D43" s="287"/>
    </row>
    <row r="44" spans="1:4" ht="15.75" thickBot="1">
      <c r="A44" s="284"/>
      <c r="B44" s="95" t="s">
        <v>3</v>
      </c>
      <c r="C44" s="96">
        <f t="shared" si="1"/>
        <v>36242655.5925</v>
      </c>
      <c r="D44" s="287"/>
    </row>
    <row r="45" spans="1:4" ht="16.5" thickBot="1" thickTop="1">
      <c r="A45" s="285"/>
      <c r="B45" s="97" t="s">
        <v>82</v>
      </c>
      <c r="C45" s="98">
        <f>C36+C44</f>
        <v>51362363.745000005</v>
      </c>
      <c r="D45" s="288"/>
    </row>
  </sheetData>
  <sheetProtection/>
  <mergeCells count="8">
    <mergeCell ref="A32:A45"/>
    <mergeCell ref="A1:D1"/>
    <mergeCell ref="A2:D2"/>
    <mergeCell ref="A4:A17"/>
    <mergeCell ref="D4:D17"/>
    <mergeCell ref="A18:A31"/>
    <mergeCell ref="D18:D31"/>
    <mergeCell ref="D32:D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view="pageLayout" zoomScale="55" zoomScaleNormal="50" zoomScalePageLayoutView="55" workbookViewId="0" topLeftCell="K1">
      <selection activeCell="T59" sqref="T59"/>
    </sheetView>
  </sheetViews>
  <sheetFormatPr defaultColWidth="9.140625" defaultRowHeight="15"/>
  <cols>
    <col min="1" max="1" width="12.421875" style="253" customWidth="1"/>
    <col min="2" max="2" width="28.421875" style="253" customWidth="1"/>
    <col min="3" max="3" width="35.00390625" style="250" customWidth="1"/>
    <col min="4" max="4" width="30.140625" style="226" customWidth="1"/>
    <col min="5" max="5" width="32.00390625" style="226" customWidth="1"/>
    <col min="6" max="6" width="26.7109375" style="250" customWidth="1"/>
    <col min="7" max="9" width="17.421875" style="250" customWidth="1"/>
    <col min="10" max="10" width="18.28125" style="250" customWidth="1"/>
    <col min="11" max="11" width="15.421875" style="250" customWidth="1"/>
    <col min="12" max="12" width="24.00390625" style="250" customWidth="1"/>
    <col min="13" max="13" width="29.00390625" style="250" customWidth="1"/>
    <col min="14" max="14" width="23.421875" style="250" customWidth="1"/>
    <col min="15" max="15" width="18.140625" style="250" customWidth="1"/>
    <col min="16" max="17" width="24.140625" style="250" customWidth="1"/>
    <col min="18" max="18" width="26.57421875" style="250" customWidth="1"/>
    <col min="19" max="19" width="23.140625" style="250" customWidth="1"/>
    <col min="20" max="20" width="20.7109375" style="250" customWidth="1"/>
    <col min="21" max="16384" width="9.140625" style="250" customWidth="1"/>
  </cols>
  <sheetData>
    <row r="1" spans="1:20" s="213" customFormat="1" ht="60.75">
      <c r="A1" s="209"/>
      <c r="B1" s="209"/>
      <c r="C1" s="210"/>
      <c r="D1" s="211" t="s">
        <v>305</v>
      </c>
      <c r="E1" s="211" t="s">
        <v>306</v>
      </c>
      <c r="F1" s="212" t="s">
        <v>307</v>
      </c>
      <c r="G1" s="212" t="s">
        <v>308</v>
      </c>
      <c r="H1" s="212" t="s">
        <v>309</v>
      </c>
      <c r="I1" s="212" t="s">
        <v>310</v>
      </c>
      <c r="J1" s="212" t="s">
        <v>193</v>
      </c>
      <c r="K1" s="212" t="s">
        <v>311</v>
      </c>
      <c r="L1" s="212" t="s">
        <v>400</v>
      </c>
      <c r="M1" s="212" t="s">
        <v>414</v>
      </c>
      <c r="N1" s="212" t="s">
        <v>312</v>
      </c>
      <c r="O1" s="212" t="s">
        <v>313</v>
      </c>
      <c r="P1" s="212" t="s">
        <v>314</v>
      </c>
      <c r="Q1" s="212" t="s">
        <v>405</v>
      </c>
      <c r="R1" s="212" t="s">
        <v>315</v>
      </c>
      <c r="S1" s="212" t="s">
        <v>316</v>
      </c>
      <c r="T1" s="212" t="s">
        <v>317</v>
      </c>
    </row>
    <row r="2" spans="1:20" s="221" customFormat="1" ht="23.25">
      <c r="A2" s="214" t="s">
        <v>318</v>
      </c>
      <c r="B2" s="215"/>
      <c r="C2" s="216"/>
      <c r="D2" s="217"/>
      <c r="E2" s="217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19"/>
      <c r="R2" s="218"/>
      <c r="S2" s="218"/>
      <c r="T2" s="220">
        <f>SUM(D2:P2)</f>
        <v>0</v>
      </c>
    </row>
    <row r="3" spans="1:20" s="226" customFormat="1" ht="23.25">
      <c r="A3" s="222" t="s">
        <v>319</v>
      </c>
      <c r="B3" s="222" t="s">
        <v>320</v>
      </c>
      <c r="C3" s="223"/>
      <c r="D3" s="224">
        <f>Segédlet!F12</f>
        <v>3420000</v>
      </c>
      <c r="E3" s="224"/>
      <c r="F3" s="224"/>
      <c r="G3" s="224"/>
      <c r="H3" s="224"/>
      <c r="I3" s="224">
        <f>Segédlet!F11</f>
        <v>6506125</v>
      </c>
      <c r="J3" s="224"/>
      <c r="K3" s="224">
        <f>Segédlet!F16+Segédlet!F13</f>
        <v>4886845</v>
      </c>
      <c r="L3" s="224"/>
      <c r="M3" s="224"/>
      <c r="N3" s="224">
        <f>Segédlet!F9</f>
        <v>10560960</v>
      </c>
      <c r="O3" s="224">
        <f>Segédlet!F10</f>
        <v>5185436</v>
      </c>
      <c r="P3" s="225">
        <f>Segédlet!F14</f>
        <v>1883700</v>
      </c>
      <c r="Q3" s="225"/>
      <c r="R3" s="224"/>
      <c r="S3" s="224"/>
      <c r="T3" s="220">
        <f aca="true" t="shared" si="0" ref="T3:T8">SUM(D3:S3)</f>
        <v>32443066</v>
      </c>
    </row>
    <row r="4" spans="1:20" s="226" customFormat="1" ht="23.25">
      <c r="A4" s="222" t="s">
        <v>321</v>
      </c>
      <c r="B4" s="227" t="s">
        <v>322</v>
      </c>
      <c r="C4" s="228"/>
      <c r="D4" s="224">
        <v>193000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>
        <v>54500</v>
      </c>
      <c r="P4" s="224"/>
      <c r="Q4" s="224"/>
      <c r="R4" s="224"/>
      <c r="S4" s="224"/>
      <c r="T4" s="220">
        <f t="shared" si="0"/>
        <v>247500</v>
      </c>
    </row>
    <row r="5" spans="1:20" s="226" customFormat="1" ht="23.25">
      <c r="A5" s="222" t="s">
        <v>323</v>
      </c>
      <c r="B5" s="227" t="s">
        <v>324</v>
      </c>
      <c r="C5" s="228"/>
      <c r="D5" s="224">
        <f>Segédlet!F8</f>
        <v>5504820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0">
        <f t="shared" si="0"/>
        <v>5504820</v>
      </c>
    </row>
    <row r="6" spans="1:20" s="226" customFormat="1" ht="23.25">
      <c r="A6" s="222" t="s">
        <v>325</v>
      </c>
      <c r="B6" s="227" t="s">
        <v>326</v>
      </c>
      <c r="C6" s="228"/>
      <c r="D6" s="229"/>
      <c r="E6" s="229"/>
      <c r="F6" s="224"/>
      <c r="G6" s="224"/>
      <c r="H6" s="224"/>
      <c r="I6" s="224"/>
      <c r="J6" s="224"/>
      <c r="K6" s="224"/>
      <c r="L6" s="224">
        <f>Segédlet!F19</f>
        <v>220000</v>
      </c>
      <c r="M6" s="224"/>
      <c r="N6" s="224"/>
      <c r="O6" s="224"/>
      <c r="P6" s="224"/>
      <c r="Q6" s="224"/>
      <c r="R6" s="224"/>
      <c r="S6" s="224">
        <f>Segédlet!F17+Segédlet!F18</f>
        <v>540449</v>
      </c>
      <c r="T6" s="220">
        <f t="shared" si="0"/>
        <v>760449</v>
      </c>
    </row>
    <row r="7" spans="1:20" s="226" customFormat="1" ht="23.25">
      <c r="A7" s="222" t="s">
        <v>327</v>
      </c>
      <c r="B7" s="230" t="s">
        <v>328</v>
      </c>
      <c r="C7" s="231"/>
      <c r="D7" s="229"/>
      <c r="E7" s="229"/>
      <c r="F7" s="224"/>
      <c r="G7" s="224"/>
      <c r="H7" s="224"/>
      <c r="I7" s="224">
        <f>Segédlet!F15</f>
        <v>800000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0">
        <f t="shared" si="0"/>
        <v>800000</v>
      </c>
    </row>
    <row r="8" spans="1:20" s="235" customFormat="1" ht="23.25">
      <c r="A8" s="232" t="s">
        <v>329</v>
      </c>
      <c r="B8" s="232"/>
      <c r="C8" s="233"/>
      <c r="D8" s="234">
        <f>SUM(D3:D7)</f>
        <v>9117820</v>
      </c>
      <c r="E8" s="234">
        <f aca="true" t="shared" si="1" ref="E8:S8">SUM(E3:E7)</f>
        <v>0</v>
      </c>
      <c r="F8" s="234">
        <f t="shared" si="1"/>
        <v>0</v>
      </c>
      <c r="G8" s="234">
        <f t="shared" si="1"/>
        <v>0</v>
      </c>
      <c r="H8" s="234">
        <f t="shared" si="1"/>
        <v>0</v>
      </c>
      <c r="I8" s="234">
        <f t="shared" si="1"/>
        <v>7306125</v>
      </c>
      <c r="J8" s="234">
        <f t="shared" si="1"/>
        <v>0</v>
      </c>
      <c r="K8" s="234">
        <f t="shared" si="1"/>
        <v>4886845</v>
      </c>
      <c r="L8" s="234">
        <f t="shared" si="1"/>
        <v>220000</v>
      </c>
      <c r="M8" s="234">
        <f t="shared" si="1"/>
        <v>0</v>
      </c>
      <c r="N8" s="234">
        <f t="shared" si="1"/>
        <v>10560960</v>
      </c>
      <c r="O8" s="234">
        <f t="shared" si="1"/>
        <v>5239936</v>
      </c>
      <c r="P8" s="234">
        <f t="shared" si="1"/>
        <v>1883700</v>
      </c>
      <c r="Q8" s="234">
        <f t="shared" si="1"/>
        <v>0</v>
      </c>
      <c r="R8" s="234">
        <f t="shared" si="1"/>
        <v>0</v>
      </c>
      <c r="S8" s="234">
        <f t="shared" si="1"/>
        <v>540449</v>
      </c>
      <c r="T8" s="220">
        <f t="shared" si="0"/>
        <v>39755835</v>
      </c>
    </row>
    <row r="9" spans="1:20" s="235" customFormat="1" ht="23.25">
      <c r="A9" s="236" t="s">
        <v>330</v>
      </c>
      <c r="B9" s="232" t="s">
        <v>398</v>
      </c>
      <c r="C9" s="233"/>
      <c r="D9" s="237">
        <f>Segédlet!G8+Segédlet!G12</f>
        <v>1436190</v>
      </c>
      <c r="E9" s="237"/>
      <c r="F9" s="237"/>
      <c r="G9" s="237"/>
      <c r="H9" s="237"/>
      <c r="I9" s="237">
        <f>Segédlet!G11</f>
        <v>1138571.875</v>
      </c>
      <c r="J9" s="237"/>
      <c r="K9" s="237">
        <f>Segédlet!G16+Segédlet!G13</f>
        <v>681838.9375</v>
      </c>
      <c r="L9" s="237">
        <f>Segédlet!G19</f>
        <v>34650</v>
      </c>
      <c r="M9" s="237"/>
      <c r="N9" s="237">
        <f>Segédlet!G9</f>
        <v>1846068</v>
      </c>
      <c r="O9" s="237">
        <f>Segédlet!G10</f>
        <v>907451.2999999999</v>
      </c>
      <c r="P9" s="237">
        <f>Segédlet!G14</f>
        <v>329647.5</v>
      </c>
      <c r="Q9" s="237"/>
      <c r="R9" s="237"/>
      <c r="S9" s="237">
        <f>Segédlet!G17+Segédlet!G18</f>
        <v>85121</v>
      </c>
      <c r="T9" s="220">
        <f aca="true" t="shared" si="2" ref="T9:T27">SUM(D9:S9)</f>
        <v>6459538.6125</v>
      </c>
    </row>
    <row r="10" spans="1:20" s="235" customFormat="1" ht="23.25">
      <c r="A10" s="236" t="s">
        <v>330</v>
      </c>
      <c r="B10" s="274" t="s">
        <v>399</v>
      </c>
      <c r="C10" s="275"/>
      <c r="D10" s="237"/>
      <c r="E10" s="237"/>
      <c r="F10" s="237"/>
      <c r="G10" s="237"/>
      <c r="H10" s="237"/>
      <c r="I10" s="237">
        <f>Segédlet!G15</f>
        <v>117000</v>
      </c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20">
        <f t="shared" si="2"/>
        <v>117000</v>
      </c>
    </row>
    <row r="11" spans="1:20" s="235" customFormat="1" ht="23.25">
      <c r="A11" s="236" t="s">
        <v>330</v>
      </c>
      <c r="B11" s="274" t="s">
        <v>410</v>
      </c>
      <c r="C11" s="275"/>
      <c r="D11" s="237">
        <f>SUM(D9:D10)</f>
        <v>1436190</v>
      </c>
      <c r="E11" s="237">
        <f aca="true" t="shared" si="3" ref="E11:S11">SUM(E9:E10)</f>
        <v>0</v>
      </c>
      <c r="F11" s="237">
        <f t="shared" si="3"/>
        <v>0</v>
      </c>
      <c r="G11" s="237">
        <f t="shared" si="3"/>
        <v>0</v>
      </c>
      <c r="H11" s="237">
        <f t="shared" si="3"/>
        <v>0</v>
      </c>
      <c r="I11" s="237">
        <f t="shared" si="3"/>
        <v>1255571.875</v>
      </c>
      <c r="J11" s="237">
        <f t="shared" si="3"/>
        <v>0</v>
      </c>
      <c r="K11" s="237">
        <f t="shared" si="3"/>
        <v>681838.9375</v>
      </c>
      <c r="L11" s="237">
        <f t="shared" si="3"/>
        <v>34650</v>
      </c>
      <c r="M11" s="237">
        <f t="shared" si="3"/>
        <v>0</v>
      </c>
      <c r="N11" s="237">
        <f t="shared" si="3"/>
        <v>1846068</v>
      </c>
      <c r="O11" s="237">
        <f t="shared" si="3"/>
        <v>907451.2999999999</v>
      </c>
      <c r="P11" s="237">
        <f t="shared" si="3"/>
        <v>329647.5</v>
      </c>
      <c r="Q11" s="237">
        <f t="shared" si="3"/>
        <v>0</v>
      </c>
      <c r="R11" s="237">
        <f t="shared" si="3"/>
        <v>0</v>
      </c>
      <c r="S11" s="237">
        <f t="shared" si="3"/>
        <v>85121</v>
      </c>
      <c r="T11" s="220">
        <f t="shared" si="2"/>
        <v>6576538.6125</v>
      </c>
    </row>
    <row r="12" spans="1:20" s="241" customFormat="1" ht="23.25">
      <c r="A12" s="238" t="s">
        <v>159</v>
      </c>
      <c r="B12" s="238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20">
        <f t="shared" si="2"/>
        <v>0</v>
      </c>
    </row>
    <row r="13" spans="1:20" s="226" customFormat="1" ht="23.25">
      <c r="A13" s="222" t="s">
        <v>331</v>
      </c>
      <c r="B13" s="222" t="s">
        <v>332</v>
      </c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>
        <v>350000</v>
      </c>
      <c r="O13" s="224"/>
      <c r="P13" s="224"/>
      <c r="Q13" s="224"/>
      <c r="R13" s="224"/>
      <c r="S13" s="224"/>
      <c r="T13" s="220">
        <f t="shared" si="2"/>
        <v>350000</v>
      </c>
    </row>
    <row r="14" spans="1:20" s="226" customFormat="1" ht="44.25" customHeight="1">
      <c r="A14" s="222" t="s">
        <v>333</v>
      </c>
      <c r="B14" s="222" t="s">
        <v>334</v>
      </c>
      <c r="C14" s="223"/>
      <c r="D14" s="224">
        <v>100000</v>
      </c>
      <c r="E14" s="224">
        <f>Segédlet!F30*0.7/1.27</f>
        <v>325833.46456692915</v>
      </c>
      <c r="F14" s="224"/>
      <c r="G14" s="224"/>
      <c r="H14" s="224"/>
      <c r="I14" s="224">
        <f>Segédlet!F29*0.7/1.27</f>
        <v>173477.08661417323</v>
      </c>
      <c r="J14" s="224"/>
      <c r="K14" s="224">
        <f>Segédlet!F38/2/1.27+Segédlet!F28*0.7/1.27</f>
        <v>765864.8818897638</v>
      </c>
      <c r="L14" s="224"/>
      <c r="M14" s="224">
        <f>0.7*Segédlet!F36/1.27</f>
        <v>389174.6456692913</v>
      </c>
      <c r="N14" s="224">
        <f>Segédlet!F24/2/1.27+Segédlet!F25/2/1.27-350000</f>
        <v>427009.05511811015</v>
      </c>
      <c r="O14" s="224">
        <f>Segédlet!F27/2/1.27</f>
        <v>179287.79527559056</v>
      </c>
      <c r="P14" s="224">
        <v>50000</v>
      </c>
      <c r="Q14" s="224"/>
      <c r="R14" s="224"/>
      <c r="S14" s="224">
        <f>Segédlet!F33/2/1.27-100000</f>
        <v>380857.87401574804</v>
      </c>
      <c r="T14" s="220">
        <f t="shared" si="2"/>
        <v>2791504.803149606</v>
      </c>
    </row>
    <row r="15" spans="1:20" s="226" customFormat="1" ht="23.25">
      <c r="A15" s="222" t="s">
        <v>335</v>
      </c>
      <c r="B15" s="222" t="s">
        <v>336</v>
      </c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>
        <f>Segédlet!F37/1.2</f>
        <v>4136770.8333333335</v>
      </c>
      <c r="Q15" s="224"/>
      <c r="R15" s="224"/>
      <c r="S15" s="224"/>
      <c r="T15" s="220">
        <f t="shared" si="2"/>
        <v>4136770.8333333335</v>
      </c>
    </row>
    <row r="16" spans="1:20" s="244" customFormat="1" ht="23.25">
      <c r="A16" s="238"/>
      <c r="B16" s="242" t="s">
        <v>337</v>
      </c>
      <c r="C16" s="243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20">
        <f t="shared" si="2"/>
        <v>0</v>
      </c>
    </row>
    <row r="17" spans="1:20" s="226" customFormat="1" ht="23.25">
      <c r="A17" s="222" t="s">
        <v>338</v>
      </c>
      <c r="B17" s="222" t="s">
        <v>339</v>
      </c>
      <c r="C17" s="223"/>
      <c r="D17" s="224">
        <f>Segédlet!F48/1.05</f>
        <v>59923.80952380952</v>
      </c>
      <c r="E17" s="224"/>
      <c r="F17" s="224"/>
      <c r="G17" s="224"/>
      <c r="H17" s="224"/>
      <c r="I17" s="224">
        <f>Segédlet!F44+Segédlet!F45</f>
        <v>335000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0">
        <f t="shared" si="2"/>
        <v>394923.8095238095</v>
      </c>
    </row>
    <row r="18" spans="1:20" s="226" customFormat="1" ht="23.25">
      <c r="A18" s="222" t="s">
        <v>340</v>
      </c>
      <c r="B18" s="222" t="s">
        <v>341</v>
      </c>
      <c r="C18" s="223"/>
      <c r="D18" s="224"/>
      <c r="E18" s="224"/>
      <c r="F18" s="224"/>
      <c r="G18" s="224"/>
      <c r="H18" s="224"/>
      <c r="I18" s="224">
        <f>Segédlet!F49/1.27</f>
        <v>292758.2677165354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0">
        <f t="shared" si="2"/>
        <v>292758.2677165354</v>
      </c>
    </row>
    <row r="19" spans="1:20" s="244" customFormat="1" ht="23.25">
      <c r="A19" s="238"/>
      <c r="B19" s="242" t="s">
        <v>342</v>
      </c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20">
        <f t="shared" si="2"/>
        <v>0</v>
      </c>
    </row>
    <row r="20" spans="1:20" s="226" customFormat="1" ht="23.25">
      <c r="A20" s="222" t="s">
        <v>343</v>
      </c>
      <c r="B20" s="222" t="s">
        <v>344</v>
      </c>
      <c r="C20" s="223"/>
      <c r="D20" s="224"/>
      <c r="E20" s="224"/>
      <c r="F20" s="224">
        <v>209021</v>
      </c>
      <c r="G20" s="224"/>
      <c r="H20" s="224"/>
      <c r="I20" s="224">
        <f>Segédlet!F40/1.27-209021</f>
        <v>1024906.5590551181</v>
      </c>
      <c r="J20" s="224"/>
      <c r="K20" s="224"/>
      <c r="L20" s="224"/>
      <c r="M20" s="224">
        <f>Segédlet!F35/1.27</f>
        <v>690355.1181102362</v>
      </c>
      <c r="N20" s="224">
        <f>Segédlet!F22/1.27</f>
        <v>392733.0708661417</v>
      </c>
      <c r="O20" s="224">
        <f>Segédlet!F26/1.27</f>
        <v>213703.1496062992</v>
      </c>
      <c r="P20" s="224"/>
      <c r="Q20" s="224"/>
      <c r="R20" s="224"/>
      <c r="S20" s="224">
        <f>Segédlet!F31/1.27</f>
        <v>560881.8897637795</v>
      </c>
      <c r="T20" s="220">
        <f t="shared" si="2"/>
        <v>3091600.7874015747</v>
      </c>
    </row>
    <row r="21" spans="1:20" s="226" customFormat="1" ht="23.25">
      <c r="A21" s="222" t="s">
        <v>345</v>
      </c>
      <c r="B21" s="222" t="s">
        <v>346</v>
      </c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0">
        <f t="shared" si="2"/>
        <v>0</v>
      </c>
    </row>
    <row r="22" spans="1:20" s="226" customFormat="1" ht="23.25">
      <c r="A22" s="222" t="s">
        <v>347</v>
      </c>
      <c r="B22" s="222" t="s">
        <v>348</v>
      </c>
      <c r="C22" s="223"/>
      <c r="D22" s="224"/>
      <c r="E22" s="224"/>
      <c r="F22" s="224">
        <f>Segédlet!F43/1.27</f>
        <v>842211.0236220473</v>
      </c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0">
        <f t="shared" si="2"/>
        <v>842211.0236220473</v>
      </c>
    </row>
    <row r="23" spans="1:20" s="226" customFormat="1" ht="23.25">
      <c r="A23" s="222" t="s">
        <v>349</v>
      </c>
      <c r="B23" s="222" t="s">
        <v>350</v>
      </c>
      <c r="C23" s="223"/>
      <c r="D23" s="224"/>
      <c r="E23" s="224"/>
      <c r="F23" s="224">
        <f>Segédlet!F41/1.27</f>
        <v>99000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>
        <f>Segédlet!F32/1.27</f>
        <v>393700.7874015748</v>
      </c>
      <c r="T23" s="220">
        <f t="shared" si="2"/>
        <v>492700.7874015748</v>
      </c>
    </row>
    <row r="24" spans="1:20" s="226" customFormat="1" ht="23.25">
      <c r="A24" s="222" t="s">
        <v>351</v>
      </c>
      <c r="B24" s="222" t="s">
        <v>352</v>
      </c>
      <c r="C24" s="223"/>
      <c r="D24" s="224"/>
      <c r="E24" s="224"/>
      <c r="F24" s="224"/>
      <c r="G24" s="224"/>
      <c r="H24" s="224"/>
      <c r="I24" s="224">
        <f>Segédlet!F54/1.27</f>
        <v>1882036.2204724408</v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0">
        <f t="shared" si="2"/>
        <v>1882036.2204724408</v>
      </c>
    </row>
    <row r="25" spans="1:20" s="226" customFormat="1" ht="23.25">
      <c r="A25" s="222" t="s">
        <v>353</v>
      </c>
      <c r="B25" s="222" t="s">
        <v>354</v>
      </c>
      <c r="C25" s="223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>
        <v>150000</v>
      </c>
      <c r="O25" s="224">
        <v>50000</v>
      </c>
      <c r="P25" s="224"/>
      <c r="Q25" s="224"/>
      <c r="R25" s="224"/>
      <c r="S25" s="224"/>
      <c r="T25" s="220">
        <f t="shared" si="2"/>
        <v>200000</v>
      </c>
    </row>
    <row r="26" spans="1:20" s="226" customFormat="1" ht="23.25">
      <c r="A26" s="222" t="s">
        <v>355</v>
      </c>
      <c r="B26" s="222" t="s">
        <v>356</v>
      </c>
      <c r="C26" s="223"/>
      <c r="D26" s="224"/>
      <c r="E26" s="224">
        <f>Segédlet!F30*0.3/1.27</f>
        <v>139642.91338582677</v>
      </c>
      <c r="F26" s="224"/>
      <c r="G26" s="224"/>
      <c r="H26" s="224"/>
      <c r="I26" s="224">
        <f>Segédlet!F29*0.3/1.27+Segédlet!F42/1.27+Segédlet!F47/1.27+Segédlet!F50/1.27+Segédlet!F51</f>
        <v>1166861.9685039371</v>
      </c>
      <c r="J26" s="224"/>
      <c r="K26" s="224">
        <f>Segédlet!F38/2/1.27+Segédlet!F28*0.3/1.27</f>
        <v>553199.6850393701</v>
      </c>
      <c r="L26" s="224"/>
      <c r="M26" s="224">
        <f>0.3*Segédlet!F36/1.27</f>
        <v>166789.1338582677</v>
      </c>
      <c r="N26" s="224">
        <f>Segédlet!F24/2/1.27+Segédlet!F25/2/1.27-150000</f>
        <v>627009.0551181101</v>
      </c>
      <c r="O26" s="224">
        <f>Segédlet!F27/2/1.27-50000</f>
        <v>129287.79527559056</v>
      </c>
      <c r="P26" s="224"/>
      <c r="Q26" s="224"/>
      <c r="R26" s="224"/>
      <c r="S26" s="224">
        <f>Segédlet!F33/2/1.27-50000</f>
        <v>430857.87401574804</v>
      </c>
      <c r="T26" s="220">
        <f t="shared" si="2"/>
        <v>3213648.42519685</v>
      </c>
    </row>
    <row r="27" spans="1:20" s="226" customFormat="1" ht="23.25">
      <c r="A27" s="222" t="s">
        <v>357</v>
      </c>
      <c r="B27" s="222" t="s">
        <v>358</v>
      </c>
      <c r="C27" s="223"/>
      <c r="D27" s="224"/>
      <c r="E27" s="224"/>
      <c r="F27" s="224"/>
      <c r="G27" s="224"/>
      <c r="H27" s="224"/>
      <c r="I27" s="224">
        <f>Segédlet!F46</f>
        <v>421134</v>
      </c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0">
        <f t="shared" si="2"/>
        <v>421134</v>
      </c>
    </row>
    <row r="28" spans="1:20" s="226" customFormat="1" ht="23.25">
      <c r="A28" s="222" t="s">
        <v>401</v>
      </c>
      <c r="B28" s="276" t="s">
        <v>402</v>
      </c>
      <c r="C28" s="277"/>
      <c r="D28" s="224">
        <f>D17*0.05+D14*0.27</f>
        <v>29996.190476190477</v>
      </c>
      <c r="E28" s="224">
        <f>(E14+E26)*0.27</f>
        <v>125678.6220472441</v>
      </c>
      <c r="F28" s="224">
        <f>F23*0.27+F22*0.27+F20*0.27</f>
        <v>310562.64637795277</v>
      </c>
      <c r="G28" s="224"/>
      <c r="H28" s="224"/>
      <c r="I28" s="224">
        <f>(I14+I20+I18+I24)*0.27+(Segédlet!F29*0.3/1.27+Segédlet!F42/1.27+Segédlet!F47/1.27+Segédlet!F50/1.27)*0.27</f>
        <v>1017160.2276377951</v>
      </c>
      <c r="J28" s="224">
        <f>(J14+J26)*0.27</f>
        <v>0</v>
      </c>
      <c r="K28" s="224">
        <f>(K14+K26)*0.27</f>
        <v>356147.43307086616</v>
      </c>
      <c r="L28" s="224"/>
      <c r="M28" s="224">
        <f>(M14+M20+M26)*0.27</f>
        <v>336506.10236220475</v>
      </c>
      <c r="N28" s="224">
        <f>N20*0.27+69209+(N14+N26+N13+N25)*0.27</f>
        <v>594831.8188976378</v>
      </c>
      <c r="O28" s="224">
        <f>O20*0.27+(O14+O26+O25)*0.27</f>
        <v>154515.2598425197</v>
      </c>
      <c r="P28" s="224">
        <f>P15*0.2+P14*0.27</f>
        <v>840854.1666666667</v>
      </c>
      <c r="Q28" s="224"/>
      <c r="R28" s="224"/>
      <c r="S28" s="224">
        <f>SUM(S14:S26)*0.27</f>
        <v>476900.57480314956</v>
      </c>
      <c r="T28" s="220"/>
    </row>
    <row r="29" spans="1:20" s="226" customFormat="1" ht="23.25">
      <c r="A29" s="222" t="s">
        <v>359</v>
      </c>
      <c r="B29" s="222" t="s">
        <v>360</v>
      </c>
      <c r="C29" s="223"/>
      <c r="D29" s="224"/>
      <c r="E29" s="224"/>
      <c r="F29" s="224"/>
      <c r="G29" s="224"/>
      <c r="H29" s="224"/>
      <c r="I29" s="224">
        <f>Segédlet!F53</f>
        <v>1505000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0">
        <f aca="true" t="shared" si="4" ref="T29:T45">SUM(D29:S29)</f>
        <v>1505000</v>
      </c>
    </row>
    <row r="30" spans="1:20" s="226" customFormat="1" ht="23.25">
      <c r="A30" s="222" t="s">
        <v>361</v>
      </c>
      <c r="B30" s="222" t="s">
        <v>362</v>
      </c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0">
        <f t="shared" si="4"/>
        <v>0</v>
      </c>
    </row>
    <row r="31" spans="1:20" s="226" customFormat="1" ht="23.25">
      <c r="A31" s="222" t="s">
        <v>363</v>
      </c>
      <c r="B31" s="222" t="s">
        <v>364</v>
      </c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0">
        <f t="shared" si="4"/>
        <v>0</v>
      </c>
    </row>
    <row r="32" spans="1:20" s="244" customFormat="1" ht="23.25">
      <c r="A32" s="238"/>
      <c r="B32" s="242" t="s">
        <v>365</v>
      </c>
      <c r="C32" s="243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20">
        <f t="shared" si="4"/>
        <v>0</v>
      </c>
    </row>
    <row r="33" spans="1:20" s="226" customFormat="1" ht="23.25">
      <c r="A33" s="222" t="s">
        <v>366</v>
      </c>
      <c r="B33" s="222" t="s">
        <v>367</v>
      </c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>
        <v>48142</v>
      </c>
      <c r="O33" s="224"/>
      <c r="P33" s="224"/>
      <c r="Q33" s="224"/>
      <c r="R33" s="224"/>
      <c r="S33" s="224"/>
      <c r="T33" s="220">
        <f t="shared" si="4"/>
        <v>48142</v>
      </c>
    </row>
    <row r="34" spans="1:20" s="226" customFormat="1" ht="23.25">
      <c r="A34" s="222" t="s">
        <v>368</v>
      </c>
      <c r="B34" s="222" t="s">
        <v>369</v>
      </c>
      <c r="C34" s="223"/>
      <c r="D34" s="224">
        <v>50000</v>
      </c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>
        <f>Segédlet!F34</f>
        <v>200000</v>
      </c>
      <c r="T34" s="220">
        <f t="shared" si="4"/>
        <v>250000</v>
      </c>
    </row>
    <row r="35" spans="1:20" s="226" customFormat="1" ht="23.25">
      <c r="A35" s="222" t="s">
        <v>370</v>
      </c>
      <c r="B35" s="222" t="s">
        <v>371</v>
      </c>
      <c r="C35" s="223"/>
      <c r="D35" s="224"/>
      <c r="E35" s="224"/>
      <c r="F35" s="224"/>
      <c r="G35" s="224"/>
      <c r="H35" s="224"/>
      <c r="I35" s="224">
        <f>Segédlet!F62</f>
        <v>247275</v>
      </c>
      <c r="J35" s="224">
        <f>Segédlet!F52</f>
        <v>120000</v>
      </c>
      <c r="K35" s="224"/>
      <c r="L35" s="224"/>
      <c r="M35" s="224"/>
      <c r="N35" s="224"/>
      <c r="O35" s="224"/>
      <c r="P35" s="224"/>
      <c r="Q35" s="224"/>
      <c r="R35" s="224"/>
      <c r="S35" s="224"/>
      <c r="T35" s="220">
        <f t="shared" si="4"/>
        <v>367275</v>
      </c>
    </row>
    <row r="36" spans="1:20" s="226" customFormat="1" ht="23.25">
      <c r="A36" s="222" t="s">
        <v>372</v>
      </c>
      <c r="B36" s="222" t="s">
        <v>373</v>
      </c>
      <c r="C36" s="223"/>
      <c r="D36" s="224"/>
      <c r="E36" s="224">
        <v>2451960</v>
      </c>
      <c r="F36" s="224"/>
      <c r="G36" s="224">
        <v>1399389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>
        <f>Segédlet!F63</f>
        <v>155000</v>
      </c>
      <c r="R36" s="224"/>
      <c r="S36" s="224"/>
      <c r="T36" s="220">
        <f t="shared" si="4"/>
        <v>4006349</v>
      </c>
    </row>
    <row r="37" spans="1:20" s="226" customFormat="1" ht="23.25">
      <c r="A37" s="222" t="s">
        <v>374</v>
      </c>
      <c r="B37" s="222" t="s">
        <v>375</v>
      </c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0">
        <f t="shared" si="4"/>
        <v>0</v>
      </c>
    </row>
    <row r="38" spans="1:20" s="244" customFormat="1" ht="23.25">
      <c r="A38" s="238"/>
      <c r="B38" s="242" t="s">
        <v>376</v>
      </c>
      <c r="C38" s="243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20">
        <f t="shared" si="4"/>
        <v>0</v>
      </c>
    </row>
    <row r="39" spans="1:20" s="246" customFormat="1" ht="23.25">
      <c r="A39" s="214" t="s">
        <v>377</v>
      </c>
      <c r="B39" s="214"/>
      <c r="C39" s="245"/>
      <c r="D39" s="240">
        <f>SUM(D13:D38)</f>
        <v>239920</v>
      </c>
      <c r="E39" s="240">
        <f aca="true" t="shared" si="5" ref="E39:S39">SUM(E13:E38)</f>
        <v>3043115</v>
      </c>
      <c r="F39" s="240">
        <f t="shared" si="5"/>
        <v>1460794.67</v>
      </c>
      <c r="G39" s="240">
        <f t="shared" si="5"/>
        <v>1399389</v>
      </c>
      <c r="H39" s="240">
        <f t="shared" si="5"/>
        <v>0</v>
      </c>
      <c r="I39" s="240">
        <f t="shared" si="5"/>
        <v>8065609.329999999</v>
      </c>
      <c r="J39" s="240">
        <f t="shared" si="5"/>
        <v>120000</v>
      </c>
      <c r="K39" s="240">
        <f t="shared" si="5"/>
        <v>1675212</v>
      </c>
      <c r="L39" s="240">
        <f t="shared" si="5"/>
        <v>0</v>
      </c>
      <c r="M39" s="240">
        <f t="shared" si="5"/>
        <v>1582825</v>
      </c>
      <c r="N39" s="240">
        <f t="shared" si="5"/>
        <v>2589725</v>
      </c>
      <c r="O39" s="240">
        <f t="shared" si="5"/>
        <v>726794</v>
      </c>
      <c r="P39" s="240">
        <f t="shared" si="5"/>
        <v>5027625</v>
      </c>
      <c r="Q39" s="240">
        <f t="shared" si="5"/>
        <v>155000</v>
      </c>
      <c r="R39" s="240">
        <f t="shared" si="5"/>
        <v>0</v>
      </c>
      <c r="S39" s="240">
        <f t="shared" si="5"/>
        <v>2443199</v>
      </c>
      <c r="T39" s="220">
        <f t="shared" si="4"/>
        <v>28529208</v>
      </c>
    </row>
    <row r="40" spans="1:20" s="241" customFormat="1" ht="23.25">
      <c r="A40" s="238" t="s">
        <v>378</v>
      </c>
      <c r="B40" s="238"/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20">
        <f t="shared" si="4"/>
        <v>0</v>
      </c>
    </row>
    <row r="41" spans="1:20" s="226" customFormat="1" ht="23.25">
      <c r="A41" s="222" t="s">
        <v>379</v>
      </c>
      <c r="B41" s="222" t="s">
        <v>380</v>
      </c>
      <c r="C41" s="223"/>
      <c r="D41" s="224"/>
      <c r="E41" s="224"/>
      <c r="F41" s="224"/>
      <c r="G41" s="224"/>
      <c r="H41" s="224"/>
      <c r="I41" s="224"/>
      <c r="J41" s="224">
        <f>Segédlet!F56</f>
        <v>1228700</v>
      </c>
      <c r="K41" s="224"/>
      <c r="L41" s="224"/>
      <c r="M41" s="224"/>
      <c r="N41" s="224"/>
      <c r="O41" s="224"/>
      <c r="P41" s="224"/>
      <c r="Q41" s="224"/>
      <c r="R41" s="224"/>
      <c r="S41" s="224"/>
      <c r="T41" s="220">
        <f t="shared" si="4"/>
        <v>1228700</v>
      </c>
    </row>
    <row r="42" spans="1:20" s="241" customFormat="1" ht="23.25">
      <c r="A42" s="238" t="s">
        <v>381</v>
      </c>
      <c r="B42" s="238"/>
      <c r="C42" s="239"/>
      <c r="D42" s="240">
        <f>SUM(D41)</f>
        <v>0</v>
      </c>
      <c r="E42" s="240">
        <f aca="true" t="shared" si="6" ref="E42:S42">SUM(E41)</f>
        <v>0</v>
      </c>
      <c r="F42" s="240">
        <f t="shared" si="6"/>
        <v>0</v>
      </c>
      <c r="G42" s="240">
        <f t="shared" si="6"/>
        <v>0</v>
      </c>
      <c r="H42" s="240">
        <f t="shared" si="6"/>
        <v>0</v>
      </c>
      <c r="I42" s="240">
        <f t="shared" si="6"/>
        <v>0</v>
      </c>
      <c r="J42" s="240">
        <f t="shared" si="6"/>
        <v>1228700</v>
      </c>
      <c r="K42" s="240">
        <f t="shared" si="6"/>
        <v>0</v>
      </c>
      <c r="L42" s="240">
        <f t="shared" si="6"/>
        <v>0</v>
      </c>
      <c r="M42" s="240">
        <f t="shared" si="6"/>
        <v>0</v>
      </c>
      <c r="N42" s="240">
        <f t="shared" si="6"/>
        <v>0</v>
      </c>
      <c r="O42" s="240">
        <f t="shared" si="6"/>
        <v>0</v>
      </c>
      <c r="P42" s="240">
        <f t="shared" si="6"/>
        <v>0</v>
      </c>
      <c r="Q42" s="240">
        <f t="shared" si="6"/>
        <v>0</v>
      </c>
      <c r="R42" s="240">
        <f t="shared" si="6"/>
        <v>0</v>
      </c>
      <c r="S42" s="240">
        <f t="shared" si="6"/>
        <v>0</v>
      </c>
      <c r="T42" s="220">
        <f t="shared" si="4"/>
        <v>1228700</v>
      </c>
    </row>
    <row r="43" spans="1:20" s="241" customFormat="1" ht="23.25">
      <c r="A43" s="238" t="s">
        <v>382</v>
      </c>
      <c r="B43" s="238"/>
      <c r="C43" s="239"/>
      <c r="D43" s="240">
        <f>D8+D11+D39+D42</f>
        <v>10793930</v>
      </c>
      <c r="E43" s="240">
        <f aca="true" t="shared" si="7" ref="E43:S43">E8+E11+E39+E42</f>
        <v>3043115</v>
      </c>
      <c r="F43" s="240">
        <f t="shared" si="7"/>
        <v>1460794.67</v>
      </c>
      <c r="G43" s="240">
        <f t="shared" si="7"/>
        <v>1399389</v>
      </c>
      <c r="H43" s="240">
        <f t="shared" si="7"/>
        <v>0</v>
      </c>
      <c r="I43" s="240">
        <f t="shared" si="7"/>
        <v>16627306.204999998</v>
      </c>
      <c r="J43" s="240">
        <f t="shared" si="7"/>
        <v>1348700</v>
      </c>
      <c r="K43" s="240">
        <f t="shared" si="7"/>
        <v>7243895.9375</v>
      </c>
      <c r="L43" s="240">
        <f t="shared" si="7"/>
        <v>254650</v>
      </c>
      <c r="M43" s="240">
        <f t="shared" si="7"/>
        <v>1582825</v>
      </c>
      <c r="N43" s="240">
        <f t="shared" si="7"/>
        <v>14996753</v>
      </c>
      <c r="O43" s="240">
        <f t="shared" si="7"/>
        <v>6874181.3</v>
      </c>
      <c r="P43" s="240">
        <f t="shared" si="7"/>
        <v>7240972.5</v>
      </c>
      <c r="Q43" s="240">
        <f t="shared" si="7"/>
        <v>155000</v>
      </c>
      <c r="R43" s="240">
        <f t="shared" si="7"/>
        <v>0</v>
      </c>
      <c r="S43" s="240">
        <f t="shared" si="7"/>
        <v>3068769</v>
      </c>
      <c r="T43" s="220">
        <f t="shared" si="4"/>
        <v>76090281.6125</v>
      </c>
    </row>
    <row r="44" spans="1:20" ht="23.25">
      <c r="A44" s="247" t="s">
        <v>383</v>
      </c>
      <c r="B44" s="222" t="s">
        <v>384</v>
      </c>
      <c r="C44" s="248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49">
        <f t="shared" si="4"/>
        <v>0</v>
      </c>
    </row>
    <row r="45" spans="1:20" ht="23.25">
      <c r="A45" s="247" t="s">
        <v>385</v>
      </c>
      <c r="B45" s="222" t="s">
        <v>386</v>
      </c>
      <c r="C45" s="248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49">
        <f t="shared" si="4"/>
        <v>0</v>
      </c>
    </row>
    <row r="46" spans="1:20" ht="23.25">
      <c r="A46" s="247" t="s">
        <v>406</v>
      </c>
      <c r="B46" s="276" t="s">
        <v>407</v>
      </c>
      <c r="C46" s="277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49"/>
    </row>
    <row r="47" spans="1:20" ht="23.25">
      <c r="A47" s="247" t="s">
        <v>387</v>
      </c>
      <c r="B47" s="222" t="s">
        <v>388</v>
      </c>
      <c r="C47" s="248"/>
      <c r="D47" s="224"/>
      <c r="E47" s="224"/>
      <c r="F47" s="224"/>
      <c r="G47" s="224"/>
      <c r="H47" s="224">
        <f>Segédlet!F67/1.27</f>
        <v>393700.7874015748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>
        <f>Segédlet!F69/1.27</f>
        <v>3692211.023622047</v>
      </c>
      <c r="S47" s="224"/>
      <c r="T47" s="249">
        <f>SUM(D47:S47)</f>
        <v>4085911.811023622</v>
      </c>
    </row>
    <row r="48" spans="1:20" ht="23.25">
      <c r="A48" s="247" t="s">
        <v>408</v>
      </c>
      <c r="B48" s="276" t="s">
        <v>409</v>
      </c>
      <c r="C48" s="277"/>
      <c r="D48" s="224"/>
      <c r="E48" s="224"/>
      <c r="F48" s="224"/>
      <c r="G48" s="224"/>
      <c r="H48" s="224">
        <f>H47*0.27</f>
        <v>106299.21259842519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>
        <f>R47*0.27</f>
        <v>996896.9763779528</v>
      </c>
      <c r="S48" s="224"/>
      <c r="T48" s="249"/>
    </row>
    <row r="49" spans="1:20" ht="23.25">
      <c r="A49" s="214" t="s">
        <v>200</v>
      </c>
      <c r="B49" s="214"/>
      <c r="C49" s="245"/>
      <c r="D49" s="240">
        <f>SUM(D44:D48)</f>
        <v>0</v>
      </c>
      <c r="E49" s="240">
        <f aca="true" t="shared" si="8" ref="E49:S49">SUM(E44:E48)</f>
        <v>0</v>
      </c>
      <c r="F49" s="240">
        <f t="shared" si="8"/>
        <v>0</v>
      </c>
      <c r="G49" s="240">
        <f t="shared" si="8"/>
        <v>0</v>
      </c>
      <c r="H49" s="240">
        <f t="shared" si="8"/>
        <v>500000</v>
      </c>
      <c r="I49" s="240">
        <f t="shared" si="8"/>
        <v>0</v>
      </c>
      <c r="J49" s="240">
        <f t="shared" si="8"/>
        <v>0</v>
      </c>
      <c r="K49" s="240">
        <f t="shared" si="8"/>
        <v>0</v>
      </c>
      <c r="L49" s="240">
        <f t="shared" si="8"/>
        <v>0</v>
      </c>
      <c r="M49" s="240">
        <f t="shared" si="8"/>
        <v>0</v>
      </c>
      <c r="N49" s="240">
        <f t="shared" si="8"/>
        <v>0</v>
      </c>
      <c r="O49" s="240">
        <f t="shared" si="8"/>
        <v>0</v>
      </c>
      <c r="P49" s="240">
        <f t="shared" si="8"/>
        <v>0</v>
      </c>
      <c r="Q49" s="240">
        <f t="shared" si="8"/>
        <v>0</v>
      </c>
      <c r="R49" s="240">
        <f t="shared" si="8"/>
        <v>4689108</v>
      </c>
      <c r="S49" s="240">
        <f t="shared" si="8"/>
        <v>0</v>
      </c>
      <c r="T49" s="249">
        <f>SUM(D49:S49)</f>
        <v>5189108</v>
      </c>
    </row>
    <row r="50" spans="1:20" s="246" customFormat="1" ht="23.25">
      <c r="A50" s="222" t="s">
        <v>389</v>
      </c>
      <c r="B50" s="214" t="s">
        <v>390</v>
      </c>
      <c r="C50" s="245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>
        <f>Segédlet!F72</f>
        <v>3031859</v>
      </c>
      <c r="S50" s="240"/>
      <c r="T50" s="220">
        <f>SUM(D50:S50)</f>
        <v>3031859</v>
      </c>
    </row>
    <row r="51" spans="1:20" s="226" customFormat="1" ht="23.25">
      <c r="A51" s="222" t="s">
        <v>391</v>
      </c>
      <c r="B51" s="247" t="s">
        <v>392</v>
      </c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>
        <f>'Segédlet óvoda'!B5</f>
        <v>30132514.75</v>
      </c>
      <c r="S51" s="224"/>
      <c r="T51" s="220">
        <f>SUM(D51:S51)</f>
        <v>30132514.75</v>
      </c>
    </row>
    <row r="52" spans="1:20" s="226" customFormat="1" ht="23.25">
      <c r="A52" s="222" t="s">
        <v>391</v>
      </c>
      <c r="B52" s="247" t="s">
        <v>393</v>
      </c>
      <c r="C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>
        <f>'Segédlet konyha'!B10</f>
        <v>24894711.35</v>
      </c>
      <c r="S52" s="224"/>
      <c r="T52" s="220">
        <f>SUM(D52:S52)</f>
        <v>24894711.35</v>
      </c>
    </row>
    <row r="53" spans="1:20" s="226" customFormat="1" ht="23.25">
      <c r="A53" s="222" t="s">
        <v>394</v>
      </c>
      <c r="B53" s="247" t="s">
        <v>395</v>
      </c>
      <c r="C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>
        <v>261627</v>
      </c>
      <c r="O53" s="224"/>
      <c r="P53" s="224"/>
      <c r="Q53" s="224"/>
      <c r="R53" s="224"/>
      <c r="S53" s="224"/>
      <c r="T53" s="220">
        <f>SUM(D53:S53)</f>
        <v>261627</v>
      </c>
    </row>
    <row r="54" spans="1:20" ht="23.25">
      <c r="A54" s="214" t="s">
        <v>205</v>
      </c>
      <c r="B54" s="214"/>
      <c r="C54" s="245"/>
      <c r="D54" s="240">
        <f>SUM(D50:D53)</f>
        <v>0</v>
      </c>
      <c r="E54" s="240">
        <f aca="true" t="shared" si="9" ref="E54:S54">SUM(E50:E53)</f>
        <v>0</v>
      </c>
      <c r="F54" s="240">
        <f t="shared" si="9"/>
        <v>0</v>
      </c>
      <c r="G54" s="240">
        <f t="shared" si="9"/>
        <v>0</v>
      </c>
      <c r="H54" s="240">
        <f t="shared" si="9"/>
        <v>0</v>
      </c>
      <c r="I54" s="240">
        <f t="shared" si="9"/>
        <v>0</v>
      </c>
      <c r="J54" s="240">
        <f t="shared" si="9"/>
        <v>0</v>
      </c>
      <c r="K54" s="240">
        <f t="shared" si="9"/>
        <v>0</v>
      </c>
      <c r="L54" s="240">
        <f t="shared" si="9"/>
        <v>0</v>
      </c>
      <c r="M54" s="240">
        <f t="shared" si="9"/>
        <v>0</v>
      </c>
      <c r="N54" s="240">
        <f t="shared" si="9"/>
        <v>261627</v>
      </c>
      <c r="O54" s="240">
        <f t="shared" si="9"/>
        <v>0</v>
      </c>
      <c r="P54" s="240">
        <f t="shared" si="9"/>
        <v>0</v>
      </c>
      <c r="Q54" s="240">
        <f t="shared" si="9"/>
        <v>0</v>
      </c>
      <c r="R54" s="240">
        <f t="shared" si="9"/>
        <v>58059085.1</v>
      </c>
      <c r="S54" s="240">
        <f t="shared" si="9"/>
        <v>0</v>
      </c>
      <c r="T54" s="249">
        <f>SUM(T50:T53)</f>
        <v>58320712.1</v>
      </c>
    </row>
    <row r="55" spans="1:20" s="226" customFormat="1" ht="23.25">
      <c r="A55" s="222" t="s">
        <v>396</v>
      </c>
      <c r="B55" s="222" t="s">
        <v>0</v>
      </c>
      <c r="C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>
        <f>Segédlet!F57</f>
        <v>13968305.225000001</v>
      </c>
      <c r="S55" s="224"/>
      <c r="T55" s="220">
        <f>SUM(D55:S55)</f>
        <v>13968305.225000001</v>
      </c>
    </row>
    <row r="56" spans="1:20" ht="23.25">
      <c r="A56" s="251" t="s">
        <v>397</v>
      </c>
      <c r="B56" s="247"/>
      <c r="C56" s="248"/>
      <c r="D56" s="237">
        <f>D43+D49+D54</f>
        <v>10793930</v>
      </c>
      <c r="E56" s="237">
        <f aca="true" t="shared" si="10" ref="E56:S56">E43+E49+E54</f>
        <v>3043115</v>
      </c>
      <c r="F56" s="237">
        <f t="shared" si="10"/>
        <v>1460794.67</v>
      </c>
      <c r="G56" s="237">
        <f t="shared" si="10"/>
        <v>1399389</v>
      </c>
      <c r="H56" s="237">
        <f t="shared" si="10"/>
        <v>500000</v>
      </c>
      <c r="I56" s="237">
        <f t="shared" si="10"/>
        <v>16627306.204999998</v>
      </c>
      <c r="J56" s="237">
        <f t="shared" si="10"/>
        <v>1348700</v>
      </c>
      <c r="K56" s="237">
        <f t="shared" si="10"/>
        <v>7243895.9375</v>
      </c>
      <c r="L56" s="237">
        <f t="shared" si="10"/>
        <v>254650</v>
      </c>
      <c r="M56" s="237">
        <f t="shared" si="10"/>
        <v>1582825</v>
      </c>
      <c r="N56" s="237">
        <f t="shared" si="10"/>
        <v>15258380</v>
      </c>
      <c r="O56" s="237">
        <f t="shared" si="10"/>
        <v>6874181.3</v>
      </c>
      <c r="P56" s="237">
        <f t="shared" si="10"/>
        <v>7240972.5</v>
      </c>
      <c r="Q56" s="237">
        <f t="shared" si="10"/>
        <v>155000</v>
      </c>
      <c r="R56" s="237">
        <f>R43+R49+R54+R55</f>
        <v>76716498.325</v>
      </c>
      <c r="S56" s="237">
        <f t="shared" si="10"/>
        <v>3068769</v>
      </c>
      <c r="T56" s="252">
        <f>T43+T49+T54+T55</f>
        <v>153568406.9375</v>
      </c>
    </row>
    <row r="57" ht="23.25">
      <c r="T57" s="226"/>
    </row>
    <row r="59" ht="23.25">
      <c r="T59" s="226"/>
    </row>
    <row r="60" spans="14:18" ht="23.25">
      <c r="N60" s="226"/>
      <c r="R60" s="226"/>
    </row>
  </sheetData>
  <sheetProtection/>
  <mergeCells count="5">
    <mergeCell ref="B10:C10"/>
    <mergeCell ref="B28:C28"/>
    <mergeCell ref="B46:C46"/>
    <mergeCell ref="B48:C48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85" zoomScaleNormal="85" zoomScalePageLayoutView="0" workbookViewId="0" topLeftCell="A1">
      <selection activeCell="D25" sqref="D25"/>
    </sheetView>
  </sheetViews>
  <sheetFormatPr defaultColWidth="9.140625" defaultRowHeight="15"/>
  <cols>
    <col min="1" max="1" width="26.28125" style="0" customWidth="1"/>
    <col min="2" max="2" width="28.421875" style="0" customWidth="1"/>
    <col min="3" max="3" width="6.140625" style="0" customWidth="1"/>
    <col min="4" max="4" width="26.28125" style="0" customWidth="1"/>
    <col min="5" max="5" width="32.00390625" style="0" customWidth="1"/>
    <col min="6" max="6" width="26.7109375" style="0" customWidth="1"/>
  </cols>
  <sheetData>
    <row r="1" spans="1:5" ht="15">
      <c r="A1" s="119"/>
      <c r="B1" s="149"/>
      <c r="C1" s="121"/>
      <c r="D1" s="121"/>
      <c r="E1" s="121"/>
    </row>
    <row r="2" spans="1:5" ht="15">
      <c r="A2" s="269" t="s">
        <v>240</v>
      </c>
      <c r="B2" s="269"/>
      <c r="C2" s="269"/>
      <c r="D2" s="269"/>
      <c r="E2" s="269"/>
    </row>
    <row r="3" spans="1:5" ht="15">
      <c r="A3" s="121"/>
      <c r="B3" s="120"/>
      <c r="C3" s="121"/>
      <c r="D3" s="121"/>
      <c r="E3" s="121"/>
    </row>
    <row r="4" spans="1:5" ht="15">
      <c r="A4" s="122" t="s">
        <v>7</v>
      </c>
      <c r="B4" s="150" t="s">
        <v>6</v>
      </c>
      <c r="C4" s="135"/>
      <c r="D4" s="122" t="s">
        <v>2</v>
      </c>
      <c r="E4" s="150" t="s">
        <v>128</v>
      </c>
    </row>
    <row r="5" spans="1:5" ht="28.5">
      <c r="A5" s="125" t="s">
        <v>207</v>
      </c>
      <c r="B5" s="151">
        <f>E25-B7</f>
        <v>30132514.75</v>
      </c>
      <c r="C5" s="152"/>
      <c r="D5" s="125" t="s">
        <v>130</v>
      </c>
      <c r="E5" s="153">
        <f>SUM(E6:E8)</f>
        <v>29781974.75</v>
      </c>
    </row>
    <row r="6" spans="1:5" ht="28.5">
      <c r="A6" s="135"/>
      <c r="B6" s="154"/>
      <c r="C6" s="135"/>
      <c r="D6" s="125" t="s">
        <v>133</v>
      </c>
      <c r="E6" s="155">
        <f>Bérek!F53</f>
        <v>24229490</v>
      </c>
    </row>
    <row r="7" spans="1:5" ht="42.75">
      <c r="A7" s="125" t="s">
        <v>180</v>
      </c>
      <c r="B7" s="155">
        <v>29460</v>
      </c>
      <c r="C7" s="152"/>
      <c r="D7" s="156" t="s">
        <v>209</v>
      </c>
      <c r="E7" s="151">
        <f>Bérek!G53</f>
        <v>4240160.75</v>
      </c>
    </row>
    <row r="8" spans="1:6" ht="15">
      <c r="A8" s="152"/>
      <c r="B8" s="152"/>
      <c r="C8" s="152"/>
      <c r="D8" s="125" t="s">
        <v>159</v>
      </c>
      <c r="E8" s="155">
        <f>SUM(E9:E16)</f>
        <v>1312324</v>
      </c>
      <c r="F8" s="259"/>
    </row>
    <row r="9" spans="1:5" ht="28.5">
      <c r="A9" s="125" t="s">
        <v>210</v>
      </c>
      <c r="B9" s="155">
        <f>SUM(B5:B7)</f>
        <v>30161974.75</v>
      </c>
      <c r="C9" s="152"/>
      <c r="D9" s="134" t="s">
        <v>211</v>
      </c>
      <c r="E9" s="157">
        <v>400000</v>
      </c>
    </row>
    <row r="10" spans="1:5" ht="28.5">
      <c r="A10" s="140"/>
      <c r="B10" s="140"/>
      <c r="C10" s="140"/>
      <c r="D10" s="141" t="s">
        <v>212</v>
      </c>
      <c r="E10" s="158">
        <v>300000</v>
      </c>
    </row>
    <row r="11" spans="1:5" ht="28.5">
      <c r="A11" s="121"/>
      <c r="B11" s="120"/>
      <c r="C11" s="121"/>
      <c r="D11" s="141" t="s">
        <v>213</v>
      </c>
      <c r="E11" s="158">
        <v>164959</v>
      </c>
    </row>
    <row r="12" spans="1:5" ht="15">
      <c r="A12" s="121"/>
      <c r="B12" s="144"/>
      <c r="C12" s="121"/>
      <c r="D12" s="141" t="s">
        <v>214</v>
      </c>
      <c r="E12" s="158">
        <v>100000</v>
      </c>
    </row>
    <row r="13" spans="1:5" ht="15">
      <c r="A13" s="121"/>
      <c r="B13" s="120"/>
      <c r="C13" s="121"/>
      <c r="D13" s="141" t="s">
        <v>215</v>
      </c>
      <c r="E13" s="158">
        <v>100000</v>
      </c>
    </row>
    <row r="14" spans="1:5" ht="44.25" customHeight="1">
      <c r="A14" s="121"/>
      <c r="B14" s="120"/>
      <c r="C14" s="121"/>
      <c r="D14" s="141" t="s">
        <v>90</v>
      </c>
      <c r="E14" s="158">
        <v>94380</v>
      </c>
    </row>
    <row r="15" spans="1:5" ht="15">
      <c r="A15" s="121"/>
      <c r="B15" s="120"/>
      <c r="C15" s="121"/>
      <c r="D15" s="141" t="s">
        <v>216</v>
      </c>
      <c r="E15" s="158">
        <v>56000</v>
      </c>
    </row>
    <row r="16" spans="1:5" ht="15">
      <c r="A16" s="121"/>
      <c r="B16" s="120"/>
      <c r="C16" s="121"/>
      <c r="D16" s="141" t="s">
        <v>217</v>
      </c>
      <c r="E16" s="158">
        <v>96985</v>
      </c>
    </row>
    <row r="17" spans="1:5" ht="15">
      <c r="A17" s="121"/>
      <c r="B17" s="120"/>
      <c r="C17" s="121"/>
      <c r="D17" s="135"/>
      <c r="E17" s="135"/>
    </row>
    <row r="18" spans="1:5" ht="28.5">
      <c r="A18" s="121"/>
      <c r="B18" s="120"/>
      <c r="C18" s="121"/>
      <c r="D18" s="125" t="s">
        <v>200</v>
      </c>
      <c r="E18" s="153">
        <f>E19+E22</f>
        <v>380000</v>
      </c>
    </row>
    <row r="19" spans="1:5" ht="15">
      <c r="A19" s="121"/>
      <c r="B19" s="120"/>
      <c r="C19" s="121"/>
      <c r="D19" s="125" t="s">
        <v>201</v>
      </c>
      <c r="E19" s="153">
        <f>SUM(E20:E21)</f>
        <v>350000</v>
      </c>
    </row>
    <row r="20" spans="1:5" ht="15">
      <c r="A20" s="121"/>
      <c r="B20" s="120"/>
      <c r="C20" s="121"/>
      <c r="D20" s="141" t="s">
        <v>218</v>
      </c>
      <c r="E20" s="158">
        <v>100000</v>
      </c>
    </row>
    <row r="21" spans="1:5" ht="15">
      <c r="A21" s="121"/>
      <c r="B21" s="120"/>
      <c r="C21" s="121"/>
      <c r="D21" s="141" t="s">
        <v>219</v>
      </c>
      <c r="E21" s="159">
        <v>250000</v>
      </c>
    </row>
    <row r="22" spans="1:5" ht="15">
      <c r="A22" s="121"/>
      <c r="B22" s="120"/>
      <c r="C22" s="121"/>
      <c r="D22" s="125" t="s">
        <v>203</v>
      </c>
      <c r="E22" s="153">
        <f>SUM(E23:E23)</f>
        <v>30000</v>
      </c>
    </row>
    <row r="23" spans="1:5" ht="15">
      <c r="A23" s="121"/>
      <c r="B23" s="120"/>
      <c r="C23" s="121"/>
      <c r="D23" s="141" t="s">
        <v>220</v>
      </c>
      <c r="E23" s="160">
        <v>30000</v>
      </c>
    </row>
    <row r="24" spans="1:5" ht="15">
      <c r="A24" s="121"/>
      <c r="B24" s="120"/>
      <c r="C24" s="121"/>
      <c r="D24" s="135"/>
      <c r="E24" s="135"/>
    </row>
    <row r="25" spans="1:5" ht="28.5">
      <c r="A25" s="121"/>
      <c r="B25" s="120"/>
      <c r="C25" s="121"/>
      <c r="D25" s="147" t="s">
        <v>221</v>
      </c>
      <c r="E25" s="161">
        <f>E5+E18</f>
        <v>30161974.75</v>
      </c>
    </row>
    <row r="26" spans="1:5" ht="15">
      <c r="A26" s="121"/>
      <c r="B26" s="120"/>
      <c r="C26" s="121"/>
      <c r="D26" s="121"/>
      <c r="E26" s="121"/>
    </row>
    <row r="27" spans="1:5" ht="15">
      <c r="A27" s="121"/>
      <c r="B27" s="120"/>
      <c r="C27" s="121"/>
      <c r="D27" s="121"/>
      <c r="E27" s="121"/>
    </row>
    <row r="28" spans="1:5" ht="15">
      <c r="A28" s="121"/>
      <c r="B28" s="120"/>
      <c r="C28" s="121"/>
      <c r="D28" s="121"/>
      <c r="E28" s="121"/>
    </row>
    <row r="29" spans="1:5" ht="15">
      <c r="A29" s="121"/>
      <c r="B29" s="120"/>
      <c r="C29" s="121"/>
      <c r="D29" s="121"/>
      <c r="E29" s="121"/>
    </row>
    <row r="30" spans="1:5" ht="15">
      <c r="A30" s="121"/>
      <c r="B30" s="144"/>
      <c r="C30" s="121"/>
      <c r="D30" s="121"/>
      <c r="E30" s="121"/>
    </row>
    <row r="31" spans="1:3" ht="15">
      <c r="A31" s="121"/>
      <c r="B31" s="144"/>
      <c r="C31" s="12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22.421875" style="62" customWidth="1"/>
    <col min="2" max="2" width="28.421875" style="62" customWidth="1"/>
    <col min="3" max="3" width="3.8515625" style="62" customWidth="1"/>
    <col min="4" max="4" width="22.421875" style="62" customWidth="1"/>
    <col min="5" max="5" width="32.00390625" style="62" customWidth="1"/>
    <col min="6" max="6" width="26.7109375" style="62" customWidth="1"/>
    <col min="7" max="7" width="10.28125" style="62" bestFit="1" customWidth="1"/>
    <col min="8" max="16384" width="9.140625" style="62" customWidth="1"/>
  </cols>
  <sheetData>
    <row r="1" spans="1:5" ht="15">
      <c r="A1" s="119"/>
      <c r="B1" s="255"/>
      <c r="C1" s="121"/>
      <c r="D1" s="121"/>
      <c r="E1" s="121"/>
    </row>
    <row r="2" spans="1:5" ht="15">
      <c r="A2" s="269" t="s">
        <v>241</v>
      </c>
      <c r="B2" s="269"/>
      <c r="C2" s="269"/>
      <c r="D2" s="269"/>
      <c r="E2" s="269"/>
    </row>
    <row r="3" spans="1:5" ht="15">
      <c r="A3" s="121"/>
      <c r="B3" s="120"/>
      <c r="C3" s="121"/>
      <c r="D3" s="121"/>
      <c r="E3" s="121"/>
    </row>
    <row r="4" spans="1:5" ht="15">
      <c r="A4" s="122" t="s">
        <v>7</v>
      </c>
      <c r="B4" s="150" t="s">
        <v>6</v>
      </c>
      <c r="C4" s="135"/>
      <c r="D4" s="122" t="s">
        <v>2</v>
      </c>
      <c r="E4" s="150" t="s">
        <v>128</v>
      </c>
    </row>
    <row r="5" spans="1:7" ht="42.75">
      <c r="A5" s="165" t="s">
        <v>3</v>
      </c>
      <c r="B5" s="261">
        <f>SUM(B6:B8)</f>
        <v>18405852</v>
      </c>
      <c r="C5" s="135"/>
      <c r="D5" s="165" t="s">
        <v>130</v>
      </c>
      <c r="E5" s="126">
        <f>E6+E7+E8+E9</f>
        <v>42311495.35</v>
      </c>
      <c r="G5" s="266"/>
    </row>
    <row r="6" spans="1:5" ht="28.5">
      <c r="A6" s="164" t="s">
        <v>222</v>
      </c>
      <c r="B6" s="262">
        <v>539732</v>
      </c>
      <c r="C6" s="162"/>
      <c r="D6" s="165" t="s">
        <v>133</v>
      </c>
      <c r="E6" s="261">
        <f>Bérek!F42</f>
        <v>14051722</v>
      </c>
    </row>
    <row r="7" spans="1:7" ht="57">
      <c r="A7" s="164" t="s">
        <v>223</v>
      </c>
      <c r="B7" s="262">
        <v>4816304</v>
      </c>
      <c r="C7" s="162"/>
      <c r="D7" s="163" t="s">
        <v>1</v>
      </c>
      <c r="E7" s="263">
        <f>Bérek!G42</f>
        <v>2459051.35</v>
      </c>
      <c r="G7" s="266"/>
    </row>
    <row r="8" spans="1:5" ht="28.5">
      <c r="A8" s="164" t="s">
        <v>91</v>
      </c>
      <c r="B8" s="262">
        <v>13049816</v>
      </c>
      <c r="C8" s="162"/>
      <c r="D8" s="163" t="s">
        <v>84</v>
      </c>
      <c r="E8" s="263">
        <v>150089</v>
      </c>
    </row>
    <row r="9" spans="1:5" ht="15">
      <c r="A9" s="135"/>
      <c r="B9" s="154"/>
      <c r="C9" s="135"/>
      <c r="D9" s="165" t="s">
        <v>159</v>
      </c>
      <c r="E9" s="261">
        <f>SUM(E10:E21)</f>
        <v>25650633</v>
      </c>
    </row>
    <row r="10" spans="1:5" ht="28.5">
      <c r="A10" s="165" t="s">
        <v>207</v>
      </c>
      <c r="B10" s="263">
        <f>E32-B12-B5</f>
        <v>24894711.35</v>
      </c>
      <c r="C10" s="135"/>
      <c r="D10" s="164" t="s">
        <v>224</v>
      </c>
      <c r="E10" s="262">
        <v>18268095</v>
      </c>
    </row>
    <row r="11" spans="1:5" ht="15">
      <c r="A11" s="152"/>
      <c r="B11" s="152"/>
      <c r="C11" s="152"/>
      <c r="D11" s="164" t="s">
        <v>89</v>
      </c>
      <c r="E11" s="262">
        <v>1848247</v>
      </c>
    </row>
    <row r="12" spans="1:5" ht="42.75">
      <c r="A12" s="165" t="s">
        <v>180</v>
      </c>
      <c r="B12" s="261">
        <v>380932</v>
      </c>
      <c r="C12" s="152"/>
      <c r="D12" s="164" t="s">
        <v>225</v>
      </c>
      <c r="E12" s="262">
        <v>1200000</v>
      </c>
    </row>
    <row r="13" spans="1:5" ht="28.5">
      <c r="A13" s="152"/>
      <c r="B13" s="152"/>
      <c r="C13" s="152"/>
      <c r="D13" s="164" t="s">
        <v>226</v>
      </c>
      <c r="E13" s="262">
        <v>1331555</v>
      </c>
    </row>
    <row r="14" spans="1:5" ht="44.25" customHeight="1">
      <c r="A14" s="165" t="s">
        <v>210</v>
      </c>
      <c r="B14" s="261">
        <f>B5+B10+B12</f>
        <v>43681495.35</v>
      </c>
      <c r="C14" s="152"/>
      <c r="D14" s="164" t="s">
        <v>227</v>
      </c>
      <c r="E14" s="262">
        <v>1044746</v>
      </c>
    </row>
    <row r="15" spans="1:5" ht="28.5">
      <c r="A15" s="121"/>
      <c r="B15" s="120"/>
      <c r="C15" s="121"/>
      <c r="D15" s="134" t="s">
        <v>228</v>
      </c>
      <c r="E15" s="132">
        <v>543870</v>
      </c>
    </row>
    <row r="16" spans="1:5" ht="15">
      <c r="A16" s="121"/>
      <c r="B16" s="120"/>
      <c r="C16" s="121"/>
      <c r="D16" s="134" t="s">
        <v>229</v>
      </c>
      <c r="E16" s="132">
        <v>304000</v>
      </c>
    </row>
    <row r="17" spans="1:5" ht="15">
      <c r="A17" s="121"/>
      <c r="B17" s="120"/>
      <c r="C17" s="121"/>
      <c r="D17" s="164" t="s">
        <v>230</v>
      </c>
      <c r="E17" s="262">
        <v>189738</v>
      </c>
    </row>
    <row r="18" spans="1:5" ht="15">
      <c r="A18" s="121"/>
      <c r="B18" s="120"/>
      <c r="C18" s="121"/>
      <c r="D18" s="164" t="s">
        <v>87</v>
      </c>
      <c r="E18" s="262">
        <v>173242</v>
      </c>
    </row>
    <row r="19" spans="1:5" ht="15">
      <c r="A19" s="121"/>
      <c r="B19" s="120"/>
      <c r="C19" s="121"/>
      <c r="D19" s="164" t="s">
        <v>231</v>
      </c>
      <c r="E19" s="262">
        <v>60000</v>
      </c>
    </row>
    <row r="20" spans="1:5" ht="15">
      <c r="A20" s="121"/>
      <c r="B20" s="120"/>
      <c r="C20" s="121"/>
      <c r="D20" s="134" t="s">
        <v>232</v>
      </c>
      <c r="E20" s="132">
        <v>553730</v>
      </c>
    </row>
    <row r="21" spans="1:5" ht="15">
      <c r="A21" s="121"/>
      <c r="B21" s="120"/>
      <c r="C21" s="121"/>
      <c r="D21" s="134" t="s">
        <v>233</v>
      </c>
      <c r="E21" s="132">
        <v>133410</v>
      </c>
    </row>
    <row r="22" spans="1:5" ht="15">
      <c r="A22" s="121"/>
      <c r="B22" s="120"/>
      <c r="C22" s="121"/>
      <c r="D22" s="135"/>
      <c r="E22" s="135"/>
    </row>
    <row r="23" spans="1:5" ht="42.75">
      <c r="A23" s="121"/>
      <c r="B23" s="120"/>
      <c r="C23" s="121"/>
      <c r="D23" s="165" t="s">
        <v>200</v>
      </c>
      <c r="E23" s="126">
        <f>E24+E29</f>
        <v>1370000</v>
      </c>
    </row>
    <row r="24" spans="1:5" ht="15">
      <c r="A24" s="121"/>
      <c r="B24" s="120"/>
      <c r="C24" s="121"/>
      <c r="D24" s="165" t="s">
        <v>201</v>
      </c>
      <c r="E24" s="126">
        <f>SUM(E25:E28)</f>
        <v>640000</v>
      </c>
    </row>
    <row r="25" spans="1:5" ht="15">
      <c r="A25" s="121"/>
      <c r="B25" s="120"/>
      <c r="C25" s="121"/>
      <c r="D25" s="164" t="s">
        <v>234</v>
      </c>
      <c r="E25" s="262">
        <v>100000</v>
      </c>
    </row>
    <row r="26" spans="1:5" ht="42.75">
      <c r="A26" s="121"/>
      <c r="B26" s="120"/>
      <c r="C26" s="121"/>
      <c r="D26" s="164" t="s">
        <v>235</v>
      </c>
      <c r="E26" s="264">
        <v>200000</v>
      </c>
    </row>
    <row r="27" spans="1:5" ht="15">
      <c r="A27" s="121"/>
      <c r="B27" s="120"/>
      <c r="C27" s="121"/>
      <c r="D27" s="164" t="s">
        <v>236</v>
      </c>
      <c r="E27" s="132">
        <v>40000</v>
      </c>
    </row>
    <row r="28" spans="1:5" ht="28.5">
      <c r="A28" s="121"/>
      <c r="B28" s="120"/>
      <c r="C28" s="121"/>
      <c r="D28" s="164" t="s">
        <v>237</v>
      </c>
      <c r="E28" s="132">
        <v>300000</v>
      </c>
    </row>
    <row r="29" spans="1:5" ht="15">
      <c r="A29" s="121"/>
      <c r="B29" s="120"/>
      <c r="C29" s="121"/>
      <c r="D29" s="165" t="s">
        <v>203</v>
      </c>
      <c r="E29" s="126">
        <f>SUM(E30:E30)</f>
        <v>730000</v>
      </c>
    </row>
    <row r="30" spans="1:5" ht="15">
      <c r="A30" s="121"/>
      <c r="B30" s="120"/>
      <c r="C30" s="121"/>
      <c r="D30" s="164" t="s">
        <v>238</v>
      </c>
      <c r="E30" s="265">
        <v>730000</v>
      </c>
    </row>
    <row r="31" spans="1:5" ht="15">
      <c r="A31" s="121"/>
      <c r="B31" s="120"/>
      <c r="C31" s="121"/>
      <c r="D31" s="135"/>
      <c r="E31" s="135"/>
    </row>
    <row r="32" spans="1:5" ht="28.5">
      <c r="A32" s="121"/>
      <c r="B32" s="120"/>
      <c r="C32" s="121"/>
      <c r="D32" s="147" t="s">
        <v>221</v>
      </c>
      <c r="E32" s="148">
        <f>E5+E24+E29</f>
        <v>43681495.35</v>
      </c>
    </row>
    <row r="33" spans="1:5" ht="15">
      <c r="A33" s="121"/>
      <c r="B33" s="120"/>
      <c r="C33" s="121"/>
      <c r="D33" s="121"/>
      <c r="E33" s="121"/>
    </row>
    <row r="34" spans="1:5" ht="15">
      <c r="A34" s="121"/>
      <c r="B34" s="120"/>
      <c r="C34" s="121"/>
      <c r="D34" s="121"/>
      <c r="E34" s="121"/>
    </row>
    <row r="35" spans="1:5" ht="15">
      <c r="A35" s="121"/>
      <c r="B35" s="120"/>
      <c r="C35" s="121"/>
      <c r="D35" s="121"/>
      <c r="E35" s="121"/>
    </row>
    <row r="36" spans="1:5" ht="15">
      <c r="A36" s="121"/>
      <c r="B36" s="120"/>
      <c r="C36" s="121"/>
      <c r="D36" s="121"/>
      <c r="E36" s="121"/>
    </row>
    <row r="37" spans="1:5" ht="15">
      <c r="A37" s="121"/>
      <c r="B37" s="120"/>
      <c r="C37" s="121"/>
      <c r="D37" s="121"/>
      <c r="E37" s="121"/>
    </row>
    <row r="38" spans="1:5" ht="15">
      <c r="A38" s="121"/>
      <c r="B38" s="120"/>
      <c r="C38" s="121"/>
      <c r="D38" s="121"/>
      <c r="E38" s="121"/>
    </row>
    <row r="39" spans="1:5" ht="15">
      <c r="A39" s="121"/>
      <c r="B39" s="120"/>
      <c r="C39" s="121"/>
      <c r="D39" s="121"/>
      <c r="E39" s="12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55" zoomScaleNormal="55" zoomScalePageLayoutView="0" workbookViewId="0" topLeftCell="A1">
      <selection activeCell="A52" sqref="A52"/>
    </sheetView>
  </sheetViews>
  <sheetFormatPr defaultColWidth="9.140625" defaultRowHeight="15"/>
  <cols>
    <col min="1" max="1" width="21.140625" style="191" customWidth="1"/>
    <col min="2" max="2" width="28.421875" style="191" customWidth="1"/>
    <col min="3" max="3" width="35.00390625" style="191" customWidth="1"/>
    <col min="4" max="4" width="20.28125" style="191" customWidth="1"/>
    <col min="5" max="5" width="32.00390625" style="191" customWidth="1"/>
    <col min="6" max="6" width="26.7109375" style="191" customWidth="1"/>
    <col min="7" max="7" width="20.28125" style="191" customWidth="1"/>
    <col min="8" max="8" width="12.140625" style="191" bestFit="1" customWidth="1"/>
    <col min="9" max="16384" width="9.140625" style="191" customWidth="1"/>
  </cols>
  <sheetData>
    <row r="1" spans="2:7" ht="15">
      <c r="B1" s="191" t="s">
        <v>254</v>
      </c>
      <c r="C1" s="191" t="s">
        <v>255</v>
      </c>
      <c r="D1" s="191" t="s">
        <v>256</v>
      </c>
      <c r="E1" s="191" t="s">
        <v>257</v>
      </c>
      <c r="F1" s="191" t="s">
        <v>294</v>
      </c>
      <c r="G1" s="191" t="s">
        <v>295</v>
      </c>
    </row>
    <row r="2" spans="1:7" ht="15.75">
      <c r="A2" s="192" t="s">
        <v>258</v>
      </c>
      <c r="B2" s="192">
        <v>398900</v>
      </c>
      <c r="C2" s="192">
        <f>B2*0.175</f>
        <v>69807.5</v>
      </c>
      <c r="D2" s="192">
        <v>398900</v>
      </c>
      <c r="E2" s="192">
        <f>D2*0.175</f>
        <v>69807.5</v>
      </c>
      <c r="F2" s="191">
        <f>B2*12</f>
        <v>4786800</v>
      </c>
      <c r="G2" s="191">
        <f>C2*12</f>
        <v>837690</v>
      </c>
    </row>
    <row r="3" spans="1:6" ht="31.5">
      <c r="A3" s="192" t="s">
        <v>259</v>
      </c>
      <c r="B3" s="192">
        <v>59835</v>
      </c>
      <c r="C3" s="192">
        <v>0</v>
      </c>
      <c r="D3" s="192">
        <v>59835</v>
      </c>
      <c r="E3" s="192">
        <v>0</v>
      </c>
      <c r="F3" s="191">
        <f>B3*12</f>
        <v>718020</v>
      </c>
    </row>
    <row r="4" spans="1:7" ht="15.75">
      <c r="A4" s="192" t="s">
        <v>260</v>
      </c>
      <c r="B4" s="192">
        <v>169000</v>
      </c>
      <c r="C4" s="192">
        <f aca="true" t="shared" si="0" ref="C4:C13">B4*0.175</f>
        <v>29574.999999999996</v>
      </c>
      <c r="D4" s="192">
        <v>181000</v>
      </c>
      <c r="E4" s="192">
        <f aca="true" t="shared" si="1" ref="E4:E14">D4*0.175</f>
        <v>31674.999999999996</v>
      </c>
      <c r="F4" s="191">
        <f>B4+D4*11</f>
        <v>2160000</v>
      </c>
      <c r="G4" s="191">
        <f>C4+E4*11</f>
        <v>377999.99999999994</v>
      </c>
    </row>
    <row r="5" spans="1:7" ht="15.75">
      <c r="A5" s="192" t="s">
        <v>261</v>
      </c>
      <c r="B5" s="192">
        <v>195000</v>
      </c>
      <c r="C5" s="192">
        <f t="shared" si="0"/>
        <v>34125</v>
      </c>
      <c r="D5" s="192">
        <v>210600</v>
      </c>
      <c r="E5" s="192">
        <f t="shared" si="1"/>
        <v>36855</v>
      </c>
      <c r="F5" s="191">
        <f>B5+D5+250000*10</f>
        <v>2905600</v>
      </c>
      <c r="G5" s="191">
        <f>C5+E5+250000*0.175*10</f>
        <v>508480</v>
      </c>
    </row>
    <row r="6" spans="1:7" ht="15.75">
      <c r="A6" s="192" t="s">
        <v>262</v>
      </c>
      <c r="B6" s="192">
        <v>509580</v>
      </c>
      <c r="C6" s="192">
        <f t="shared" si="0"/>
        <v>89176.5</v>
      </c>
      <c r="D6" s="192">
        <v>515580</v>
      </c>
      <c r="E6" s="192">
        <f t="shared" si="1"/>
        <v>90226.5</v>
      </c>
      <c r="F6" s="191">
        <f>B6+D6*11</f>
        <v>6180960</v>
      </c>
      <c r="G6" s="191">
        <f>C6+E6*11</f>
        <v>1081668</v>
      </c>
    </row>
    <row r="7" spans="1:7" ht="31.5">
      <c r="A7" s="192" t="s">
        <v>263</v>
      </c>
      <c r="B7" s="192">
        <v>151000</v>
      </c>
      <c r="C7" s="192">
        <f t="shared" si="0"/>
        <v>26425</v>
      </c>
      <c r="D7" s="192">
        <v>151000</v>
      </c>
      <c r="E7" s="192">
        <f t="shared" si="1"/>
        <v>26425</v>
      </c>
      <c r="F7" s="191">
        <f>B7*6</f>
        <v>906000</v>
      </c>
      <c r="G7" s="191">
        <f>C7*6</f>
        <v>158550</v>
      </c>
    </row>
    <row r="8" spans="1:7" ht="31.5">
      <c r="A8" s="192" t="s">
        <v>264</v>
      </c>
      <c r="B8" s="192">
        <v>10000</v>
      </c>
      <c r="C8" s="192">
        <f>B8*0.9*0.175</f>
        <v>1575</v>
      </c>
      <c r="D8" s="192">
        <v>10000</v>
      </c>
      <c r="E8" s="192">
        <f>D8*0.9*0.175</f>
        <v>1575</v>
      </c>
      <c r="F8" s="191">
        <f>B8*12</f>
        <v>120000</v>
      </c>
      <c r="G8" s="191">
        <f>C8*12</f>
        <v>18900</v>
      </c>
    </row>
    <row r="9" spans="1:7" ht="15.75">
      <c r="A9" s="192" t="s">
        <v>265</v>
      </c>
      <c r="B9" s="192">
        <v>279500</v>
      </c>
      <c r="C9" s="192">
        <f t="shared" si="0"/>
        <v>48912.5</v>
      </c>
      <c r="D9" s="192">
        <v>279500</v>
      </c>
      <c r="E9" s="192">
        <f t="shared" si="1"/>
        <v>48912.5</v>
      </c>
      <c r="F9" s="191">
        <f>B9*12</f>
        <v>3354000</v>
      </c>
      <c r="G9" s="191">
        <f>C9*12</f>
        <v>586950</v>
      </c>
    </row>
    <row r="10" spans="1:7" ht="15.75">
      <c r="A10" s="192" t="s">
        <v>266</v>
      </c>
      <c r="B10" s="192">
        <v>395178</v>
      </c>
      <c r="C10" s="192">
        <f t="shared" si="0"/>
        <v>69156.15</v>
      </c>
      <c r="D10" s="192">
        <v>435478</v>
      </c>
      <c r="E10" s="192">
        <f t="shared" si="1"/>
        <v>76208.65</v>
      </c>
      <c r="F10" s="191">
        <f>B10+D10*11</f>
        <v>5185436</v>
      </c>
      <c r="G10" s="191">
        <f>C10+E10*11</f>
        <v>907451.2999999999</v>
      </c>
    </row>
    <row r="11" spans="1:7" ht="15.75">
      <c r="A11" s="192" t="s">
        <v>267</v>
      </c>
      <c r="B11" s="192">
        <f>10900+61425</f>
        <v>72325</v>
      </c>
      <c r="C11" s="192">
        <f t="shared" si="0"/>
        <v>12656.875</v>
      </c>
      <c r="D11" s="192">
        <v>210600</v>
      </c>
      <c r="E11" s="192">
        <f t="shared" si="1"/>
        <v>36855</v>
      </c>
      <c r="F11" s="191">
        <f>B11+D11*11</f>
        <v>2388925</v>
      </c>
      <c r="G11" s="191">
        <f>C11+E11*11</f>
        <v>418061.875</v>
      </c>
    </row>
    <row r="12" spans="1:7" ht="15.75">
      <c r="A12" s="192" t="s">
        <v>268</v>
      </c>
      <c r="B12" s="192">
        <v>285000</v>
      </c>
      <c r="C12" s="192">
        <f t="shared" si="0"/>
        <v>49875</v>
      </c>
      <c r="D12" s="192">
        <v>285000</v>
      </c>
      <c r="E12" s="192">
        <f t="shared" si="1"/>
        <v>49875</v>
      </c>
      <c r="F12" s="191">
        <f>B12*12</f>
        <v>3420000</v>
      </c>
      <c r="G12" s="191">
        <f>C12*12</f>
        <v>598500</v>
      </c>
    </row>
    <row r="13" spans="1:7" ht="15.75">
      <c r="A13" s="193" t="s">
        <v>269</v>
      </c>
      <c r="B13" s="193">
        <v>146250</v>
      </c>
      <c r="C13" s="194">
        <f t="shared" si="0"/>
        <v>25593.75</v>
      </c>
      <c r="D13" s="193">
        <v>157950</v>
      </c>
      <c r="E13" s="193">
        <f t="shared" si="1"/>
        <v>27641.25</v>
      </c>
      <c r="F13" s="191">
        <f>B13+D13*11</f>
        <v>1883700</v>
      </c>
      <c r="G13" s="191">
        <f>C13+E13*11</f>
        <v>329647.5</v>
      </c>
    </row>
    <row r="14" spans="1:7" ht="44.25" customHeight="1">
      <c r="A14" s="193" t="s">
        <v>270</v>
      </c>
      <c r="B14" s="193"/>
      <c r="C14" s="194"/>
      <c r="D14" s="193">
        <v>161000</v>
      </c>
      <c r="E14" s="193">
        <f t="shared" si="1"/>
        <v>28175</v>
      </c>
      <c r="F14" s="191">
        <f>D14*3+210600*7</f>
        <v>1957200</v>
      </c>
      <c r="G14" s="191">
        <f>E14*3+210600*0.175*7</f>
        <v>342510</v>
      </c>
    </row>
    <row r="15" spans="1:7" ht="15.75">
      <c r="A15" s="194" t="s">
        <v>271</v>
      </c>
      <c r="B15" s="194">
        <v>80000</v>
      </c>
      <c r="C15" s="194">
        <v>17000</v>
      </c>
      <c r="D15" s="194">
        <v>720000</v>
      </c>
      <c r="E15" s="194">
        <v>100000</v>
      </c>
      <c r="F15" s="191">
        <f>B15+D15</f>
        <v>800000</v>
      </c>
      <c r="G15" s="191">
        <f>C15+E15</f>
        <v>117000</v>
      </c>
    </row>
    <row r="16" spans="1:7" ht="31.5">
      <c r="A16" s="196" t="s">
        <v>296</v>
      </c>
      <c r="B16" s="196">
        <v>0</v>
      </c>
      <c r="C16" s="196">
        <v>0</v>
      </c>
      <c r="D16" s="196">
        <v>40000</v>
      </c>
      <c r="E16" s="196">
        <f>D16*0.9*0.175</f>
        <v>6300</v>
      </c>
      <c r="F16" s="191">
        <f>D16*10</f>
        <v>400000</v>
      </c>
      <c r="G16" s="191">
        <f>E16*10</f>
        <v>63000</v>
      </c>
    </row>
    <row r="17" spans="1:7" ht="15.75">
      <c r="A17" s="196" t="s">
        <v>297</v>
      </c>
      <c r="B17" s="196">
        <v>0</v>
      </c>
      <c r="C17" s="196">
        <v>0</v>
      </c>
      <c r="D17" s="196">
        <v>20000</v>
      </c>
      <c r="E17" s="196">
        <f>D17*0.9*0.175</f>
        <v>3150</v>
      </c>
      <c r="F17" s="191">
        <f>D17*11</f>
        <v>220000</v>
      </c>
      <c r="G17" s="191">
        <f>E17*11</f>
        <v>34650</v>
      </c>
    </row>
    <row r="18" spans="1:7" ht="15.75">
      <c r="A18" s="196" t="s">
        <v>403</v>
      </c>
      <c r="B18" s="196"/>
      <c r="C18" s="196"/>
      <c r="D18" s="196">
        <v>140449</v>
      </c>
      <c r="E18" s="196">
        <v>22121</v>
      </c>
      <c r="F18" s="191">
        <f>D18</f>
        <v>140449</v>
      </c>
      <c r="G18" s="191">
        <f>E18</f>
        <v>22121</v>
      </c>
    </row>
    <row r="19" spans="1:5" ht="15.75">
      <c r="A19" s="196"/>
      <c r="B19" s="196"/>
      <c r="C19" s="196"/>
      <c r="D19" s="196"/>
      <c r="E19" s="196"/>
    </row>
    <row r="20" spans="1:7" s="197" customFormat="1" ht="15">
      <c r="A20" s="201" t="s">
        <v>286</v>
      </c>
      <c r="B20" s="201">
        <v>81530</v>
      </c>
      <c r="C20" s="201">
        <f>B20*(0.175/2)</f>
        <v>7133.875</v>
      </c>
      <c r="D20" s="201">
        <v>81530</v>
      </c>
      <c r="E20" s="201">
        <f>D20*(0.175/2)</f>
        <v>7133.875</v>
      </c>
      <c r="F20" s="191"/>
      <c r="G20" s="191"/>
    </row>
    <row r="21" spans="1:5" ht="15">
      <c r="A21" s="201" t="s">
        <v>287</v>
      </c>
      <c r="B21" s="201">
        <v>81530</v>
      </c>
      <c r="C21" s="201">
        <f aca="true" t="shared" si="2" ref="C21:E27">B21*(0.175/2)</f>
        <v>7133.875</v>
      </c>
      <c r="D21" s="201">
        <v>81530</v>
      </c>
      <c r="E21" s="201">
        <f t="shared" si="2"/>
        <v>7133.875</v>
      </c>
    </row>
    <row r="22" spans="1:5" ht="15">
      <c r="A22" s="201" t="s">
        <v>288</v>
      </c>
      <c r="B22" s="201">
        <v>81530</v>
      </c>
      <c r="C22" s="201">
        <f t="shared" si="2"/>
        <v>7133.875</v>
      </c>
      <c r="D22" s="201">
        <v>81530</v>
      </c>
      <c r="E22" s="201">
        <f t="shared" si="2"/>
        <v>7133.875</v>
      </c>
    </row>
    <row r="23" spans="1:5" ht="15">
      <c r="A23" s="201" t="s">
        <v>289</v>
      </c>
      <c r="B23" s="201">
        <v>81530</v>
      </c>
      <c r="C23" s="201">
        <f t="shared" si="2"/>
        <v>7133.875</v>
      </c>
      <c r="D23" s="201">
        <v>81530</v>
      </c>
      <c r="E23" s="201">
        <f t="shared" si="2"/>
        <v>7133.875</v>
      </c>
    </row>
    <row r="24" spans="1:5" ht="15">
      <c r="A24" s="201" t="s">
        <v>290</v>
      </c>
      <c r="B24" s="201">
        <v>81530</v>
      </c>
      <c r="C24" s="201">
        <f t="shared" si="2"/>
        <v>7133.875</v>
      </c>
      <c r="D24" s="201">
        <v>81530</v>
      </c>
      <c r="E24" s="201">
        <f t="shared" si="2"/>
        <v>7133.875</v>
      </c>
    </row>
    <row r="25" spans="1:5" ht="15">
      <c r="A25" s="201" t="s">
        <v>291</v>
      </c>
      <c r="B25" s="201">
        <v>81530</v>
      </c>
      <c r="C25" s="201">
        <f t="shared" si="2"/>
        <v>7133.875</v>
      </c>
      <c r="D25" s="201">
        <v>81530</v>
      </c>
      <c r="E25" s="201">
        <f t="shared" si="2"/>
        <v>7133.875</v>
      </c>
    </row>
    <row r="26" spans="1:5" ht="15">
      <c r="A26" s="201" t="s">
        <v>292</v>
      </c>
      <c r="B26" s="201">
        <v>81530</v>
      </c>
      <c r="C26" s="201">
        <f t="shared" si="2"/>
        <v>7133.875</v>
      </c>
      <c r="D26" s="201">
        <v>81530</v>
      </c>
      <c r="E26" s="201">
        <f t="shared" si="2"/>
        <v>7133.875</v>
      </c>
    </row>
    <row r="27" spans="1:5" ht="15">
      <c r="A27" s="201" t="s">
        <v>293</v>
      </c>
      <c r="B27" s="201">
        <v>89705</v>
      </c>
      <c r="C27" s="201">
        <f t="shared" si="2"/>
        <v>7849.187499999999</v>
      </c>
      <c r="D27" s="201">
        <v>89705</v>
      </c>
      <c r="E27" s="201">
        <f t="shared" si="2"/>
        <v>7849.187499999999</v>
      </c>
    </row>
    <row r="28" spans="2:7" ht="15">
      <c r="B28" s="191">
        <f>SUM(B20:B27)</f>
        <v>660415</v>
      </c>
      <c r="C28" s="191">
        <f>SUM(C20:C27)</f>
        <v>57786.3125</v>
      </c>
      <c r="D28" s="191">
        <f>SUM(D20:D27)</f>
        <v>660415</v>
      </c>
      <c r="E28" s="191">
        <f>SUM(E20:E27)</f>
        <v>57786.3125</v>
      </c>
      <c r="F28" s="191">
        <f>B28*3</f>
        <v>1981245</v>
      </c>
      <c r="G28" s="191">
        <f>C28*3</f>
        <v>173358.9375</v>
      </c>
    </row>
    <row r="30" spans="1:6" ht="15">
      <c r="A30" s="191" t="s">
        <v>300</v>
      </c>
      <c r="F30" s="191">
        <f>Segédlet!F20</f>
        <v>247500</v>
      </c>
    </row>
    <row r="31" spans="6:7" ht="15">
      <c r="F31" s="191">
        <f>SUM(F2:F30)</f>
        <v>39755835</v>
      </c>
      <c r="G31" s="191">
        <f>SUM(G2:G30)</f>
        <v>6576538.6125</v>
      </c>
    </row>
    <row r="36" spans="1:7" ht="15.75">
      <c r="A36" s="195"/>
      <c r="B36" s="196"/>
      <c r="C36" s="196"/>
      <c r="D36" s="196"/>
      <c r="E36" s="196"/>
      <c r="F36" s="197"/>
      <c r="G36" s="197"/>
    </row>
    <row r="37" spans="1:7" ht="15.75">
      <c r="A37" s="198" t="s">
        <v>272</v>
      </c>
      <c r="B37" s="194">
        <v>285200</v>
      </c>
      <c r="C37" s="194">
        <f>B37*0.175</f>
        <v>49910</v>
      </c>
      <c r="D37" s="194">
        <v>285200</v>
      </c>
      <c r="E37" s="194">
        <f aca="true" t="shared" si="3" ref="E37:E52">D37*0.175</f>
        <v>49910</v>
      </c>
      <c r="F37" s="191">
        <f>D37*12</f>
        <v>3422400</v>
      </c>
      <c r="G37" s="191">
        <f>E37*12</f>
        <v>598920</v>
      </c>
    </row>
    <row r="38" spans="1:7" ht="15.75">
      <c r="A38" s="198" t="s">
        <v>273</v>
      </c>
      <c r="B38" s="194">
        <v>195000</v>
      </c>
      <c r="C38" s="194">
        <f>B38*0.175</f>
        <v>34125</v>
      </c>
      <c r="D38" s="194">
        <v>210600</v>
      </c>
      <c r="E38" s="194">
        <f t="shared" si="3"/>
        <v>36855</v>
      </c>
      <c r="F38" s="191">
        <f aca="true" t="shared" si="4" ref="F38:G41">B38+D38*11</f>
        <v>2511600</v>
      </c>
      <c r="G38" s="191">
        <f t="shared" si="4"/>
        <v>439530</v>
      </c>
    </row>
    <row r="39" spans="1:7" ht="31.5">
      <c r="A39" s="199" t="s">
        <v>274</v>
      </c>
      <c r="B39" s="194">
        <v>195000</v>
      </c>
      <c r="C39" s="194">
        <f>B39*0.175</f>
        <v>34125</v>
      </c>
      <c r="D39" s="194">
        <v>210600</v>
      </c>
      <c r="E39" s="194">
        <f t="shared" si="3"/>
        <v>36855</v>
      </c>
      <c r="F39" s="191">
        <f t="shared" si="4"/>
        <v>2511600</v>
      </c>
      <c r="G39" s="191">
        <f t="shared" si="4"/>
        <v>439530</v>
      </c>
    </row>
    <row r="40" spans="1:7" ht="15.75">
      <c r="A40" s="198" t="s">
        <v>275</v>
      </c>
      <c r="B40" s="194">
        <v>195000</v>
      </c>
      <c r="C40" s="194">
        <f>B40*0.175</f>
        <v>34125</v>
      </c>
      <c r="D40" s="194">
        <v>210600</v>
      </c>
      <c r="E40" s="194">
        <f t="shared" si="3"/>
        <v>36855</v>
      </c>
      <c r="F40" s="191">
        <f t="shared" si="4"/>
        <v>2511600</v>
      </c>
      <c r="G40" s="191">
        <f t="shared" si="4"/>
        <v>439530</v>
      </c>
    </row>
    <row r="41" spans="1:7" ht="15.75">
      <c r="A41" s="198" t="s">
        <v>276</v>
      </c>
      <c r="B41" s="194">
        <v>282482</v>
      </c>
      <c r="C41" s="194">
        <f>B41*0.175</f>
        <v>49434.35</v>
      </c>
      <c r="D41" s="194">
        <v>255640</v>
      </c>
      <c r="E41" s="194">
        <f t="shared" si="3"/>
        <v>44737</v>
      </c>
      <c r="F41" s="191">
        <f t="shared" si="4"/>
        <v>3094522</v>
      </c>
      <c r="G41" s="191">
        <f t="shared" si="4"/>
        <v>541541.35</v>
      </c>
    </row>
    <row r="42" spans="1:7" ht="15.75">
      <c r="A42" s="203"/>
      <c r="B42" s="204"/>
      <c r="C42" s="204"/>
      <c r="D42" s="204"/>
      <c r="E42" s="204"/>
      <c r="F42" s="191">
        <f>SUM(F37:F41)</f>
        <v>14051722</v>
      </c>
      <c r="G42" s="191">
        <f>SUM(G37:G41)</f>
        <v>2459051.35</v>
      </c>
    </row>
    <row r="44" spans="1:7" ht="31.5">
      <c r="A44" s="200" t="s">
        <v>277</v>
      </c>
      <c r="B44" s="201">
        <v>325831</v>
      </c>
      <c r="C44" s="194">
        <f aca="true" t="shared" si="5" ref="C44:C52">B44*0.175</f>
        <v>57020.424999999996</v>
      </c>
      <c r="D44" s="201">
        <v>325831</v>
      </c>
      <c r="E44" s="194">
        <f t="shared" si="3"/>
        <v>57020.424999999996</v>
      </c>
      <c r="F44" s="191">
        <f aca="true" t="shared" si="6" ref="F44:F52">B44+D44*11</f>
        <v>3909972</v>
      </c>
      <c r="G44" s="191">
        <f aca="true" t="shared" si="7" ref="G44:G52">C44+E44*11</f>
        <v>684245.1</v>
      </c>
    </row>
    <row r="45" spans="1:7" ht="15.75">
      <c r="A45" s="202" t="s">
        <v>278</v>
      </c>
      <c r="B45" s="201">
        <v>186225</v>
      </c>
      <c r="C45" s="194">
        <f t="shared" si="5"/>
        <v>32589.374999999996</v>
      </c>
      <c r="D45" s="201">
        <v>210600</v>
      </c>
      <c r="E45" s="194">
        <f t="shared" si="3"/>
        <v>36855</v>
      </c>
      <c r="F45" s="191">
        <f t="shared" si="6"/>
        <v>2502825</v>
      </c>
      <c r="G45" s="191">
        <f t="shared" si="7"/>
        <v>437994.375</v>
      </c>
    </row>
    <row r="46" spans="1:7" ht="15.75">
      <c r="A46" s="200" t="s">
        <v>279</v>
      </c>
      <c r="B46" s="201">
        <v>211500</v>
      </c>
      <c r="C46" s="194">
        <f t="shared" si="5"/>
        <v>37012.5</v>
      </c>
      <c r="D46" s="201">
        <v>216600</v>
      </c>
      <c r="E46" s="194">
        <f t="shared" si="3"/>
        <v>37905</v>
      </c>
      <c r="F46" s="191">
        <f t="shared" si="6"/>
        <v>2594100</v>
      </c>
      <c r="G46" s="191">
        <f t="shared" si="7"/>
        <v>453967.5</v>
      </c>
    </row>
    <row r="47" spans="1:7" ht="15.75">
      <c r="A47" s="202" t="s">
        <v>280</v>
      </c>
      <c r="B47" s="201">
        <v>356468</v>
      </c>
      <c r="C47" s="194">
        <f t="shared" si="5"/>
        <v>62381.899999999994</v>
      </c>
      <c r="D47" s="201">
        <v>356468</v>
      </c>
      <c r="E47" s="194">
        <f t="shared" si="3"/>
        <v>62381.899999999994</v>
      </c>
      <c r="F47" s="191">
        <f t="shared" si="6"/>
        <v>4277616</v>
      </c>
      <c r="G47" s="191">
        <f t="shared" si="7"/>
        <v>748582.7999999999</v>
      </c>
    </row>
    <row r="48" spans="1:7" ht="15.75">
      <c r="A48" s="202" t="s">
        <v>281</v>
      </c>
      <c r="B48" s="201">
        <v>195000</v>
      </c>
      <c r="C48" s="194">
        <f t="shared" si="5"/>
        <v>34125</v>
      </c>
      <c r="D48" s="201">
        <v>210600</v>
      </c>
      <c r="E48" s="194">
        <f t="shared" si="3"/>
        <v>36855</v>
      </c>
      <c r="F48" s="191">
        <f t="shared" si="6"/>
        <v>2511600</v>
      </c>
      <c r="G48" s="191">
        <f t="shared" si="7"/>
        <v>439530</v>
      </c>
    </row>
    <row r="49" spans="1:7" ht="15.75">
      <c r="A49" s="202" t="s">
        <v>282</v>
      </c>
      <c r="B49" s="201">
        <v>165752</v>
      </c>
      <c r="C49" s="194">
        <f t="shared" si="5"/>
        <v>29006.6</v>
      </c>
      <c r="D49" s="201">
        <v>210600</v>
      </c>
      <c r="E49" s="194">
        <f t="shared" si="3"/>
        <v>36855</v>
      </c>
      <c r="F49" s="191">
        <f t="shared" si="6"/>
        <v>2482352</v>
      </c>
      <c r="G49" s="191">
        <f t="shared" si="7"/>
        <v>434411.6</v>
      </c>
    </row>
    <row r="50" spans="1:7" ht="15.75">
      <c r="A50" s="202" t="s">
        <v>283</v>
      </c>
      <c r="B50" s="201">
        <v>162825</v>
      </c>
      <c r="C50" s="194">
        <f t="shared" si="5"/>
        <v>28494.375</v>
      </c>
      <c r="D50" s="201">
        <v>210600</v>
      </c>
      <c r="E50" s="194">
        <f t="shared" si="3"/>
        <v>36855</v>
      </c>
      <c r="F50" s="191">
        <f t="shared" si="6"/>
        <v>2479425</v>
      </c>
      <c r="G50" s="191">
        <f t="shared" si="7"/>
        <v>433899.375</v>
      </c>
    </row>
    <row r="51" spans="1:7" ht="15.75">
      <c r="A51" s="202" t="s">
        <v>284</v>
      </c>
      <c r="B51" s="201">
        <v>195000</v>
      </c>
      <c r="C51" s="194">
        <f t="shared" si="5"/>
        <v>34125</v>
      </c>
      <c r="D51" s="201">
        <v>210600</v>
      </c>
      <c r="E51" s="194">
        <f t="shared" si="3"/>
        <v>36855</v>
      </c>
      <c r="F51" s="191">
        <f t="shared" si="6"/>
        <v>2511600</v>
      </c>
      <c r="G51" s="191">
        <f t="shared" si="7"/>
        <v>439530</v>
      </c>
    </row>
    <row r="52" spans="1:7" ht="31.5">
      <c r="A52" s="200" t="s">
        <v>285</v>
      </c>
      <c r="B52" s="201">
        <v>74500</v>
      </c>
      <c r="C52" s="194">
        <f t="shared" si="5"/>
        <v>13037.5</v>
      </c>
      <c r="D52" s="201">
        <v>80500</v>
      </c>
      <c r="E52" s="194">
        <f t="shared" si="3"/>
        <v>14087.5</v>
      </c>
      <c r="F52" s="191">
        <f t="shared" si="6"/>
        <v>960000</v>
      </c>
      <c r="G52" s="191">
        <f t="shared" si="7"/>
        <v>168000</v>
      </c>
    </row>
    <row r="53" spans="6:7" ht="15">
      <c r="F53" s="191">
        <f>SUM(F44:F52)</f>
        <v>24229490</v>
      </c>
      <c r="G53" s="191">
        <f>SUM(G44:G52)</f>
        <v>4240160.75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28.421875" style="2" customWidth="1"/>
    <col min="3" max="3" width="35.00390625" style="3" customWidth="1"/>
    <col min="4" max="4" width="6.57421875" style="4" customWidth="1"/>
    <col min="5" max="5" width="32.00390625" style="5" customWidth="1"/>
    <col min="6" max="6" width="26.710937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1:6" ht="15" customHeight="1">
      <c r="A1" s="289" t="s">
        <v>415</v>
      </c>
      <c r="B1" s="289"/>
      <c r="C1" s="289"/>
      <c r="D1" s="289"/>
      <c r="E1" s="289"/>
      <c r="F1" s="289"/>
    </row>
    <row r="3" spans="2:6" ht="32.25" customHeight="1">
      <c r="B3" s="278" t="s">
        <v>246</v>
      </c>
      <c r="C3" s="278"/>
      <c r="D3" s="278"/>
      <c r="E3" s="278"/>
      <c r="F3" s="278"/>
    </row>
    <row r="4" spans="2:6" ht="18">
      <c r="B4" s="6"/>
      <c r="C4" s="7"/>
      <c r="F4" s="8" t="s">
        <v>9</v>
      </c>
    </row>
    <row r="5" spans="1:9" ht="12.75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5.5">
      <c r="A6" s="14" t="s">
        <v>10</v>
      </c>
      <c r="B6" s="15" t="s">
        <v>11</v>
      </c>
      <c r="C6" s="16">
        <f>C7+C13+C14+C15+C16+C17+C18</f>
        <v>135187384.9375</v>
      </c>
      <c r="D6" s="9" t="s">
        <v>10</v>
      </c>
      <c r="E6" s="15" t="s">
        <v>12</v>
      </c>
      <c r="F6" s="16">
        <f>SUM(F7:F12)</f>
        <v>90058586.8375</v>
      </c>
    </row>
    <row r="7" spans="1:9" ht="25.5">
      <c r="A7" s="17" t="s">
        <v>13</v>
      </c>
      <c r="B7" s="18" t="s">
        <v>14</v>
      </c>
      <c r="C7" s="19">
        <f>SUM(C8:C12)</f>
        <v>77038255</v>
      </c>
      <c r="D7" s="20" t="s">
        <v>13</v>
      </c>
      <c r="E7" s="21" t="s">
        <v>15</v>
      </c>
      <c r="F7" s="22">
        <f>Segédlet!F7</f>
        <v>39755835</v>
      </c>
      <c r="I7" s="13"/>
    </row>
    <row r="8" spans="1:7" ht="38.25">
      <c r="A8" s="17"/>
      <c r="B8" s="21" t="s">
        <v>16</v>
      </c>
      <c r="C8" s="19">
        <f>Segédlet!B6</f>
        <v>19352357</v>
      </c>
      <c r="D8" s="20" t="s">
        <v>17</v>
      </c>
      <c r="E8" s="21" t="s">
        <v>1</v>
      </c>
      <c r="F8" s="22">
        <f>Segédlet!G7</f>
        <v>6576538.6125</v>
      </c>
      <c r="G8" s="23"/>
    </row>
    <row r="9" spans="1:9" ht="25.5">
      <c r="A9" s="17"/>
      <c r="B9" s="21" t="s">
        <v>92</v>
      </c>
      <c r="C9" s="19">
        <f>Segédlet!B7</f>
        <v>28583180</v>
      </c>
      <c r="D9" s="20" t="s">
        <v>19</v>
      </c>
      <c r="E9" s="21" t="s">
        <v>20</v>
      </c>
      <c r="F9" s="22">
        <f>Segédlet!F21</f>
        <v>24275584</v>
      </c>
      <c r="H9" s="23"/>
      <c r="I9" s="13"/>
    </row>
    <row r="10" spans="1:9" ht="51">
      <c r="A10" s="17"/>
      <c r="B10" s="21" t="s">
        <v>18</v>
      </c>
      <c r="C10" s="19">
        <f>Segédlet!B8+Segédlet!B9+Segédlet!B10</f>
        <v>26060969</v>
      </c>
      <c r="D10" s="20" t="s">
        <v>22</v>
      </c>
      <c r="E10" s="21" t="s">
        <v>23</v>
      </c>
      <c r="F10" s="22">
        <f>Segédlet!F55</f>
        <v>1228700</v>
      </c>
      <c r="G10" s="23"/>
      <c r="I10" s="23"/>
    </row>
    <row r="11" spans="1:6" ht="51">
      <c r="A11" s="17"/>
      <c r="B11" s="21" t="s">
        <v>21</v>
      </c>
      <c r="C11" s="19">
        <f>Segédlet!B11</f>
        <v>1800000</v>
      </c>
      <c r="D11" s="20" t="s">
        <v>25</v>
      </c>
      <c r="E11" s="21" t="s">
        <v>26</v>
      </c>
      <c r="F11" s="22">
        <f>Segédlet!F60</f>
        <v>4253624</v>
      </c>
    </row>
    <row r="12" spans="1:6" ht="25.5">
      <c r="A12" s="17"/>
      <c r="B12" s="21" t="s">
        <v>149</v>
      </c>
      <c r="C12" s="19">
        <f>Segédlet!B12</f>
        <v>1241749</v>
      </c>
      <c r="D12" s="20" t="s">
        <v>28</v>
      </c>
      <c r="E12" s="21" t="s">
        <v>29</v>
      </c>
      <c r="F12" s="22">
        <f>Segédlet!F57</f>
        <v>13968305.225000001</v>
      </c>
    </row>
    <row r="13" spans="1:7" ht="25.5">
      <c r="A13" s="17" t="s">
        <v>17</v>
      </c>
      <c r="B13" s="21" t="s">
        <v>24</v>
      </c>
      <c r="C13" s="22">
        <v>0</v>
      </c>
      <c r="D13" s="9" t="s">
        <v>30</v>
      </c>
      <c r="E13" s="24" t="s">
        <v>31</v>
      </c>
      <c r="F13" s="25">
        <f>SUM(F14:F16)</f>
        <v>5189108</v>
      </c>
      <c r="G13" s="23"/>
    </row>
    <row r="14" spans="1:7" ht="38.25">
      <c r="A14" s="17" t="s">
        <v>19</v>
      </c>
      <c r="B14" s="21" t="s">
        <v>27</v>
      </c>
      <c r="C14" s="22">
        <f>Segédlet!B14+Segédlet!B16</f>
        <v>28912803.9375</v>
      </c>
      <c r="D14" s="20" t="s">
        <v>32</v>
      </c>
      <c r="E14" s="21" t="s">
        <v>33</v>
      </c>
      <c r="F14" s="22">
        <f>Segédlet!F66</f>
        <v>500000</v>
      </c>
      <c r="G14" s="23"/>
    </row>
    <row r="15" spans="1:6" ht="12.75">
      <c r="A15" s="17" t="s">
        <v>22</v>
      </c>
      <c r="B15" s="21" t="s">
        <v>4</v>
      </c>
      <c r="C15" s="22">
        <f>Segédlet!B19</f>
        <v>13714021</v>
      </c>
      <c r="D15" s="20" t="s">
        <v>35</v>
      </c>
      <c r="E15" s="21" t="s">
        <v>36</v>
      </c>
      <c r="F15" s="22">
        <f>Segédlet!F68</f>
        <v>4689108</v>
      </c>
    </row>
    <row r="16" spans="1:6" ht="12.75">
      <c r="A16" s="17" t="s">
        <v>25</v>
      </c>
      <c r="B16" s="21" t="s">
        <v>3</v>
      </c>
      <c r="C16" s="22">
        <f>Segédlet!B24</f>
        <v>15522305</v>
      </c>
      <c r="D16" s="20" t="s">
        <v>39</v>
      </c>
      <c r="E16" s="21" t="s">
        <v>40</v>
      </c>
      <c r="F16" s="22">
        <v>0</v>
      </c>
    </row>
    <row r="17" spans="1:6" ht="25.5">
      <c r="A17" s="17" t="s">
        <v>28</v>
      </c>
      <c r="B17" s="21" t="s">
        <v>34</v>
      </c>
      <c r="C17" s="22">
        <v>0</v>
      </c>
      <c r="D17" s="9" t="s">
        <v>42</v>
      </c>
      <c r="E17" s="24" t="s">
        <v>43</v>
      </c>
      <c r="F17" s="25">
        <f>SUM(F18:F23)</f>
        <v>58320712.1</v>
      </c>
    </row>
    <row r="18" spans="1:6" ht="25.5">
      <c r="A18" s="17" t="s">
        <v>37</v>
      </c>
      <c r="B18" s="21" t="s">
        <v>38</v>
      </c>
      <c r="C18" s="22">
        <v>0</v>
      </c>
      <c r="D18" s="20" t="s">
        <v>45</v>
      </c>
      <c r="E18" s="21" t="s">
        <v>46</v>
      </c>
      <c r="F18" s="22">
        <v>0</v>
      </c>
    </row>
    <row r="19" spans="1:6" ht="25.5">
      <c r="A19" s="14" t="s">
        <v>30</v>
      </c>
      <c r="B19" s="24" t="s">
        <v>41</v>
      </c>
      <c r="C19" s="25">
        <f>C20+C21+C22+C23+C24</f>
        <v>0</v>
      </c>
      <c r="D19" s="20" t="s">
        <v>48</v>
      </c>
      <c r="E19" s="21" t="s">
        <v>49</v>
      </c>
      <c r="F19" s="22">
        <f>Segédlet!F72</f>
        <v>3031859</v>
      </c>
    </row>
    <row r="20" spans="1:7" ht="25.5">
      <c r="A20" s="17" t="s">
        <v>32</v>
      </c>
      <c r="B20" s="21" t="s">
        <v>44</v>
      </c>
      <c r="C20" s="22">
        <v>0</v>
      </c>
      <c r="D20" s="20" t="s">
        <v>51</v>
      </c>
      <c r="E20" s="21" t="s">
        <v>96</v>
      </c>
      <c r="F20" s="22">
        <f>Segédlet!F73</f>
        <v>55027226.1</v>
      </c>
      <c r="G20" s="23"/>
    </row>
    <row r="21" spans="1:6" ht="38.25">
      <c r="A21" s="17" t="s">
        <v>35</v>
      </c>
      <c r="B21" s="21" t="s">
        <v>47</v>
      </c>
      <c r="C21" s="22">
        <v>0</v>
      </c>
      <c r="D21" s="20" t="s">
        <v>54</v>
      </c>
      <c r="E21" s="21" t="s">
        <v>52</v>
      </c>
      <c r="F21" s="22">
        <v>0</v>
      </c>
    </row>
    <row r="22" spans="1:6" ht="25.5">
      <c r="A22" s="17" t="s">
        <v>39</v>
      </c>
      <c r="B22" s="21" t="s">
        <v>50</v>
      </c>
      <c r="C22" s="22">
        <v>0</v>
      </c>
      <c r="D22" s="20" t="s">
        <v>93</v>
      </c>
      <c r="E22" s="21" t="s">
        <v>95</v>
      </c>
      <c r="F22" s="22">
        <f>Segédlet!F74</f>
        <v>261627</v>
      </c>
    </row>
    <row r="23" spans="1:6" ht="38.25">
      <c r="A23" s="17" t="s">
        <v>53</v>
      </c>
      <c r="B23" s="21" t="s">
        <v>83</v>
      </c>
      <c r="C23" s="22">
        <v>0</v>
      </c>
      <c r="D23" s="20"/>
      <c r="E23" s="21"/>
      <c r="F23" s="22"/>
    </row>
    <row r="24" spans="1:6" ht="25.5">
      <c r="A24" s="17" t="s">
        <v>56</v>
      </c>
      <c r="B24" s="21" t="s">
        <v>57</v>
      </c>
      <c r="C24" s="22">
        <v>0</v>
      </c>
      <c r="D24" s="20"/>
      <c r="E24" s="21"/>
      <c r="F24" s="22"/>
    </row>
    <row r="25" spans="1:6" ht="12.75">
      <c r="A25" s="9" t="s">
        <v>42</v>
      </c>
      <c r="B25" s="24" t="s">
        <v>58</v>
      </c>
      <c r="C25" s="25">
        <f>SUM(C26:C29)</f>
        <v>18381022</v>
      </c>
      <c r="D25" s="27"/>
      <c r="E25" s="28"/>
      <c r="F25" s="28"/>
    </row>
    <row r="26" spans="1:6" ht="12.75">
      <c r="A26" s="20" t="s">
        <v>45</v>
      </c>
      <c r="B26" s="21" t="s">
        <v>59</v>
      </c>
      <c r="C26" s="22">
        <f>Segédlet!B34</f>
        <v>18381022</v>
      </c>
      <c r="D26" s="27"/>
      <c r="E26" s="28"/>
      <c r="F26" s="28"/>
    </row>
    <row r="27" spans="1:6" ht="25.5">
      <c r="A27" s="20" t="s">
        <v>48</v>
      </c>
      <c r="B27" s="21" t="s">
        <v>60</v>
      </c>
      <c r="C27" s="22">
        <v>0</v>
      </c>
      <c r="D27" s="27"/>
      <c r="E27" s="28"/>
      <c r="F27" s="28"/>
    </row>
    <row r="28" spans="1:9" ht="25.5">
      <c r="A28" s="20" t="s">
        <v>51</v>
      </c>
      <c r="B28" s="21" t="s">
        <v>61</v>
      </c>
      <c r="C28" s="22">
        <v>0</v>
      </c>
      <c r="D28" s="30"/>
      <c r="E28" s="28"/>
      <c r="F28" s="28"/>
      <c r="H28" s="23"/>
      <c r="I28" s="23"/>
    </row>
    <row r="29" spans="1:6" ht="12.75">
      <c r="A29" s="20" t="s">
        <v>54</v>
      </c>
      <c r="B29" s="21" t="s">
        <v>62</v>
      </c>
      <c r="C29" s="22">
        <v>0</v>
      </c>
      <c r="D29" s="29"/>
      <c r="E29" s="24"/>
      <c r="F29" s="25"/>
    </row>
    <row r="30" spans="1:6" ht="12.75">
      <c r="A30" s="31"/>
      <c r="B30" s="24" t="s">
        <v>63</v>
      </c>
      <c r="C30" s="25">
        <f>C25+C19+C6</f>
        <v>153568406.9375</v>
      </c>
      <c r="D30" s="29"/>
      <c r="E30" s="24" t="s">
        <v>64</v>
      </c>
      <c r="F30" s="25">
        <f>F17+F13+F6</f>
        <v>153568406.9375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28.421875" style="2" customWidth="1"/>
    <col min="3" max="3" width="35.00390625" style="3" customWidth="1"/>
    <col min="4" max="4" width="6.57421875" style="4" customWidth="1"/>
    <col min="5" max="5" width="32.00390625" style="5" customWidth="1"/>
    <col min="6" max="6" width="26.710937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1:6" ht="15" customHeight="1">
      <c r="A1" s="289" t="s">
        <v>416</v>
      </c>
      <c r="B1" s="289"/>
      <c r="C1" s="289"/>
      <c r="D1" s="289"/>
      <c r="E1" s="289"/>
      <c r="F1" s="289"/>
    </row>
    <row r="3" spans="2:6" ht="32.25" customHeight="1">
      <c r="B3" s="278" t="s">
        <v>247</v>
      </c>
      <c r="C3" s="278"/>
      <c r="D3" s="278"/>
      <c r="E3" s="278"/>
      <c r="F3" s="278"/>
    </row>
    <row r="4" spans="2:6" ht="18">
      <c r="B4" s="6"/>
      <c r="C4" s="7"/>
      <c r="F4" s="8" t="s">
        <v>9</v>
      </c>
    </row>
    <row r="5" spans="1:9" ht="12.75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5.5">
      <c r="A6" s="14" t="s">
        <v>10</v>
      </c>
      <c r="B6" s="15" t="s">
        <v>11</v>
      </c>
      <c r="C6" s="16">
        <f>SUM(C7:C10)</f>
        <v>0</v>
      </c>
      <c r="D6" s="9" t="s">
        <v>10</v>
      </c>
      <c r="E6" s="15" t="s">
        <v>12</v>
      </c>
      <c r="F6" s="16">
        <f>SUM(F7:F11)</f>
        <v>29781974.75</v>
      </c>
    </row>
    <row r="7" spans="1:9" ht="25.5">
      <c r="A7" s="17" t="s">
        <v>13</v>
      </c>
      <c r="B7" s="21" t="s">
        <v>24</v>
      </c>
      <c r="C7" s="22">
        <v>0</v>
      </c>
      <c r="D7" s="20" t="s">
        <v>13</v>
      </c>
      <c r="E7" s="21" t="s">
        <v>15</v>
      </c>
      <c r="F7" s="22">
        <f>'Segédlet óvoda'!E6</f>
        <v>24229490</v>
      </c>
      <c r="I7" s="13"/>
    </row>
    <row r="8" spans="1:7" ht="38.25">
      <c r="A8" s="17" t="s">
        <v>17</v>
      </c>
      <c r="B8" s="21" t="s">
        <v>27</v>
      </c>
      <c r="C8" s="22">
        <v>0</v>
      </c>
      <c r="D8" s="20" t="s">
        <v>17</v>
      </c>
      <c r="E8" s="21" t="s">
        <v>1</v>
      </c>
      <c r="F8" s="22">
        <f>'Segédlet óvoda'!E7</f>
        <v>4240160.75</v>
      </c>
      <c r="G8" s="23"/>
    </row>
    <row r="9" spans="1:9" ht="12.75">
      <c r="A9" s="17" t="s">
        <v>19</v>
      </c>
      <c r="B9" s="21" t="s">
        <v>3</v>
      </c>
      <c r="C9" s="22">
        <v>0</v>
      </c>
      <c r="D9" s="20" t="s">
        <v>19</v>
      </c>
      <c r="E9" s="21" t="s">
        <v>20</v>
      </c>
      <c r="F9" s="22">
        <f>'Segédlet óvoda'!E8</f>
        <v>1312324</v>
      </c>
      <c r="H9" s="23"/>
      <c r="I9" s="13"/>
    </row>
    <row r="10" spans="1:9" ht="25.5">
      <c r="A10" s="17" t="s">
        <v>22</v>
      </c>
      <c r="B10" s="21" t="s">
        <v>38</v>
      </c>
      <c r="C10" s="22">
        <v>0</v>
      </c>
      <c r="D10" s="20" t="s">
        <v>22</v>
      </c>
      <c r="E10" s="21" t="s">
        <v>26</v>
      </c>
      <c r="F10" s="22">
        <v>0</v>
      </c>
      <c r="G10" s="23"/>
      <c r="I10" s="23"/>
    </row>
    <row r="11" spans="1:6" ht="25.5">
      <c r="A11" s="14" t="s">
        <v>30</v>
      </c>
      <c r="B11" s="24" t="s">
        <v>41</v>
      </c>
      <c r="C11" s="25">
        <f>SUM(C12:C14)</f>
        <v>0</v>
      </c>
      <c r="D11" s="20" t="s">
        <v>25</v>
      </c>
      <c r="E11" s="21" t="s">
        <v>29</v>
      </c>
      <c r="F11" s="22">
        <v>0</v>
      </c>
    </row>
    <row r="12" spans="1:6" ht="38.25">
      <c r="A12" s="17" t="s">
        <v>32</v>
      </c>
      <c r="B12" s="21" t="s">
        <v>47</v>
      </c>
      <c r="C12" s="22">
        <v>0</v>
      </c>
      <c r="D12" s="9" t="s">
        <v>30</v>
      </c>
      <c r="E12" s="24" t="s">
        <v>31</v>
      </c>
      <c r="F12" s="25">
        <f>SUM(F13:F15)</f>
        <v>380000</v>
      </c>
    </row>
    <row r="13" spans="1:7" ht="25.5">
      <c r="A13" s="17" t="s">
        <v>35</v>
      </c>
      <c r="B13" s="21" t="s">
        <v>50</v>
      </c>
      <c r="C13" s="22">
        <v>0</v>
      </c>
      <c r="D13" s="20" t="s">
        <v>32</v>
      </c>
      <c r="E13" s="21" t="s">
        <v>33</v>
      </c>
      <c r="F13" s="22">
        <f>'Segédlet óvoda'!E19</f>
        <v>350000</v>
      </c>
      <c r="G13" s="23"/>
    </row>
    <row r="14" spans="1:7" ht="25.5">
      <c r="A14" s="17" t="s">
        <v>39</v>
      </c>
      <c r="B14" s="21" t="s">
        <v>57</v>
      </c>
      <c r="C14" s="22">
        <v>0</v>
      </c>
      <c r="D14" s="20" t="s">
        <v>35</v>
      </c>
      <c r="E14" s="21" t="s">
        <v>36</v>
      </c>
      <c r="F14" s="22">
        <f>'Segédlet óvoda'!E22</f>
        <v>30000</v>
      </c>
      <c r="G14" s="23"/>
    </row>
    <row r="15" spans="1:6" ht="12.75">
      <c r="A15" s="9" t="s">
        <v>42</v>
      </c>
      <c r="B15" s="24" t="s">
        <v>58</v>
      </c>
      <c r="C15" s="25">
        <f>SUM(C16:C17)</f>
        <v>30161974.75</v>
      </c>
      <c r="D15" s="20" t="s">
        <v>39</v>
      </c>
      <c r="E15" s="21" t="s">
        <v>40</v>
      </c>
      <c r="F15" s="22">
        <v>0</v>
      </c>
    </row>
    <row r="16" spans="1:6" ht="12.75">
      <c r="A16" s="20" t="s">
        <v>45</v>
      </c>
      <c r="B16" s="21" t="s">
        <v>59</v>
      </c>
      <c r="C16" s="22">
        <f>'Segédlet óvoda'!B7</f>
        <v>29460</v>
      </c>
      <c r="D16" s="9" t="s">
        <v>42</v>
      </c>
      <c r="E16" s="24" t="s">
        <v>43</v>
      </c>
      <c r="F16" s="25">
        <v>0</v>
      </c>
    </row>
    <row r="17" spans="1:6" ht="12.75">
      <c r="A17" s="20" t="s">
        <v>48</v>
      </c>
      <c r="B17" s="21" t="s">
        <v>96</v>
      </c>
      <c r="C17" s="22">
        <f>'Segédlet óvoda'!B5</f>
        <v>30132514.75</v>
      </c>
      <c r="D17" s="30"/>
      <c r="E17" s="24"/>
      <c r="F17" s="25"/>
    </row>
    <row r="18" spans="1:6" ht="12.75">
      <c r="A18" s="31"/>
      <c r="B18" s="24" t="s">
        <v>63</v>
      </c>
      <c r="C18" s="25">
        <f>C15+C11+C6</f>
        <v>30161974.75</v>
      </c>
      <c r="D18" s="29"/>
      <c r="E18" s="24" t="s">
        <v>64</v>
      </c>
      <c r="F18" s="25">
        <f>F16+F12+F6</f>
        <v>30161974.75</v>
      </c>
    </row>
    <row r="20" ht="14.25">
      <c r="G20" s="23"/>
    </row>
    <row r="28" spans="8:9" ht="14.25">
      <c r="H28" s="23"/>
      <c r="I28" s="23"/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B1">
      <selection activeCell="B3" sqref="B3:F3"/>
    </sheetView>
  </sheetViews>
  <sheetFormatPr defaultColWidth="9.140625" defaultRowHeight="15"/>
  <cols>
    <col min="1" max="1" width="4.57421875" style="1" customWidth="1"/>
    <col min="2" max="2" width="28.421875" style="2" customWidth="1"/>
    <col min="3" max="3" width="35.00390625" style="3" customWidth="1"/>
    <col min="4" max="4" width="6.57421875" style="4" customWidth="1"/>
    <col min="5" max="5" width="32.00390625" style="5" customWidth="1"/>
    <col min="6" max="6" width="26.710937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2:6" ht="15" customHeight="1">
      <c r="B1" s="289" t="s">
        <v>417</v>
      </c>
      <c r="C1" s="289"/>
      <c r="D1" s="289"/>
      <c r="E1" s="289"/>
      <c r="F1" s="289"/>
    </row>
    <row r="3" spans="2:6" ht="32.25" customHeight="1">
      <c r="B3" s="278" t="s">
        <v>248</v>
      </c>
      <c r="C3" s="278"/>
      <c r="D3" s="278"/>
      <c r="E3" s="278"/>
      <c r="F3" s="278"/>
    </row>
    <row r="4" spans="2:6" ht="18">
      <c r="B4" s="6"/>
      <c r="C4" s="7"/>
      <c r="F4" s="8" t="s">
        <v>9</v>
      </c>
    </row>
    <row r="5" spans="1:9" ht="12.75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5.5">
      <c r="A6" s="14" t="s">
        <v>10</v>
      </c>
      <c r="B6" s="15" t="s">
        <v>11</v>
      </c>
      <c r="C6" s="16">
        <f>SUM(C7:C10)</f>
        <v>18405852</v>
      </c>
      <c r="D6" s="9" t="s">
        <v>10</v>
      </c>
      <c r="E6" s="15" t="s">
        <v>12</v>
      </c>
      <c r="F6" s="16">
        <f>SUM(F7:F11)</f>
        <v>42311495.35</v>
      </c>
    </row>
    <row r="7" spans="1:9" ht="25.5">
      <c r="A7" s="17" t="s">
        <v>13</v>
      </c>
      <c r="B7" s="21" t="s">
        <v>24</v>
      </c>
      <c r="C7" s="22">
        <v>0</v>
      </c>
      <c r="D7" s="20" t="s">
        <v>13</v>
      </c>
      <c r="E7" s="21" t="s">
        <v>15</v>
      </c>
      <c r="F7" s="22">
        <f>'Segédlet konyha'!E6+'Segédlet konyha'!E8</f>
        <v>14201811</v>
      </c>
      <c r="I7" s="13"/>
    </row>
    <row r="8" spans="1:7" ht="38.25">
      <c r="A8" s="17" t="s">
        <v>17</v>
      </c>
      <c r="B8" s="21" t="s">
        <v>27</v>
      </c>
      <c r="C8" s="22">
        <v>0</v>
      </c>
      <c r="D8" s="20" t="s">
        <v>17</v>
      </c>
      <c r="E8" s="21" t="s">
        <v>1</v>
      </c>
      <c r="F8" s="22">
        <f>'Segédlet konyha'!E7</f>
        <v>2459051.35</v>
      </c>
      <c r="G8" s="23"/>
    </row>
    <row r="9" spans="1:9" ht="12.75">
      <c r="A9" s="17" t="s">
        <v>19</v>
      </c>
      <c r="B9" s="21" t="s">
        <v>3</v>
      </c>
      <c r="C9" s="22">
        <f>'Segédlet konyha'!B5</f>
        <v>18405852</v>
      </c>
      <c r="D9" s="20" t="s">
        <v>19</v>
      </c>
      <c r="E9" s="21" t="s">
        <v>20</v>
      </c>
      <c r="F9" s="22">
        <f>'Segédlet konyha'!E9</f>
        <v>25650633</v>
      </c>
      <c r="H9" s="23"/>
      <c r="I9" s="13"/>
    </row>
    <row r="10" spans="1:9" ht="25.5">
      <c r="A10" s="17" t="s">
        <v>22</v>
      </c>
      <c r="B10" s="21" t="s">
        <v>38</v>
      </c>
      <c r="C10" s="22">
        <v>0</v>
      </c>
      <c r="D10" s="20" t="s">
        <v>22</v>
      </c>
      <c r="E10" s="21" t="s">
        <v>26</v>
      </c>
      <c r="F10" s="22">
        <v>0</v>
      </c>
      <c r="G10" s="23"/>
      <c r="I10" s="23"/>
    </row>
    <row r="11" spans="1:6" ht="25.5">
      <c r="A11" s="14" t="s">
        <v>30</v>
      </c>
      <c r="B11" s="24" t="s">
        <v>41</v>
      </c>
      <c r="C11" s="25">
        <f>SUM(C12:C14)</f>
        <v>0</v>
      </c>
      <c r="D11" s="20" t="s">
        <v>25</v>
      </c>
      <c r="E11" s="21" t="s">
        <v>29</v>
      </c>
      <c r="F11" s="22">
        <v>0</v>
      </c>
    </row>
    <row r="12" spans="1:6" ht="38.25">
      <c r="A12" s="17" t="s">
        <v>32</v>
      </c>
      <c r="B12" s="21" t="s">
        <v>47</v>
      </c>
      <c r="C12" s="22">
        <v>0</v>
      </c>
      <c r="D12" s="9" t="s">
        <v>30</v>
      </c>
      <c r="E12" s="24" t="s">
        <v>31</v>
      </c>
      <c r="F12" s="25">
        <f>SUM(F13:F15)</f>
        <v>1370000</v>
      </c>
    </row>
    <row r="13" spans="1:7" ht="25.5">
      <c r="A13" s="17" t="s">
        <v>35</v>
      </c>
      <c r="B13" s="21" t="s">
        <v>50</v>
      </c>
      <c r="C13" s="22">
        <v>0</v>
      </c>
      <c r="D13" s="20" t="s">
        <v>32</v>
      </c>
      <c r="E13" s="21" t="s">
        <v>33</v>
      </c>
      <c r="F13" s="22">
        <f>'Segédlet konyha'!E24</f>
        <v>640000</v>
      </c>
      <c r="G13" s="23"/>
    </row>
    <row r="14" spans="1:7" ht="25.5">
      <c r="A14" s="17" t="s">
        <v>39</v>
      </c>
      <c r="B14" s="21" t="s">
        <v>57</v>
      </c>
      <c r="C14" s="22">
        <v>0</v>
      </c>
      <c r="D14" s="20" t="s">
        <v>35</v>
      </c>
      <c r="E14" s="21" t="s">
        <v>36</v>
      </c>
      <c r="F14" s="22">
        <f>'Segédlet konyha'!E29</f>
        <v>730000</v>
      </c>
      <c r="G14" s="23"/>
    </row>
    <row r="15" spans="1:6" ht="12.75">
      <c r="A15" s="9" t="s">
        <v>42</v>
      </c>
      <c r="B15" s="24" t="s">
        <v>58</v>
      </c>
      <c r="C15" s="25">
        <f>SUM(C16:C17)</f>
        <v>25275643.35</v>
      </c>
      <c r="D15" s="20" t="s">
        <v>39</v>
      </c>
      <c r="E15" s="21" t="s">
        <v>40</v>
      </c>
      <c r="F15" s="22">
        <v>0</v>
      </c>
    </row>
    <row r="16" spans="1:6" ht="12.75">
      <c r="A16" s="20" t="s">
        <v>45</v>
      </c>
      <c r="B16" s="21" t="s">
        <v>59</v>
      </c>
      <c r="C16" s="22">
        <f>'Segédlet konyha'!B12</f>
        <v>380932</v>
      </c>
      <c r="D16" s="9" t="s">
        <v>42</v>
      </c>
      <c r="E16" s="24" t="s">
        <v>43</v>
      </c>
      <c r="F16" s="25">
        <v>0</v>
      </c>
    </row>
    <row r="17" spans="1:6" ht="12.75">
      <c r="A17" s="20" t="s">
        <v>48</v>
      </c>
      <c r="B17" s="21" t="s">
        <v>96</v>
      </c>
      <c r="C17" s="22">
        <f>'Segédlet konyha'!B10</f>
        <v>24894711.35</v>
      </c>
      <c r="D17" s="30"/>
      <c r="E17" s="24"/>
      <c r="F17" s="25"/>
    </row>
    <row r="18" spans="1:6" ht="12.75">
      <c r="A18" s="31"/>
      <c r="B18" s="24" t="s">
        <v>63</v>
      </c>
      <c r="C18" s="25">
        <f>C15+C11+C6</f>
        <v>43681495.35</v>
      </c>
      <c r="D18" s="29"/>
      <c r="E18" s="24" t="s">
        <v>64</v>
      </c>
      <c r="F18" s="25">
        <f>F16+F12+F6</f>
        <v>43681495.35</v>
      </c>
    </row>
    <row r="20" ht="14.25">
      <c r="G20" s="23"/>
    </row>
    <row r="28" spans="8:9" ht="14.25">
      <c r="H28" s="23"/>
      <c r="I28" s="23"/>
    </row>
  </sheetData>
  <sheetProtection/>
  <mergeCells count="2"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A1" sqref="A1:B1"/>
    </sheetView>
  </sheetViews>
  <sheetFormatPr defaultColWidth="11.57421875" defaultRowHeight="15"/>
  <cols>
    <col min="1" max="1" width="67.57421875" style="32" customWidth="1"/>
    <col min="2" max="2" width="28.421875" style="37" customWidth="1"/>
    <col min="3" max="3" width="35.00390625" style="34" customWidth="1"/>
    <col min="4" max="4" width="12.7109375" style="34" bestFit="1" customWidth="1"/>
    <col min="5" max="5" width="32.00390625" style="34" customWidth="1"/>
    <col min="6" max="6" width="26.7109375" style="34" customWidth="1"/>
    <col min="7" max="16384" width="11.57421875" style="34" customWidth="1"/>
  </cols>
  <sheetData>
    <row r="1" spans="1:2" ht="15.75" customHeight="1">
      <c r="A1" s="290" t="s">
        <v>418</v>
      </c>
      <c r="B1" s="290"/>
    </row>
    <row r="2" ht="15">
      <c r="B2" s="33"/>
    </row>
    <row r="3" spans="1:2" ht="32.25" customHeight="1">
      <c r="A3" s="278" t="s">
        <v>123</v>
      </c>
      <c r="B3" s="278"/>
    </row>
    <row r="4" spans="1:2" ht="15.75">
      <c r="A4" s="35"/>
      <c r="B4" s="35"/>
    </row>
    <row r="5" spans="1:2" ht="16.5">
      <c r="A5" s="36"/>
      <c r="B5" s="8" t="s">
        <v>9</v>
      </c>
    </row>
    <row r="6" spans="1:2" ht="15">
      <c r="A6" s="21" t="s">
        <v>249</v>
      </c>
      <c r="B6" s="19">
        <f>Segédlet!F58</f>
        <v>5754642.2250000015</v>
      </c>
    </row>
    <row r="7" spans="1:2" ht="15">
      <c r="A7" s="21" t="s">
        <v>412</v>
      </c>
      <c r="B7" s="22">
        <f>Segédlet!F59</f>
        <v>8213663</v>
      </c>
    </row>
  </sheetData>
  <sheetProtection/>
  <mergeCells count="2"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2020-02-07T13:07:19Z</cp:lastPrinted>
  <dcterms:created xsi:type="dcterms:W3CDTF">2017-01-29T17:19:47Z</dcterms:created>
  <dcterms:modified xsi:type="dcterms:W3CDTF">2020-02-26T11:05:47Z</dcterms:modified>
  <cp:category/>
  <cp:version/>
  <cp:contentType/>
  <cp:contentStatus/>
</cp:coreProperties>
</file>