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" activeTab="4"/>
  </bookViews>
  <sheets>
    <sheet name="ÖSSZEFÜGGÉSEK" sheetId="1" state="hidden" r:id="rId1"/>
    <sheet name="1" sheetId="2" state="hidden" r:id="rId2"/>
    <sheet name="2" sheetId="3" r:id="rId3"/>
    <sheet name="3" sheetId="4" r:id="rId4"/>
    <sheet name="4" sheetId="5" r:id="rId5"/>
    <sheet name="4.1" sheetId="6" r:id="rId6"/>
    <sheet name="4.2" sheetId="7" r:id="rId7"/>
    <sheet name="4.3" sheetId="8" r:id="rId8"/>
    <sheet name="5.1" sheetId="9" r:id="rId9"/>
    <sheet name="5.2" sheetId="10" r:id="rId10"/>
    <sheet name="ELLENŐRZÉS-1.sz.2.a.sz.2.b.sz." sheetId="11" state="hidden" r:id="rId11"/>
    <sheet name="6" sheetId="12" r:id="rId12"/>
    <sheet name="7" sheetId="13" r:id="rId13"/>
    <sheet name="8" sheetId="14" state="hidden" r:id="rId14"/>
    <sheet name="9" sheetId="15" r:id="rId15"/>
    <sheet name="Ö1" sheetId="16" state="hidden" r:id="rId16"/>
    <sheet name="Ö2" sheetId="17" state="hidden" r:id="rId17"/>
    <sheet name="Ö3" sheetId="18" state="hidden" r:id="rId18"/>
    <sheet name="10" sheetId="19" state="hidden" r:id="rId19"/>
    <sheet name="P1" sheetId="20" state="hidden" r:id="rId20"/>
    <sheet name="P2" sheetId="21" state="hidden" r:id="rId21"/>
    <sheet name="P3" sheetId="22" state="hidden" r:id="rId22"/>
    <sheet name="10.1" sheetId="23" r:id="rId23"/>
    <sheet name="K1" sheetId="24" state="hidden" r:id="rId24"/>
    <sheet name="K2" sheetId="25" state="hidden" r:id="rId25"/>
    <sheet name="K3" sheetId="26" state="hidden" r:id="rId26"/>
    <sheet name="11" sheetId="27" r:id="rId27"/>
    <sheet name="12" sheetId="28" r:id="rId28"/>
    <sheet name="13" sheetId="29" r:id="rId29"/>
    <sheet name="14" sheetId="30" r:id="rId30"/>
    <sheet name="ktgvetési szervI" sheetId="31" state="hidden" r:id="rId31"/>
    <sheet name="ktgvetési szervII" sheetId="32" state="hidden" r:id="rId32"/>
    <sheet name="15" sheetId="33" state="hidden" r:id="rId33"/>
    <sheet name="16" sheetId="34" state="hidden" r:id="rId34"/>
    <sheet name="2011-2013" sheetId="35" state="hidden" r:id="rId35"/>
    <sheet name="NK" sheetId="36" state="hidden" r:id="rId36"/>
    <sheet name="17" sheetId="37" r:id="rId37"/>
    <sheet name="18" sheetId="38" r:id="rId38"/>
    <sheet name="19" sheetId="39" state="hidden" r:id="rId39"/>
    <sheet name="20" sheetId="40" state="hidden" r:id="rId40"/>
    <sheet name="fejlesztési célra adósság" sheetId="41" state="hidden" r:id="rId41"/>
    <sheet name="21" sheetId="42" state="hidden" r:id="rId42"/>
    <sheet name="elismert tartozás" sheetId="43" state="hidden" r:id="rId43"/>
    <sheet name="22" sheetId="44" state="hidden" r:id="rId44"/>
    <sheet name="23" sheetId="45" state="hidden" r:id="rId45"/>
    <sheet name="céljelleggel" sheetId="46" state="hidden" r:id="rId46"/>
  </sheets>
  <externalReferences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Print_Titles" localSheetId="18">'10'!$1:$6</definedName>
    <definedName name="_xlnm.Print_Titles" localSheetId="22">'10.1'!$1:$6</definedName>
    <definedName name="_xlnm.Print_Titles" localSheetId="26">'11'!$1:$6</definedName>
    <definedName name="_xlnm.Print_Titles" localSheetId="27">'12'!$1:$6</definedName>
    <definedName name="_xlnm.Print_Titles" localSheetId="28">'13'!$1:$6</definedName>
    <definedName name="_xlnm.Print_Titles" localSheetId="29">'14'!$1:$6</definedName>
    <definedName name="_xlnm.Print_Titles" localSheetId="36">'17'!$3:$4</definedName>
    <definedName name="_xlnm.Print_Titles" localSheetId="14">'9'!$1:$6</definedName>
    <definedName name="_xlnm.Print_Titles" localSheetId="30">'ktgvetési szervI'!$1:$6</definedName>
    <definedName name="_xlnm.Print_Titles" localSheetId="31">'ktgvetési szervII'!$1:$6</definedName>
    <definedName name="_xlnm.Print_Area" localSheetId="34">'2011-2013'!$A$1:$E$120</definedName>
    <definedName name="_xlnm.Print_Area" localSheetId="4">'4'!$A$1:$C$145</definedName>
    <definedName name="_xlnm.Print_Area" localSheetId="5">'4.1'!$A$1:$C$130</definedName>
    <definedName name="_xlnm.Print_Area" localSheetId="6">'4.2'!$A$1:$C$130</definedName>
    <definedName name="_xlnm.Print_Area" localSheetId="7">'4.3'!$A$1:$C$130</definedName>
    <definedName name="_xlnm.Print_Area" localSheetId="13">'8'!$A$1:$E$148</definedName>
    <definedName name="_xlnm.Print_Area" localSheetId="17">'Ö3'!$A$1:$F$313</definedName>
  </definedNames>
  <calcPr fullCalcOnLoad="1"/>
</workbook>
</file>

<file path=xl/sharedStrings.xml><?xml version="1.0" encoding="utf-8"?>
<sst xmlns="http://schemas.openxmlformats.org/spreadsheetml/2006/main" count="4549" uniqueCount="1365">
  <si>
    <t>2014. után</t>
  </si>
  <si>
    <t>Önkormányzaton kívüli EU-s projektekhez történő hozzájárulás 2013. évi előirányzat</t>
  </si>
  <si>
    <t>I/1. Közhatalmi bevételek (2.1.+…+2.4.)</t>
  </si>
  <si>
    <t>Ált. működéshez és ágazati feladathoz kapcsolódó támogatások</t>
  </si>
  <si>
    <t>Felhalmozási célú pénzeszköz átvétel államháztartáson kívülről</t>
  </si>
  <si>
    <t>Működési célú finanszírozási bevételek</t>
  </si>
  <si>
    <t>BEVÉTELEK ÖSSZESEN: (10+11)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</si>
  <si>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</si>
  <si>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</si>
  <si>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</si>
  <si>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</si>
  <si>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</si>
  <si>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</si>
  <si>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</si>
  <si>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</si>
  <si>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</si>
  <si>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</si>
  <si>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</si>
  <si>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</si>
  <si>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</si>
  <si>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</si>
  <si>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</si>
  <si>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</si>
  <si>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</si>
  <si>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</si>
  <si>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</si>
  <si>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</si>
  <si>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</si>
  <si>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</si>
  <si>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</si>
  <si>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</si>
  <si>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</si>
  <si>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</si>
  <si>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</si>
  <si>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</si>
  <si>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</si>
  <si>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</si>
  <si>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</si>
  <si>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</si>
  <si>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</si>
  <si>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</si>
  <si>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</si>
  <si>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</si>
  <si>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</si>
  <si>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</si>
  <si>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11. melléklet a ……/2013. (….) önkormányzati rendelethez</t>
  </si>
  <si>
    <t>12. melléklet a ……/2013. (….) önkormányzati rendelethez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</si>
  <si>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</si>
  <si>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</si>
  <si>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</si>
  <si>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</si>
  <si>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</si>
  <si>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</si>
  <si>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</si>
  <si>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</si>
  <si>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</si>
  <si>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</si>
  <si>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</si>
  <si>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</si>
  <si>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</si>
  <si>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</si>
  <si>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</si>
  <si>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</si>
  <si>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</si>
  <si>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</si>
  <si>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</si>
  <si>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</si>
  <si>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</si>
  <si>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</si>
  <si>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</si>
  <si>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</si>
  <si>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</si>
  <si>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</si>
  <si>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</si>
  <si>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</si>
  <si>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</si>
  <si>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</si>
  <si>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</si>
  <si>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</si>
  <si>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</si>
  <si>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</si>
  <si>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</si>
  <si>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</si>
  <si>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</si>
  <si>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</si>
  <si>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</si>
  <si>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</si>
  <si>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</si>
  <si>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</si>
  <si>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</si>
  <si>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</si>
  <si>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</si>
  <si>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</si>
  <si>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</si>
  <si>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</si>
  <si>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</si>
  <si>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</si>
  <si>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</si>
  <si>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</si>
  <si>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</si>
  <si>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</si>
  <si>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</si>
  <si>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</si>
  <si>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</si>
  <si>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</si>
  <si>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</si>
  <si>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</si>
  <si>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</si>
  <si>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</si>
  <si>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</si>
  <si>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</si>
  <si>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</si>
  <si>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</si>
  <si>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</si>
  <si>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</si>
  <si>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</si>
  <si>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</si>
  <si>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</si>
  <si>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</si>
  <si>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</si>
  <si>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</si>
  <si>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</si>
  <si>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</si>
  <si>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</si>
  <si>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</si>
  <si>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</si>
  <si>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</si>
  <si>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</si>
  <si>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</si>
  <si>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</si>
  <si>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</si>
  <si>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</si>
  <si>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</si>
  <si>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</si>
  <si>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</si>
  <si>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</si>
  <si>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</si>
  <si>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</si>
  <si>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</si>
  <si>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</si>
  <si>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</si>
  <si>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</si>
  <si>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</si>
  <si>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</si>
  <si>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</si>
  <si>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</si>
  <si>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</si>
  <si>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</si>
  <si>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</si>
  <si>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</si>
  <si>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</si>
  <si>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</si>
  <si>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</si>
  <si>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</si>
  <si>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</si>
  <si>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</si>
  <si>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</si>
  <si>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</si>
  <si>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</si>
  <si>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</si>
  <si>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</si>
  <si>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</si>
  <si>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</si>
  <si>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</si>
  <si>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</si>
  <si>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</si>
  <si>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</si>
  <si>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</si>
  <si>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</si>
  <si>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</si>
  <si>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</si>
  <si>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</si>
  <si>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</si>
  <si>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</si>
  <si>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</si>
  <si>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</si>
  <si>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</si>
  <si>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</si>
  <si>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</si>
  <si>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</si>
  <si>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</si>
  <si>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</si>
  <si>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</si>
  <si>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</si>
  <si>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</si>
  <si>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</si>
  <si>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</si>
  <si>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</si>
  <si>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</si>
  <si>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</si>
  <si>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</si>
  <si>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</si>
  <si>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</si>
  <si>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</si>
  <si>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</si>
  <si>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</si>
  <si>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</si>
  <si>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</si>
  <si>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</si>
  <si>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</si>
  <si>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</si>
  <si>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</si>
  <si>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</si>
  <si>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</si>
  <si>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</si>
  <si>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</si>
  <si>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</si>
  <si>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</si>
  <si>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</si>
  <si>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</si>
  <si>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</si>
  <si>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</si>
  <si>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</si>
  <si>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</si>
  <si>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</si>
  <si>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</si>
  <si>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</si>
  <si>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</si>
  <si>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</si>
  <si>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</si>
  <si>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</si>
  <si>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</si>
  <si>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</si>
  <si>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</si>
  <si>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</si>
  <si>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</si>
  <si>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</si>
  <si>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</si>
  <si>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</si>
  <si>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</si>
  <si>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</si>
  <si>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</si>
  <si>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</si>
  <si>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</si>
  <si>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</si>
  <si>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</si>
  <si>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</si>
  <si>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</si>
  <si>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</si>
  <si>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</si>
  <si>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</si>
  <si>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</si>
  <si>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</si>
  <si>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</si>
  <si>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</si>
  <si>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</si>
  <si>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</si>
  <si>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</si>
  <si>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</si>
  <si>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</si>
  <si>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</si>
  <si>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</si>
  <si>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</si>
  <si>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</si>
  <si>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</si>
  <si>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</si>
  <si>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</si>
  <si>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</si>
  <si>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</si>
  <si>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</si>
  <si>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</si>
  <si>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</si>
  <si>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</si>
  <si>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</si>
  <si>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</si>
  <si>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</si>
  <si>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</si>
  <si>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</si>
  <si>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</si>
  <si>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</si>
  <si>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</si>
  <si>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</si>
  <si>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</si>
  <si>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</si>
  <si>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</si>
  <si>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</si>
  <si>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</si>
  <si>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</si>
  <si>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</si>
  <si>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</si>
  <si>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</si>
  <si>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</si>
  <si>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</si>
  <si>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</si>
  <si>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</si>
  <si>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</si>
  <si>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</si>
  <si>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</si>
  <si>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</si>
  <si>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</si>
  <si>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</si>
  <si>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</si>
  <si>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</si>
  <si>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</si>
  <si>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</si>
  <si>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</si>
  <si>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</si>
  <si>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</si>
  <si>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</si>
  <si>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</si>
  <si>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</si>
  <si>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</si>
  <si>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</si>
  <si>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</si>
  <si>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</si>
  <si>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</si>
  <si>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</si>
  <si>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</si>
  <si>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</si>
  <si>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</si>
  <si>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</si>
  <si>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</si>
  <si>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</si>
  <si>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</si>
  <si>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</si>
  <si>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</si>
  <si>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</si>
  <si>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</si>
  <si>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</si>
  <si>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</si>
  <si>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</si>
  <si>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</si>
  <si>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</si>
  <si>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</si>
  <si>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</si>
  <si>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</si>
  <si>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</si>
  <si>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</si>
  <si>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</si>
  <si>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</si>
  <si>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</si>
  <si>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</si>
  <si>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</si>
  <si>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</si>
  <si>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</si>
  <si>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</si>
  <si>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</si>
  <si>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</si>
  <si>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</si>
  <si>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</si>
  <si>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</si>
  <si>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</si>
  <si>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</si>
  <si>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</si>
  <si>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</si>
  <si>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----------------------------</t>
  </si>
  <si>
    <t>Költségvetési szerv I.</t>
  </si>
  <si>
    <t>Költségvetési szerv II.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</si>
  <si>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</si>
  <si>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</si>
  <si>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</si>
  <si>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</si>
  <si>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</si>
  <si>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</si>
  <si>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</si>
  <si>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</si>
  <si>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</si>
  <si>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</si>
  <si>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</si>
  <si>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</si>
  <si>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</si>
  <si>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</si>
  <si>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</si>
  <si>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</si>
  <si>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</si>
  <si>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</si>
  <si>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</si>
  <si>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</si>
  <si>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</si>
  <si>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</si>
  <si>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</si>
  <si>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</si>
  <si>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</si>
  <si>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</si>
  <si>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</si>
  <si>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</si>
  <si>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</si>
  <si>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</si>
  <si>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</si>
  <si>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</si>
  <si>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</si>
  <si>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</si>
  <si>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</si>
  <si>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</si>
  <si>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</si>
  <si>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</si>
  <si>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</si>
  <si>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</si>
  <si>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</si>
  <si>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</si>
  <si>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</si>
  <si>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</si>
  <si>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</si>
  <si>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</si>
  <si>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</si>
  <si>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</si>
  <si>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</si>
  <si>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</si>
  <si>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</si>
  <si>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</si>
  <si>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</si>
  <si>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</si>
  <si>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</si>
  <si>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</si>
  <si>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</si>
  <si>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</si>
  <si>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</si>
  <si>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</si>
  <si>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</si>
  <si>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</si>
  <si>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</si>
  <si>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</si>
  <si>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</si>
  <si>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</si>
  <si>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</si>
  <si>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</si>
  <si>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</si>
  <si>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</si>
  <si>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</si>
  <si>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</si>
  <si>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</si>
  <si>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</si>
  <si>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</si>
  <si>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</si>
  <si>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</si>
  <si>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</si>
  <si>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</si>
  <si>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</si>
  <si>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</si>
  <si>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</si>
  <si>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</si>
  <si>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</si>
  <si>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</si>
  <si>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</si>
  <si>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</si>
  <si>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</si>
  <si>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</si>
  <si>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</si>
  <si>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</si>
  <si>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</si>
  <si>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</si>
  <si>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</si>
  <si>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</si>
  <si>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</si>
  <si>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</si>
  <si>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</si>
  <si>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</si>
  <si>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</si>
  <si>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</si>
  <si>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</si>
  <si>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</si>
  <si>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 xml:space="preserve">   Betét visszavonásából származó bevétel </t>
  </si>
  <si>
    <t xml:space="preserve">   Egyéb belső finanszírozási bevételek</t>
  </si>
  <si>
    <t xml:space="preserve">   Hitelek, kölcsönök felvétele</t>
  </si>
  <si>
    <t>Függő, átfutó, kiegyenlítő bevételek</t>
  </si>
  <si>
    <t xml:space="preserve">Dologi kiadások </t>
  </si>
  <si>
    <t>Kölcsön törlesztése</t>
  </si>
  <si>
    <t>Függő, átfutó, kiegyenlítő kiadások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</si>
  <si>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</si>
  <si>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</si>
  <si>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</si>
  <si>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</si>
  <si>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</si>
  <si>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</si>
  <si>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</si>
  <si>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</si>
  <si>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</si>
  <si>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</si>
  <si>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</si>
  <si>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</si>
  <si>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</si>
  <si>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</si>
  <si>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</si>
  <si>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</si>
  <si>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</si>
  <si>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</si>
  <si>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</si>
  <si>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</si>
  <si>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</si>
  <si>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</si>
  <si>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</si>
  <si>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</si>
  <si>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</si>
  <si>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</si>
  <si>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</si>
  <si>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</si>
  <si>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</si>
  <si>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</si>
  <si>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</si>
  <si>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</si>
  <si>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</si>
  <si>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</si>
  <si>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</si>
  <si>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</si>
  <si>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</si>
  <si>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</si>
  <si>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</si>
  <si>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</si>
  <si>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</si>
  <si>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</si>
  <si>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</si>
  <si>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</si>
  <si>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</si>
  <si>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</si>
  <si>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</si>
  <si>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</si>
  <si>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</si>
  <si>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</si>
  <si>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</si>
  <si>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</si>
  <si>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</si>
  <si>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</si>
  <si>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</si>
  <si>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</si>
  <si>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</si>
  <si>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</si>
  <si>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</si>
  <si>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</si>
  <si>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</si>
  <si>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</si>
  <si>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</si>
  <si>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</si>
  <si>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</si>
  <si>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</si>
  <si>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</si>
  <si>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</si>
  <si>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</si>
  <si>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</si>
  <si>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</si>
  <si>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</si>
  <si>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</si>
  <si>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</si>
  <si>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</si>
  <si>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Felhalmozási célú finanszírozási bevételek</t>
  </si>
  <si>
    <t>Kálmán Imre Kulturális Központ</t>
  </si>
  <si>
    <t>Siófok Város Gondozási Központja</t>
  </si>
  <si>
    <t xml:space="preserve">BRTK Könyvtár és Kálmán Imre Emlékház                                                                                                       </t>
  </si>
  <si>
    <t>ÖK</t>
  </si>
  <si>
    <t>5.9.</t>
  </si>
  <si>
    <t>III. Támogatások, kiegészítések (5.1+…+5.10.)</t>
  </si>
  <si>
    <t>5.10.</t>
  </si>
  <si>
    <r>
      <t xml:space="preserve">III. Támogatások, kiegészítések </t>
    </r>
    <r>
      <rPr>
        <sz val="8"/>
        <rFont val="Times New Roman CE"/>
        <family val="0"/>
      </rPr>
      <t>(5.1+…+5.9.)</t>
    </r>
  </si>
  <si>
    <t>Siófok Város Óvodája és Bölcsődéje</t>
  </si>
  <si>
    <t>ELREJTENI</t>
  </si>
  <si>
    <t>II. Átvett pénzeszközök  államháztartáson belülről (2.1.+2.3.)</t>
  </si>
  <si>
    <t>1/A. sz. melléklet</t>
  </si>
  <si>
    <t xml:space="preserve">                   SIÓFOK VÁROS ÖNKORMÁNYZATÁNAK BEVÉTELEI</t>
  </si>
  <si>
    <t xml:space="preserve">                            ezerFt-ban</t>
  </si>
  <si>
    <t>Felhalmozási bev.</t>
  </si>
  <si>
    <t>Működési bev.</t>
  </si>
  <si>
    <t>2012. évi</t>
  </si>
  <si>
    <t>2013. évi</t>
  </si>
  <si>
    <t>%</t>
  </si>
  <si>
    <t>terv</t>
  </si>
  <si>
    <t>I.</t>
  </si>
  <si>
    <t>1./</t>
  </si>
  <si>
    <t>Bírság és igazgatási szolgáltatási díj</t>
  </si>
  <si>
    <t>2./</t>
  </si>
  <si>
    <t>Szolgáltatások ellenértéke</t>
  </si>
  <si>
    <t>Siófoki Hírek</t>
  </si>
  <si>
    <t>Kártérítés és kártalanítás</t>
  </si>
  <si>
    <t>Továbbszámlázott szolgáltatás</t>
  </si>
  <si>
    <t>3./</t>
  </si>
  <si>
    <t>Bérleti díj és lízing díj bevételek</t>
  </si>
  <si>
    <t>Balaton-parti Kft.</t>
  </si>
  <si>
    <t>megbontás!!!!!</t>
  </si>
  <si>
    <t>TERMOFOK Kft.</t>
  </si>
  <si>
    <t>SIOTOUR Kft.- vízhaszn.</t>
  </si>
  <si>
    <t>SIOTOUR Kft. (fürdő bérleti díj, Asztalos u., parkoló)</t>
  </si>
  <si>
    <t>Nem lakás céljára szolgáló helyiségek</t>
  </si>
  <si>
    <t>Lakások bérleti díja Balaton-parti</t>
  </si>
  <si>
    <t>Közterület használat</t>
  </si>
  <si>
    <t>Stadion területről üzlet bérleti díj</t>
  </si>
  <si>
    <t>Siófok kártya</t>
  </si>
  <si>
    <t>Egyéb bérleti díj</t>
  </si>
  <si>
    <t>Egyéb kisösszegű bevételek</t>
  </si>
  <si>
    <t>Hulladékártalmatlanítási díj</t>
  </si>
  <si>
    <t>Útalap bevétele</t>
  </si>
  <si>
    <t>Víztorony bérleti díj (földszint)</t>
  </si>
  <si>
    <t>Víztorony bérleti díj (felső szint)</t>
  </si>
  <si>
    <t>Intézményi sajátos bevételek</t>
  </si>
  <si>
    <t xml:space="preserve">          Vak B. J. Ált. Isk. és Művészeti</t>
  </si>
  <si>
    <t xml:space="preserve">          Beszédes J. Ált. Isk. és Módszertani Kp.</t>
  </si>
  <si>
    <t xml:space="preserve">          Széchenyi I. Ált. Isk.</t>
  </si>
  <si>
    <t xml:space="preserve">          Perczel Mór Gimnázium</t>
  </si>
  <si>
    <t>4./</t>
  </si>
  <si>
    <t>DRV eszközhasználati díj</t>
  </si>
  <si>
    <t>Hull.gazd.üzemeltetési jog (Zöldfok Zrt.)</t>
  </si>
  <si>
    <t>Hull.gazd.haszn.díj-áthúzódó Tab</t>
  </si>
  <si>
    <t>5./</t>
  </si>
  <si>
    <t>Egyéb vagyoni értékű jog értékesítése</t>
  </si>
  <si>
    <t>6./</t>
  </si>
  <si>
    <t>Vagyon értékesítés</t>
  </si>
  <si>
    <t>7./</t>
  </si>
  <si>
    <t>Osztalék- és hozambevétel</t>
  </si>
  <si>
    <t>Osztalék AVE ZÖLDFOK Zrt.</t>
  </si>
  <si>
    <t>BAHART Zrt.</t>
  </si>
  <si>
    <t>8./</t>
  </si>
  <si>
    <t>Kamatbevételek</t>
  </si>
  <si>
    <t>Forgalmi kamat</t>
  </si>
  <si>
    <t>Lekötésből származó kamatbevétel</t>
  </si>
  <si>
    <t>9./</t>
  </si>
  <si>
    <t>Általános forgalmi adó</t>
  </si>
  <si>
    <t>Kiszámlázott ÁFA</t>
  </si>
  <si>
    <t>Visszaigényelt ÁFA</t>
  </si>
  <si>
    <t>Fordított ÁFA</t>
  </si>
  <si>
    <t>Felhalmozási és tőke jellegű bevételek össz.</t>
  </si>
  <si>
    <t>10./</t>
  </si>
  <si>
    <t>Építményadó</t>
  </si>
  <si>
    <t xml:space="preserve">Tervezett épadó emelésből </t>
  </si>
  <si>
    <t>Idegenforgalmi adó</t>
  </si>
  <si>
    <t xml:space="preserve">   építmény után</t>
  </si>
  <si>
    <t xml:space="preserve">   tartózkodás alapján</t>
  </si>
  <si>
    <t>Helyi iparűzési adó</t>
  </si>
  <si>
    <t>11./</t>
  </si>
  <si>
    <t>SZJA 8 %-a</t>
  </si>
  <si>
    <t>Jövedelemkülönbség mérséklése</t>
  </si>
  <si>
    <t>Gépjárműadó</t>
  </si>
  <si>
    <t>12./</t>
  </si>
  <si>
    <t>Normatív támogatás</t>
  </si>
  <si>
    <t>könyvtári támogatás (24905*1140)</t>
  </si>
  <si>
    <t>Intézményi üzemeltetési támogatás (Gondozási Központ)</t>
  </si>
  <si>
    <t>Általános működéshez és ágazati feladatokhoz kapcs.tám.</t>
  </si>
  <si>
    <t>Központosított tám.: Helyi közlekedés tám.</t>
  </si>
  <si>
    <t>Siójut Község hozzájárulása a közös hivatal működéséhez</t>
  </si>
  <si>
    <t>Siójut Község hozzájárulása</t>
  </si>
  <si>
    <t>Balatonvilágos hozzájárulása a közös hivatal működéséhez</t>
  </si>
  <si>
    <t>Idegenforgalmi kiegészítő támogatás</t>
  </si>
  <si>
    <t>13./</t>
  </si>
  <si>
    <t>Bírságok, pótlékok és egyéb sajátos bevételek</t>
  </si>
  <si>
    <t>Bírság, pótlék</t>
  </si>
  <si>
    <t>Talajterhelési díj</t>
  </si>
  <si>
    <t>14./</t>
  </si>
  <si>
    <t>Támogatásértékű bevételek</t>
  </si>
  <si>
    <t>Támogatásértékű bevétel központi költségvetési szervtől</t>
  </si>
  <si>
    <t>Közmunka</t>
  </si>
  <si>
    <t xml:space="preserve">Iskolatej program finanszírozás </t>
  </si>
  <si>
    <t>Bűnmegelőzési feladatok</t>
  </si>
  <si>
    <t>Mobil Színpad</t>
  </si>
  <si>
    <t>Kórház struktúraváltás pályázat</t>
  </si>
  <si>
    <t>Kórház sürgősségi ellátás</t>
  </si>
  <si>
    <t>Vilma major csapadékvíz</t>
  </si>
  <si>
    <t>Víztorony felújítás</t>
  </si>
  <si>
    <t>Kompetencia (informatika alapinfrastruktúra fejlesztése)</t>
  </si>
  <si>
    <t>Kompetencia (tanulói laptop program)</t>
  </si>
  <si>
    <t>Bölcsőde bővítés</t>
  </si>
  <si>
    <t>Déli tehermentesítő út és híd</t>
  </si>
  <si>
    <t>Közvilágítás korszerűsítés (KEOP)</t>
  </si>
  <si>
    <t>Helyi és térségi jelentőségű vízvédelmi rendsz.rekonstr.</t>
  </si>
  <si>
    <t>Hajléktalan szálló bővítés</t>
  </si>
  <si>
    <t>Hull.gazd.haszn.díj-áthúzódó 2010-ről déli területek</t>
  </si>
  <si>
    <t>BFT közösségi közlekedés színvonalának fejlesztése</t>
  </si>
  <si>
    <t>Támogatásértékű felhalmozási bevételek</t>
  </si>
  <si>
    <t>Támogatásértékű bevétel fejezeti kezelésű előirányzattól</t>
  </si>
  <si>
    <t>KIKK-Kreatív Innovációk a Kultúrán keresztül TÁMOP-3.2.3/A-11/1</t>
  </si>
  <si>
    <t>Támogatásértékű bevétel többcélú kistérségi társulástól</t>
  </si>
  <si>
    <t>Többcélú Kistérségi Társulás feladatellátásra (orvosi ügyelet)</t>
  </si>
  <si>
    <t>Támogatásértékű bevétel helyi önkormányzattól</t>
  </si>
  <si>
    <t>Közgazd. osztály működéséhez települési h.járulás</t>
  </si>
  <si>
    <t>15./</t>
  </si>
  <si>
    <t>Felhalmozási célú pénzeszköz átvétel</t>
  </si>
  <si>
    <t>Viziközmű társulat</t>
  </si>
  <si>
    <t>Kiliti Viziközmű társulat</t>
  </si>
  <si>
    <t>Lakossági támogatással (szennyvíz - ívóvíz)</t>
  </si>
  <si>
    <t>Balaton-parti Kft. (SIOTOUR üzletrész visszafiz.)</t>
  </si>
  <si>
    <t xml:space="preserve">Római Katolikus Egyház </t>
  </si>
  <si>
    <t>Dél-Balatoni Szennyvíztársulástól önrész visszatérítés</t>
  </si>
  <si>
    <t>Környezetvédelmi alap</t>
  </si>
  <si>
    <t>Balaton-parti Kft. tartozás visszafizetés</t>
  </si>
  <si>
    <t>Termofok Kft.-nek pénzeszközátvétel (kezesség vállalás alapján)</t>
  </si>
  <si>
    <t>16./</t>
  </si>
  <si>
    <t>Támogatási kölcsönök visszatérülése</t>
  </si>
  <si>
    <t>Lakástámogatás törlesztő részlet</t>
  </si>
  <si>
    <t>Munkáltatói támogatás részlet</t>
  </si>
  <si>
    <t>Balaton-parti Kft. tagi kölcsön törlesztés, visszafizetés</t>
  </si>
  <si>
    <t>Támogatási kölcsön igénybevétele, visszatér.</t>
  </si>
  <si>
    <t>ÖNKORMÁNYZAT BEVÉTELE</t>
  </si>
  <si>
    <t>PÉNZMARADVÁNY</t>
  </si>
  <si>
    <t>Kötvény I. fel nem használt része</t>
  </si>
  <si>
    <t>POLGÁRMESTERI HIVATAL ÖSSZESEN</t>
  </si>
  <si>
    <t>BEVÉTELEK EGYÜTT</t>
  </si>
  <si>
    <t>Rövid lejáratú hitel felvétele</t>
  </si>
  <si>
    <t>HITEL - 2009-ről áthúzódó</t>
  </si>
  <si>
    <t>KÖTVÉNY</t>
  </si>
  <si>
    <t>BEVÉTEL ÖSSZESEN</t>
  </si>
  <si>
    <t>ÖNKORMÁNYZAT ÖSSZES BEVÉTELE</t>
  </si>
  <si>
    <t>Intézményi kiadások</t>
  </si>
  <si>
    <t>Önkormányzat működés</t>
  </si>
  <si>
    <t>Támogatások</t>
  </si>
  <si>
    <t>Felújítás</t>
  </si>
  <si>
    <t>Fejlesztés</t>
  </si>
  <si>
    <t>Adósságszolgálat</t>
  </si>
  <si>
    <t>Tartalék</t>
  </si>
  <si>
    <t>Céltartalék:   fejlesztésre</t>
  </si>
  <si>
    <t xml:space="preserve">                    működésre</t>
  </si>
  <si>
    <t>Kistérség</t>
  </si>
  <si>
    <t>ÖNKORMÁNYZAT ÖSSZES KIADÁSA</t>
  </si>
  <si>
    <t>Bevétel összesen</t>
  </si>
  <si>
    <t>Kiadás összesen</t>
  </si>
  <si>
    <t xml:space="preserve">                     2/C sz. melléklet</t>
  </si>
  <si>
    <t>ezerFt-ban</t>
  </si>
  <si>
    <t>Személyi juttatás</t>
  </si>
  <si>
    <t>Munkált.terhelő járulékok</t>
  </si>
  <si>
    <t>Dologi kiadás</t>
  </si>
  <si>
    <t>Ellátottak juttatása</t>
  </si>
  <si>
    <t>Szociálpolitikai ellátás</t>
  </si>
  <si>
    <t>Kiadások összesen</t>
  </si>
  <si>
    <t>Fürdő Egylet</t>
  </si>
  <si>
    <t>Siófoki Bányász SE támogatás</t>
  </si>
  <si>
    <t>Úszásoktatás</t>
  </si>
  <si>
    <t>Máltai Szeretetszolgálat</t>
  </si>
  <si>
    <t>Szent Ferenc Szegénygond. Nővérek</t>
  </si>
  <si>
    <t>Méhnyakrák elleni védőoltás</t>
  </si>
  <si>
    <t>Mammográfiai szűrés</t>
  </si>
  <si>
    <t>Közbeszerzés lebonyolítására megbízás + ellenőrzés</t>
  </si>
  <si>
    <t>Ingatlankezelés és ingatlan gazdálkodás</t>
  </si>
  <si>
    <t>Polgári védelem</t>
  </si>
  <si>
    <t>Kistérségi feladatok - Siófok hozzájárulás</t>
  </si>
  <si>
    <t>Biztosítás</t>
  </si>
  <si>
    <t>Bankköltség</t>
  </si>
  <si>
    <t>Likvid hitel kamatköltség</t>
  </si>
  <si>
    <t>ÁFA befizetés</t>
  </si>
  <si>
    <t>Bizottsági alapok</t>
  </si>
  <si>
    <t>Polgármesteri alap</t>
  </si>
  <si>
    <t>Iskolatej</t>
  </si>
  <si>
    <t>Helyi közlekedés támogatása</t>
  </si>
  <si>
    <t>M7 felhajtó bérleti díj</t>
  </si>
  <si>
    <t>Fehér Gyűrű</t>
  </si>
  <si>
    <t xml:space="preserve">Tagdíj Kistérség </t>
  </si>
  <si>
    <t>Bírósági és közjegyzői eljárásokkal kapcs.kiad.</t>
  </si>
  <si>
    <t>Kártérítés</t>
  </si>
  <si>
    <t>Stefánia fesztivál támogatás visszafizetése</t>
  </si>
  <si>
    <t>Viziközmű adósságbeszedés jutaléka (Balaton-parti Kft.-nek)</t>
  </si>
  <si>
    <t>Segély</t>
  </si>
  <si>
    <t>Szolgáltatási díj (mozi helyiségnek bérbevétele)</t>
  </si>
  <si>
    <t>Kórház kölcsön visszafizetése</t>
  </si>
  <si>
    <t>Európai településszervezési és területfejlesztési díj pályázat, részvételi díj</t>
  </si>
  <si>
    <t xml:space="preserve">Továbbszámlázott szolgáltatás </t>
  </si>
  <si>
    <t>Dél-Balatoni Szennyvíztársulás működési ktg h.jár</t>
  </si>
  <si>
    <t>Intézményi alulfinanszírozás (Kórház)</t>
  </si>
  <si>
    <t>Főépítészi feladatok költségei</t>
  </si>
  <si>
    <t>Balatoni Szövetség és Magyar Önkormányzatok Szövetsége tagdíj</t>
  </si>
  <si>
    <t>Dél-Kelet Európai Transznacionális Program (SEERISK) SEE/C/002/2.2/X</t>
  </si>
  <si>
    <t>Cigány Nemzetiségi Önkormányzat kiadásai</t>
  </si>
  <si>
    <t>Termofok Kft.-nek pénzeszközátadás (kezesség vállalás alapján)</t>
  </si>
  <si>
    <t>2012. évi Balatoni Közbiztonsági Díj pénzalapjának támogatása</t>
  </si>
  <si>
    <t>Intézmények gazdasági átvilágítása</t>
  </si>
  <si>
    <t>Támogatás KIKK</t>
  </si>
  <si>
    <t>Támogatás BRTKK</t>
  </si>
  <si>
    <t>Támogatás Polgármesteri Hivatal</t>
  </si>
  <si>
    <t>Vak B. J. Ált. Isk. és Művészeti</t>
  </si>
  <si>
    <t>Beszédes J. Ált. Isk. és Módszertani Kp.</t>
  </si>
  <si>
    <t>Széchenyi I.Ált. Isk.</t>
  </si>
  <si>
    <t>SIÓFOKI ÁLT. ISKOLÁK ÖSSZESEN</t>
  </si>
  <si>
    <t>Perczel Mór Gimnázium</t>
  </si>
  <si>
    <t>SIÓFOKI ISKOLÁK ÖSSZESEN</t>
  </si>
  <si>
    <t>5403 MBH áfája</t>
  </si>
  <si>
    <t>Galérius;MBH;Víztorony;Thanhoffer</t>
  </si>
  <si>
    <t>Hosszabb időtartamú közfoglalkoztatás (6 fős)</t>
  </si>
  <si>
    <t xml:space="preserve">MBH projekt előkészítő szakaszának támogatása </t>
  </si>
  <si>
    <t>Települési ÖK h.járulása házi orvosi ügyelethez (II.félév)</t>
  </si>
  <si>
    <t xml:space="preserve">Bérleti díj (Termofokos irodaház) </t>
  </si>
  <si>
    <t>Europe Direct Információs Iroda</t>
  </si>
  <si>
    <t>IPR pályázat maradvány átadás Ádándnak</t>
  </si>
  <si>
    <t>Támogatás Siófok Város Óvodája és Bölcsődéje</t>
  </si>
  <si>
    <t>Támogatás Gondozási Központ</t>
  </si>
  <si>
    <t xml:space="preserve"> 3.6</t>
  </si>
  <si>
    <t xml:space="preserve"> 2.1</t>
  </si>
  <si>
    <t xml:space="preserve"> 2.3</t>
  </si>
  <si>
    <t xml:space="preserve"> 3.2</t>
  </si>
  <si>
    <t xml:space="preserve"> 3.3</t>
  </si>
  <si>
    <t xml:space="preserve"> 3.7</t>
  </si>
  <si>
    <t xml:space="preserve"> 4.</t>
  </si>
  <si>
    <t xml:space="preserve"> 5.3</t>
  </si>
  <si>
    <t xml:space="preserve"> 5.4</t>
  </si>
  <si>
    <t xml:space="preserve"> 5.1</t>
  </si>
  <si>
    <t xml:space="preserve"> 5.2</t>
  </si>
  <si>
    <t xml:space="preserve">                                    Üdülőhelyi feladatok támogatása</t>
  </si>
  <si>
    <t xml:space="preserve">                                    Egyes szociális feladatok támogatása</t>
  </si>
  <si>
    <t>Támogatások, kiegészítések</t>
  </si>
  <si>
    <t>Átvett pénzeszközök államháztartáson kívülről</t>
  </si>
  <si>
    <t>Felhalmozási célú bevételek</t>
  </si>
  <si>
    <t xml:space="preserve">Tárgyi eszköz és immateriális javak értékesítése </t>
  </si>
  <si>
    <t xml:space="preserve"> 8.1</t>
  </si>
  <si>
    <t xml:space="preserve"> 8.2</t>
  </si>
  <si>
    <t xml:space="preserve"> 8.3</t>
  </si>
  <si>
    <t xml:space="preserve"> 6.1.5</t>
  </si>
  <si>
    <t>Idegenforgalmi közfoglalkoztatás</t>
  </si>
  <si>
    <t>Parlagfű mentesítési közfoglalkoztatás</t>
  </si>
  <si>
    <t>Átmeneti időszakú közfoglalkoztatás</t>
  </si>
  <si>
    <t>Hagyományos önkormányzati közfoglalkoztatás</t>
  </si>
  <si>
    <t>OK</t>
  </si>
  <si>
    <t xml:space="preserve"> 6.2.5</t>
  </si>
  <si>
    <t>Reprezentációs költségek</t>
  </si>
  <si>
    <t>Nemzetközi kapcsolatok</t>
  </si>
  <si>
    <t>Egyéb működési célú kiadás</t>
  </si>
  <si>
    <t>Működési célú pénzeszköz átadás áh.-on belülre</t>
  </si>
  <si>
    <t>Működési célú pénzeszköz átadás áh.-on kívülre</t>
  </si>
  <si>
    <t xml:space="preserve">ÖNKORMÁNYZAT MŰKÖDÉSI ÉS FINANSZÍROZÁSI KIADÁSAI </t>
  </si>
  <si>
    <t>2013. ÉV</t>
  </si>
  <si>
    <t>MŰKÖDÉSI KIADÁS ÖSSZESEN</t>
  </si>
  <si>
    <t>FINANSZÍROZÁSI KIADÁS ÖSSZESEN</t>
  </si>
  <si>
    <t>MINDÖSSZESEN</t>
  </si>
  <si>
    <t xml:space="preserve">                  POLGÁRMESTERI HIVATAL BEVÉTELEI</t>
  </si>
  <si>
    <t>Polgármesteri Hivatal</t>
  </si>
  <si>
    <t>Közterület hatósági ellenőrzés díjbevétele</t>
  </si>
  <si>
    <t>Építési bírság</t>
  </si>
  <si>
    <t>Okmányiroda bevétele</t>
  </si>
  <si>
    <t>Szakhatósági eljárási díjak</t>
  </si>
  <si>
    <t>Családi események szervezése</t>
  </si>
  <si>
    <t>1 fő közter. felügy. ZÖLDFOK Zrt.-nél</t>
  </si>
  <si>
    <t>Illetékbélyeg bevétel</t>
  </si>
  <si>
    <t xml:space="preserve">1 fő projekt koordinátor </t>
  </si>
  <si>
    <t>Számviteli szolgáltatás ktgvetési intézményeknek</t>
  </si>
  <si>
    <t>Belső ellenőrzési szolgáltatás továbbszámlázása</t>
  </si>
  <si>
    <t>Sportcentrum szolgáltatás</t>
  </si>
  <si>
    <t>Parkolási díj</t>
  </si>
  <si>
    <t>Gáborral megbeszélv e marad a 102</t>
  </si>
  <si>
    <t>telefon is benne van</t>
  </si>
  <si>
    <t>Bérleti díj bevételek</t>
  </si>
  <si>
    <t>Üzemeltetésből származó bevétel</t>
  </si>
  <si>
    <t>Értékesítés</t>
  </si>
  <si>
    <t>Működési célú hozam- és kamatbevétel</t>
  </si>
  <si>
    <t>Általános forgalmi adó bevétel, visszatérülés</t>
  </si>
  <si>
    <t>Felhalmozási célú bevételek össz.</t>
  </si>
  <si>
    <t>Átengedett bevételek</t>
  </si>
  <si>
    <t>Társulástól átvett</t>
  </si>
  <si>
    <t>Többcélú Kistérségi Társulás feladatellátásra</t>
  </si>
  <si>
    <t>Helyi, nemzetiségi önkormányzattól átvett pénzeszköz</t>
  </si>
  <si>
    <t>Siójut Község hozzájárulása a feladatellátáshoz</t>
  </si>
  <si>
    <t>Átvett pénzeszköz államháztartáson kívülről</t>
  </si>
  <si>
    <t>Felhalmozási célú pénzeszköz átvétel áh.-on kívülről</t>
  </si>
  <si>
    <t>Kölcsönök visszatérülése</t>
  </si>
  <si>
    <t>Kölcsön igénybevétele, visszatér.</t>
  </si>
  <si>
    <t>FINANSZÍROZÁSI BEVÉTEL</t>
  </si>
  <si>
    <t>POLGÁRMESTERI HIVATAL ÖSSZES BEVÉTELE</t>
  </si>
  <si>
    <t>Polgármesteri Hivatal működési kiadás</t>
  </si>
  <si>
    <t>Céltartalék: Kistérség</t>
  </si>
  <si>
    <t xml:space="preserve">                  működésre</t>
  </si>
  <si>
    <t>fejlesztés</t>
  </si>
  <si>
    <t>POLGÁRMESTERI HIVATAL ÖSSZES KIADÁSA</t>
  </si>
  <si>
    <t xml:space="preserve">                    2/1 sz. melléklet</t>
  </si>
  <si>
    <t xml:space="preserve">POLGÁRMESTERI HIVATAL KIADÁSAI </t>
  </si>
  <si>
    <t>Városüzemeltetés</t>
  </si>
  <si>
    <t>Közművelődés</t>
  </si>
  <si>
    <t>Szociálpolitikai feladatok</t>
  </si>
  <si>
    <t>Egyéb feladatok</t>
  </si>
  <si>
    <t>Közterület Felügyelet</t>
  </si>
  <si>
    <t>Sajtó PR, TDM tám. (rend. mark.) Siófoki Hírek</t>
  </si>
  <si>
    <t>Igazgatási feladatok</t>
  </si>
  <si>
    <t xml:space="preserve">Adóhivatal </t>
  </si>
  <si>
    <t>Kistérségi feladatok</t>
  </si>
  <si>
    <t>Nyugdíjasok</t>
  </si>
  <si>
    <t>Idegenforgalmi jutalék</t>
  </si>
  <si>
    <t>Működési kiadás építéshatósági bevételből</t>
  </si>
  <si>
    <t>Sportcentrum</t>
  </si>
  <si>
    <t>Eszközbeszerzés (építéshatósági bevételekből)</t>
  </si>
  <si>
    <t>Épület bérleti díj (Siófoki Hírek iroda)</t>
  </si>
  <si>
    <t>Illetékbélyeg beszerzés</t>
  </si>
  <si>
    <t>PMH akadálymentesítési táblák cseréje</t>
  </si>
  <si>
    <t>HIVATAL ÖSSZESEN (Siófok)</t>
  </si>
  <si>
    <t>Siójut Község működési kiadásai</t>
  </si>
  <si>
    <t>SIÓJUT ÖSSZESEN</t>
  </si>
  <si>
    <t>Balatonvilágos működési kiadásai</t>
  </si>
  <si>
    <t>BALATONVILÁGOS ÖSSZESEN</t>
  </si>
  <si>
    <t>*Az adósságot keletkeztető ügyletekhez történő hozzájárulás részletes szabályairól szóló 353/2011. (XII.30.) Korm. Rendelet 2.§ (1) bekezdése alapján.</t>
  </si>
  <si>
    <t>Osztalék, koncessziós díj és hozambevétel</t>
  </si>
  <si>
    <t xml:space="preserve">Címrend </t>
  </si>
  <si>
    <t>Az önkormányzat önállóan működő költségvetési szervei</t>
  </si>
  <si>
    <t>BRTK Könyvtár és Kálmán Imre Emlékház</t>
  </si>
  <si>
    <t>Az önkormányzat költségvetésében szereplő nem intézményi kiadások</t>
  </si>
  <si>
    <t xml:space="preserve">      A költségvetési hiány belső finanszírozására szolgáló előző évek pénzmaradványa </t>
  </si>
  <si>
    <t>ezerFt</t>
  </si>
  <si>
    <t>Működési cél</t>
  </si>
  <si>
    <t>összeg</t>
  </si>
  <si>
    <t>Felhalmozási cél</t>
  </si>
  <si>
    <t>3. sz. melléklet</t>
  </si>
  <si>
    <r>
      <t>A költségvetési hiány külső finanszírozására vagy a költségvetési többlet felhasználására szolgáló finanszírozási célú pénzügyi műveletek</t>
    </r>
    <r>
      <rPr>
        <sz val="11"/>
        <rFont val="Times New Roman"/>
        <family val="1"/>
      </rPr>
      <t xml:space="preserve"> </t>
    </r>
  </si>
  <si>
    <t>Önkormányzati hivatal működésének támogatása</t>
  </si>
  <si>
    <t>Település-üzemeltetéshez kapcsolódó feladatellátás támogatás</t>
  </si>
  <si>
    <t>Beszámítás összege</t>
  </si>
  <si>
    <t>Egyéb kötelező önkormányzati feladatok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</si>
  <si>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</si>
  <si>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</si>
  <si>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</si>
  <si>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Óvodai, iskolai étkeztetés támogatása</t>
  </si>
  <si>
    <t>Hozzájárulás a pénzbeli szociális ellátásokhoz</t>
  </si>
  <si>
    <t>Egyes szociális és gyermekjóléti feladatok támogatása</t>
  </si>
  <si>
    <t>A települései önkormányzatok által az idősek átmeneti és tartós, valamint a hajléktalan személyek részére nyújtott tartós szociális szakosított ellátási feladatok támogatása</t>
  </si>
  <si>
    <t>Üdülőhelyi feladatok támogatása</t>
  </si>
  <si>
    <t>Siófoki Önkormányzat 2013. évi adósságot keletkeztető fejlesztési céljai</t>
  </si>
  <si>
    <t xml:space="preserve"> Engedélyezett létszám  ( fő  )</t>
  </si>
  <si>
    <t xml:space="preserve">Kálmán Imre Kulturális Központ </t>
  </si>
  <si>
    <t>MINDÖSSZESEN:</t>
  </si>
  <si>
    <t>SIÓFOK VÁROS ÖNKORMÁNYZATÁNAK LÉTSZÁMÖSSZETÉTELE</t>
  </si>
  <si>
    <t>Önkormányzat közfoglalkoztatottak</t>
  </si>
  <si>
    <t>Siófok Város önállóan működő, önállóan működő és gazdálkodó szerveinek 2013. évi engedélyezett létszámadatai</t>
  </si>
  <si>
    <t>2013. évi          terv</t>
  </si>
  <si>
    <t xml:space="preserve">Polgármesteri Hivatal </t>
  </si>
  <si>
    <t xml:space="preserve">                                        Siófok Város Önkormányzat 2012. évi összesített költségvetési mérlege </t>
  </si>
  <si>
    <t>19. sz. melléklet</t>
  </si>
  <si>
    <t>BEVÉTELEK</t>
  </si>
  <si>
    <t>KIADÁSOK</t>
  </si>
  <si>
    <t>Összeg</t>
  </si>
  <si>
    <t>KÖLTSÉGVETÉSI BEVÉTELEK</t>
  </si>
  <si>
    <t>KÖLTSÉGVETÉSI KIADÁSOK</t>
  </si>
  <si>
    <t>Pénzforgalmi bevételek</t>
  </si>
  <si>
    <t>Pénzforgalmi kiadások</t>
  </si>
  <si>
    <t>Működési célú</t>
  </si>
  <si>
    <t>Munkáltatót terhelő járulékok és szociális hozzájárulási adó</t>
  </si>
  <si>
    <t>Közhatalmi bevétel</t>
  </si>
  <si>
    <t>Dologi kiadások</t>
  </si>
  <si>
    <t>Ellátottak pénzbeli juttatása</t>
  </si>
  <si>
    <t>Kölcsön visszatérülése</t>
  </si>
  <si>
    <t>Felhalmozási célú</t>
  </si>
  <si>
    <t>Beruházási kiadások</t>
  </si>
  <si>
    <t xml:space="preserve"> - tárgyi eszköz és immat.javak értékesítése</t>
  </si>
  <si>
    <t xml:space="preserve"> - vagyoni értékű jog értékesítése, hasznosítása</t>
  </si>
  <si>
    <t xml:space="preserve"> - pénzügyi befektetések bevételei</t>
  </si>
  <si>
    <t>BEVÉTELEK ÖSSZESEN (Pénzforgalom nélküli és finanszírozási célú bevételek nélkül)</t>
  </si>
  <si>
    <t>KIADÁSOK ÖSSZESEN (Pénzforgalom nélküli és finanszírozási célú kiadások nélkül)</t>
  </si>
  <si>
    <t>Pénzforgalom nélküli bevételek</t>
  </si>
  <si>
    <t>Pénzforgalom nélküli kiadások</t>
  </si>
  <si>
    <t>Működési célú tartalék</t>
  </si>
  <si>
    <t>Felhalmozási célú tartalék</t>
  </si>
  <si>
    <t>Fejlesztési céltartalék</t>
  </si>
  <si>
    <t xml:space="preserve">BEVÉTELEK ÖSSZESEN (Pénzforgalmi és pénzforgalom nélküli bevételek) </t>
  </si>
  <si>
    <t xml:space="preserve">KIADÁSOK ÖSSZESEN (Pénzforgalmi és pénzforgalom nélküli kiadások) 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</si>
  <si>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</si>
  <si>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</si>
  <si>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</si>
  <si>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</si>
  <si>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</si>
  <si>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</si>
  <si>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Kezdeti</t>
  </si>
  <si>
    <t>+</t>
  </si>
  <si>
    <r>
      <t>.</t>
    </r>
    <r>
      <rPr>
        <b/>
        <sz val="16"/>
        <rFont val="Times New Roman"/>
        <family val="1"/>
      </rPr>
      <t>-</t>
    </r>
  </si>
  <si>
    <t>Fejlesztési</t>
  </si>
  <si>
    <t>összesen</t>
  </si>
  <si>
    <t>Működési</t>
  </si>
  <si>
    <t>Alakulása</t>
  </si>
  <si>
    <t>Összesen (1+2+3+4+5)</t>
  </si>
  <si>
    <t>2/a</t>
  </si>
  <si>
    <t>CIB Kiliti szennyvízre</t>
  </si>
  <si>
    <t>2/b</t>
  </si>
  <si>
    <t>CIB útépítésre</t>
  </si>
  <si>
    <t>2/c</t>
  </si>
  <si>
    <t>ERSTE útépítsre</t>
  </si>
  <si>
    <t>2006, 2007</t>
  </si>
  <si>
    <t>2/d</t>
  </si>
  <si>
    <t xml:space="preserve">VOLKSBANK </t>
  </si>
  <si>
    <t>2007, 2008, 2009</t>
  </si>
  <si>
    <t>2/e</t>
  </si>
  <si>
    <t>ERSTE infrastruktúra fejlesztés</t>
  </si>
  <si>
    <t>2009, 2010</t>
  </si>
  <si>
    <t>2/f</t>
  </si>
  <si>
    <t>Viziközműtől átvállalt</t>
  </si>
  <si>
    <t>2/g</t>
  </si>
  <si>
    <t>Kötvény "Siófok Jövőjéért" I.</t>
  </si>
  <si>
    <t>2/h</t>
  </si>
  <si>
    <t>Kötvény "Siófok Jövőjéért" II.</t>
  </si>
  <si>
    <t>3/c</t>
  </si>
  <si>
    <t>3/d</t>
  </si>
  <si>
    <t>3/a</t>
  </si>
  <si>
    <t>3/b</t>
  </si>
  <si>
    <t>5/a</t>
  </si>
  <si>
    <t>5/b</t>
  </si>
  <si>
    <t>Média Factory Kft.</t>
  </si>
  <si>
    <t>Ész-Ker Kft.</t>
  </si>
  <si>
    <t>Mérlegben</t>
  </si>
  <si>
    <t>Különbség</t>
  </si>
  <si>
    <t>Hitel, kölcsön</t>
  </si>
  <si>
    <t>Értékpapír (kötvény)</t>
  </si>
  <si>
    <t>Hitel kamata</t>
  </si>
  <si>
    <t>Kötvény kamata</t>
  </si>
  <si>
    <t>FINANSZÍROZÁSI BEVÉTELEK</t>
  </si>
  <si>
    <t>Hiány belső finanszírozás bevételei</t>
  </si>
  <si>
    <t>Hiány külső finanszírozás bevételei</t>
  </si>
  <si>
    <t>Felhalmozási célú finanszírozási kiadások (6.2.1.+...+6.2.8.)</t>
  </si>
  <si>
    <t xml:space="preserve">         TISZK iskolák térítési díja</t>
  </si>
  <si>
    <t>TISZK intézmények étkeztetési kiadása</t>
  </si>
  <si>
    <t>Települési hozzájárulás étkeztetéshez</t>
  </si>
  <si>
    <t>Települési ÖK-oknak étkeztetési h.jár.</t>
  </si>
  <si>
    <t>Polgármesteri Hivatal átalakítása</t>
  </si>
  <si>
    <t>Siófoki új tehermentesítő út létesítése KÖZOP-3.5.0</t>
  </si>
  <si>
    <t>Közvilágítás korszerűsítés KEOP-5.3.0/A</t>
  </si>
  <si>
    <t>Hiány külső finanszírozásának bevételei (21+…+25 )</t>
  </si>
  <si>
    <t>FINANSZÍROZÁSI KIADÁSOK</t>
  </si>
  <si>
    <t>Felhalmozási célú finanszírozási kiadások</t>
  </si>
  <si>
    <t>Hiány belső finanszírozásának bevételei (15+…+19 )</t>
  </si>
  <si>
    <t xml:space="preserve">Hiány külső finanszírozásának bevételei (20+…+25) </t>
  </si>
  <si>
    <t>Működési célú finanszírozási bevételek összesen (14+20)</t>
  </si>
  <si>
    <t>Hiány belső finanszírozás bevételei ( 14+…+19)</t>
  </si>
  <si>
    <t>Hitelek törlesztése (kötvény törlesztés)</t>
  </si>
  <si>
    <t xml:space="preserve">   Hitelek törlesztése (kötvény törlesztés)</t>
  </si>
  <si>
    <t>Siotour PR támogatás</t>
  </si>
  <si>
    <t>Járási hivatal hozzájárulása a hivatal üzemeltetési költségeihez</t>
  </si>
  <si>
    <t>Meghatározott feladatra (közterület felügyelet nyári munkavégzés) (fő)</t>
  </si>
  <si>
    <t>MBH projekt megelőlegezett előkészítő ktg-einek megtérítése</t>
  </si>
  <si>
    <t>Beruházás megnevezése</t>
  </si>
  <si>
    <t>ÖNKORMÁNYZAT ÖSSZESEN</t>
  </si>
  <si>
    <t>BRTKK ÖSSZESEN</t>
  </si>
  <si>
    <t>GONDOZÁSI KÖZPONT ÖSSZESEN</t>
  </si>
  <si>
    <t>Önkormányzat fejlesztési feladatai</t>
  </si>
  <si>
    <t>FEJLESZTÉS</t>
  </si>
  <si>
    <t>2012. évi         terv</t>
  </si>
  <si>
    <t>2013. évi    terv</t>
  </si>
  <si>
    <t>I. Áthúzódó beruházások</t>
  </si>
  <si>
    <t>Panel felújítás</t>
  </si>
  <si>
    <t>Fonyódi erdőfelújítás</t>
  </si>
  <si>
    <t>Ofotért épület bontása</t>
  </si>
  <si>
    <t>Marosi körforgalom kisajátítás MÁV</t>
  </si>
  <si>
    <t>Kórház sürgősségi ellátás pályázat</t>
  </si>
  <si>
    <t>Turisztikai szolgáltatások fejlesztése a Víztoronyban DDOP.2.1.1/D2010-0001</t>
  </si>
  <si>
    <t>Víztorony felső szint informatikai kialakítása</t>
  </si>
  <si>
    <t>BAHART részvény vásárlás (Szántód)</t>
  </si>
  <si>
    <t>BAHART részvény vásárlás (Balatonszemes)</t>
  </si>
  <si>
    <t>BAHART részvény vásárlás (Balatonudvari)</t>
  </si>
  <si>
    <t>BAHART részvény vásárlás (Tihany)</t>
  </si>
  <si>
    <t>Könyvtár belsőépítészet kialakítása</t>
  </si>
  <si>
    <t>Intézmények energetikai vizsgálata</t>
  </si>
  <si>
    <t>Siófok, Köztársaság u. 10. bérlakás bérleti szerződés megszüntetése</t>
  </si>
  <si>
    <t>Illegális szemétlerakók bekamerázása</t>
  </si>
  <si>
    <t>Ad Astra szobor helyreállítása</t>
  </si>
  <si>
    <t>Karácsonyi díszkivilágítás beszerzés</t>
  </si>
  <si>
    <t>II. Áthúzódó pályázott beruházások</t>
  </si>
  <si>
    <t>Siófoki új tehermentesítő út létesítése KÖZOP-3.5.0.-09-11-2011-0012</t>
  </si>
  <si>
    <t>Déli tehermentesítő egyéb költségei (szimulációs vizsgálat, könyvvizsgálói díj)</t>
  </si>
  <si>
    <t>Tulajdonviszonyok rendezése a déli tehermentesítőnél (telekvásárlás, bérleti szerződés)</t>
  </si>
  <si>
    <t>Déli tehermentesítő tervezési díj (eng. terv + kiviteli terv)</t>
  </si>
  <si>
    <t>Közvilágítás korszerűsítés KEOP-5.3.0/A/09-2010-0358</t>
  </si>
  <si>
    <t>Közvilágítás egyéb költségek (műszaki ellenőr, könyvvizsgálat, nyilvánosság, szakhatóság)</t>
  </si>
  <si>
    <t>Siófok hőközpont hőigényének kielégítése biomassza felhaszn. KEOP-4.2.0/B/09-2010-0047</t>
  </si>
  <si>
    <t>Helyi és térségi jelentőségű vízvédelmi rendszerek rekonstrukciója DDOP-5.1.5/B-11-2011-0030</t>
  </si>
  <si>
    <t>Helyi és térségi jelentőségű vízvédelmi rendszerek rekonstrukciója egyéb költségek (műszaki ellenőr)</t>
  </si>
  <si>
    <t>Siófok Vilma majori árok kapacitás bővítése DDOP-5.1.5/B-09-2009-0024</t>
  </si>
  <si>
    <t>Siófok Vilma majori árok kapacitás bővítése egyéb költségek (műszaki ellenőr, könyvvizsgálat)</t>
  </si>
  <si>
    <t>Hajléktalan szálló bővítés (egyéb költségek)</t>
  </si>
  <si>
    <t>Helyi és térségi turisztikai desztinációs menedzsment szervezetek létrehozása és fejlesztése        DDOP-2.1.3/C-12 önerő</t>
  </si>
  <si>
    <t>Térfigyelő kamerák a Fő téren és a hivatal környékén (BM pályázat)</t>
  </si>
  <si>
    <t>III. Pályázott beruházások</t>
  </si>
  <si>
    <t>MBH projekt előkészítő szakasza</t>
  </si>
  <si>
    <t>III. Egyéb beruházások</t>
  </si>
  <si>
    <t>Informatika</t>
  </si>
  <si>
    <t>Kisajátítások, kártalanítási összegek</t>
  </si>
  <si>
    <t>Galérius Fürdő ingatlanvásárlás</t>
  </si>
  <si>
    <t>Siófoki Bányász SE</t>
  </si>
  <si>
    <t>MOK + külföldi pótdíjak behajtása programfejlesztés</t>
  </si>
  <si>
    <t>Intézmények közműveinek leválasztása</t>
  </si>
  <si>
    <t>Gimnázium energetikai szakvéleménye</t>
  </si>
  <si>
    <t>Siófok 8985/12 hrsz.-ú ingatlan megvétele</t>
  </si>
  <si>
    <t>Siófok Fő tér 5. I/2 szám alatti bérlakás bérleti szerződés megszüntetése</t>
  </si>
  <si>
    <t>Siófok, Szent L.-Halápi-Csúszda u. Balaton közti helyi építési szabályzatának módosítása</t>
  </si>
  <si>
    <t>Üzemeltetési jog visszafizetése Zöldfok Zrt.-nek ISPA projekt elszámolása után</t>
  </si>
  <si>
    <t>Fő tér 5. sz. alatti lakások fűtésleválasztása</t>
  </si>
  <si>
    <t>Város térfigyelő kameráinak összehangolása</t>
  </si>
  <si>
    <t>Parkolóautomaták beszerzése</t>
  </si>
  <si>
    <t>SIOK játszóeszközök javítása, beszerzése</t>
  </si>
  <si>
    <t>Közrend program</t>
  </si>
  <si>
    <t>Autóbuszvásárlás</t>
  </si>
  <si>
    <t>Siófok, Felszabadulás u. 53. sz. alatti bérlakás bérleti szerződések megszüntetése</t>
  </si>
  <si>
    <t>Kazáncsere a Kiliti iskola könyvtárában</t>
  </si>
  <si>
    <t xml:space="preserve">Orvosi rendelők átalakítása </t>
  </si>
  <si>
    <t>Közterület Felügyelet új számítógép program</t>
  </si>
  <si>
    <t>34.</t>
  </si>
  <si>
    <t>35.</t>
  </si>
  <si>
    <t>36.</t>
  </si>
  <si>
    <t>37.</t>
  </si>
  <si>
    <t>2011. évi terv</t>
  </si>
  <si>
    <t>2012. évi koncepció</t>
  </si>
  <si>
    <t>IV. Útépítések/Járdaépítések</t>
  </si>
  <si>
    <t>V. Vízépítések</t>
  </si>
  <si>
    <t>VI. Hídépítések</t>
  </si>
  <si>
    <t>VII. Parkoló építések</t>
  </si>
  <si>
    <t>VIII. Tervezési feladatok</t>
  </si>
  <si>
    <t>Ringló u járda tervezés</t>
  </si>
  <si>
    <t>Közvilágítás korszerűsítés tervezés</t>
  </si>
  <si>
    <t>Töreki buszforduló tervezése</t>
  </si>
  <si>
    <t>egyéb</t>
  </si>
  <si>
    <t>Marosi út - Somlay út engedély hosszabítás</t>
  </si>
  <si>
    <t>Jubileum tér - Galamb köz kerékpár útterv</t>
  </si>
  <si>
    <t>IX. Egyéb fejlesztés</t>
  </si>
  <si>
    <t>X. Parkok és zöldfelületek</t>
  </si>
  <si>
    <t>XI. Közvilágítás</t>
  </si>
  <si>
    <t>FEJLESZTÉS ÖSSZESEN ( I-XI. összesen):</t>
  </si>
  <si>
    <t>FELÚJÍTÁS</t>
  </si>
  <si>
    <t>XII. Áthúzódó felújítások</t>
  </si>
  <si>
    <t>Aluljáró lépcsőinek felújítása</t>
  </si>
  <si>
    <t>Sió parti kerékpárút helyreállítása</t>
  </si>
  <si>
    <t>Balaton-parti Kft. tartaléktőke emelés</t>
  </si>
  <si>
    <t>Thanhoffer villa felújítása - műszaki ellenőri tevékenység</t>
  </si>
  <si>
    <t>XIII. Intézményi felújítások</t>
  </si>
  <si>
    <t>Fűtésrendszer korszerűsítés a Perczel Mór Gimnáziumban - KEOP pályázat javítása</t>
  </si>
  <si>
    <t>XIV. Egyéb felújítási feladatok</t>
  </si>
  <si>
    <t>Rendelőintézet hibáinak kijavítása</t>
  </si>
  <si>
    <t>Önkormányzati lakások folyamatos felújítása</t>
  </si>
  <si>
    <t>Evangélikus Egyház támogatása (templom felújítás)</t>
  </si>
  <si>
    <t>MAZSIHISZ (zsinagóga felújítás)</t>
  </si>
  <si>
    <t>Rendészeti iroda fejlesztése</t>
  </si>
  <si>
    <t>Bahart Zrt.-nek átadott pénzeszköz a viziturizmus fejlesztése érdekében</t>
  </si>
  <si>
    <t>Bahart Zrt.-nek átadott pénzeszköz a kikötő mólófej felújítására</t>
  </si>
  <si>
    <t>FELÚJÍTÁS ÖSSZESEN  (XII-XIV. összesen)</t>
  </si>
  <si>
    <t>FEJLESZTÉS/FELÚJÍTÁS ÖSSZESEN:</t>
  </si>
  <si>
    <t xml:space="preserve">        Hitel: tőke</t>
  </si>
  <si>
    <t xml:space="preserve">                  kamat</t>
  </si>
  <si>
    <t xml:space="preserve">                  kötvény</t>
  </si>
  <si>
    <t xml:space="preserve">                  kötvény kamat</t>
  </si>
  <si>
    <t>Adósságszolgálat összesen</t>
  </si>
  <si>
    <t>Polgármesteri Hivatal fejlesztési feladatai</t>
  </si>
  <si>
    <t>2012. évi terv</t>
  </si>
  <si>
    <t>2013. évi        terv</t>
  </si>
  <si>
    <t>I. Egyéb beruházások</t>
  </si>
  <si>
    <t>Takarítógép beszerzés</t>
  </si>
  <si>
    <t>Polgármesteri Hivatal beléptető rendszer I. emeleti fejlesztése</t>
  </si>
  <si>
    <t>Kamera és risztórendszer kiépítése a hivatal épületében</t>
  </si>
  <si>
    <t xml:space="preserve">FEJLESZTÉS ÖSSZESEN </t>
  </si>
  <si>
    <t>II. Felújítások</t>
  </si>
  <si>
    <t xml:space="preserve">FELÚJÍTÁS ÖSSZESEN  </t>
  </si>
  <si>
    <t xml:space="preserve">                  2010. évi CIB hiteltörlesztés </t>
  </si>
  <si>
    <t>6 db számítógép+egér</t>
  </si>
  <si>
    <t>takarítógép 60 000 (Philips)</t>
  </si>
  <si>
    <t>10 db betegágy+ ágybetét</t>
  </si>
  <si>
    <t>ételszállító konténer</t>
  </si>
  <si>
    <t>mosogatógép</t>
  </si>
  <si>
    <t>telefonközpont csere</t>
  </si>
  <si>
    <t>gázzsámoly</t>
  </si>
  <si>
    <t>mosogató medence</t>
  </si>
  <si>
    <t>Siófok Város BERUHÁZÁSI kiadásainak 2013. évi terve</t>
  </si>
  <si>
    <t>Siófok Város FELÚJÍTÁSI kiadásainak 2013. évi terve</t>
  </si>
  <si>
    <t xml:space="preserve">KEOP - 5.3.0/A/09-2010-0358 </t>
  </si>
  <si>
    <t>Közvilágítás korszerűsítése Siófokon</t>
  </si>
  <si>
    <t xml:space="preserve">KÖZOP - 3.5.0-09-22-2011-0012 </t>
  </si>
  <si>
    <t>TIOP-3.4.2-11/1</t>
  </si>
  <si>
    <t>Éjjeli menedék és nappali melegedő</t>
  </si>
  <si>
    <t>Siófok új tehermentesítő út létesítése</t>
  </si>
  <si>
    <t>KIKK-Kreatív Innovációk a Kultúrán keresztül: TÁMOP-3.2.3/A-11/1</t>
  </si>
  <si>
    <t>Egyéb tartalék</t>
  </si>
  <si>
    <r>
      <t xml:space="preserve">2013. évi külső forrásból fedezhető felhalmozási hiány  </t>
    </r>
    <r>
      <rPr>
        <sz val="7"/>
        <rFont val="Times New Roman"/>
        <family val="1"/>
      </rPr>
      <t>(5.2. melléklet 3. oszlop 30. sor)</t>
    </r>
  </si>
  <si>
    <t>Finanszírozási bevételek (4. melléklet 1. sz. táblázat 11. sor)</t>
  </si>
  <si>
    <t>Finanszírozási kiadások (4. melléklet 2. sz. táblázat 6. sor)</t>
  </si>
  <si>
    <t>1.1-ből: Működési célú finanszírozási bevételek (5.1. melléklet 2. sz. oszlop 26. sor)</t>
  </si>
  <si>
    <t xml:space="preserve">             Felhalmozási célú finanszírozási bevételek (5.2. melléklet 2. sz. oszlop 26. sor)</t>
  </si>
  <si>
    <t>1.2-ből: Működési célú finanszírozási kiadások (5.1. melléklet 4. sz. oszlop 26. sor)</t>
  </si>
  <si>
    <t xml:space="preserve">              Felhalmozási célú finanszírozási kiadások (5.2 .melléklet 4. sz. oszlop 26. sor)</t>
  </si>
  <si>
    <t xml:space="preserve"> 6.1.3</t>
  </si>
  <si>
    <t xml:space="preserve"> 6.1.2</t>
  </si>
  <si>
    <t xml:space="preserve"> 7.2</t>
  </si>
  <si>
    <t xml:space="preserve"> 7.1</t>
  </si>
  <si>
    <t xml:space="preserve"> 9.0</t>
  </si>
  <si>
    <t>Ö</t>
  </si>
  <si>
    <t>K</t>
  </si>
  <si>
    <t>??????????</t>
  </si>
  <si>
    <t xml:space="preserve">  - Felhalmozási célú pénzeszközátadás államháztartáson kívülre</t>
  </si>
  <si>
    <t>Á</t>
  </si>
  <si>
    <t>Siófok Város Önkormányzat adósságot keletkeztető ügyletekből és kezességvállalásokból fennálló kötelezettségei</t>
  </si>
  <si>
    <t>Siófok Város Önkormányzat saját bevételeinek részletezése az adósságot keletkeztető ügyletből származó tárgyévi fizetési kötelezettség megállapításához</t>
  </si>
  <si>
    <t>Minta lakótelep játszótér rekonstrukció és bővítés</t>
  </si>
  <si>
    <t>Meggyfa utca déli részén keleti oldalon járda építése</t>
  </si>
  <si>
    <t>Május 2. utca keleti oldalon a Gesztenye u. - Cseresznye u. között járda</t>
  </si>
  <si>
    <t>Csopak u. kátyútalanítása, felületi zárása</t>
  </si>
  <si>
    <t>Ringló u. kátyútalanítása, csapadékvíz elvezetése, felületi zárása</t>
  </si>
  <si>
    <t>Bolyai J. u. járdaépítése</t>
  </si>
  <si>
    <t>Somogyi utca rekonstrukciója - vízelvezetés, járda, aszfaltburkolat</t>
  </si>
  <si>
    <t>Trianon emlékműhöz vezető lépcső és járda építése</t>
  </si>
  <si>
    <t>Asztalos u. keleti oldalán járda építés (Boglárka u. - Templom u.)</t>
  </si>
  <si>
    <t>Dózsa Gy. u. járda nyugati oldal térkövezése a Bajcsy Zs. u.-tól délre</t>
  </si>
  <si>
    <t>Bányász u. járda térkövezése (egyik oldal)</t>
  </si>
  <si>
    <t>Fő utca járda felújítása Széchenyi utca és az Oulu park közötti szakaszon - két oldali</t>
  </si>
  <si>
    <t>Kossuth L. u. - Fő u. közötti gyalogos köz térburkolása</t>
  </si>
  <si>
    <t>Honvéd u. nyugati oldal térburkolatos járda</t>
  </si>
  <si>
    <t>Bajcsy Zs. u. Kele és Sió u. közötti szakaszon árok tisztítása, szintbe helyezése</t>
  </si>
  <si>
    <t>Kerti pavilonok felújítása a Millenium parkban (zenepavilon pergolág)</t>
  </si>
  <si>
    <t>Széchenyi és Tanácsház u. sarkán lévő Széchenyi park felújítása</t>
  </si>
  <si>
    <t>Jázmin u. és köz csapadékvíz elvezetés út és járda felújítás</t>
  </si>
  <si>
    <t>Mártírok útja vasúttól északra kétoldali járdafelújítás</t>
  </si>
  <si>
    <t>Az önkormányzat önállóan működő és gazdálkodó költségvetési szerve</t>
  </si>
  <si>
    <t>Siófok Város Önkormányzat</t>
  </si>
  <si>
    <t>06</t>
  </si>
  <si>
    <t>17. számú melléklet</t>
  </si>
  <si>
    <t>16. számú melléklet</t>
  </si>
  <si>
    <t>15. számú melléklet</t>
  </si>
  <si>
    <t xml:space="preserve">14. számú melléklet </t>
  </si>
  <si>
    <t xml:space="preserve">13. számú melléklet </t>
  </si>
  <si>
    <t xml:space="preserve">12. számú melléklet </t>
  </si>
  <si>
    <t xml:space="preserve">11. számú melléklet </t>
  </si>
  <si>
    <t xml:space="preserve">10. számú melléklet </t>
  </si>
  <si>
    <t xml:space="preserve">9. számú melléklet </t>
  </si>
  <si>
    <t xml:space="preserve">                      5.2. számú melléklet    </t>
  </si>
  <si>
    <t xml:space="preserve">                          5.1. számú melléklet      </t>
  </si>
  <si>
    <t>3. számú melléklet</t>
  </si>
  <si>
    <t>2. számú melléklet</t>
  </si>
  <si>
    <t>1. számú melléklet</t>
  </si>
  <si>
    <t>Park Center - Bezedédj u. közötti betonlapos járda újrarakása (Attila utcában)</t>
  </si>
  <si>
    <t>SIOTOUR Kft.</t>
  </si>
  <si>
    <t>"Siófok KC - Galérius Fürdő" névhasználat</t>
  </si>
  <si>
    <t>Reklámszolgáltatás igénybevétele</t>
  </si>
  <si>
    <t>Újhelyi temető előtt közvilágítás biztosítása 2 db kandelláber</t>
  </si>
  <si>
    <t>Ringló utcában közvilágítás</t>
  </si>
  <si>
    <t>Siójuti kirendeltség</t>
  </si>
  <si>
    <t>Balatonvilágosi kirendeltség</t>
  </si>
  <si>
    <t>a 2.1 és 2.2 -ból   - Felhalmozási célú pénzeszköz átadás államháztartáson belülre</t>
  </si>
  <si>
    <t>2.1 és 2.2 -ból  - Felhalmozási célú pénzeszköz átadás államháztartáson belülre</t>
  </si>
  <si>
    <t xml:space="preserve">   1. és 2.-ból:  - Felhalmozási célú pe. átadás államháztartáson belül</t>
  </si>
  <si>
    <t>Lakott külterület</t>
  </si>
  <si>
    <t>Lakossági közműfejlesztés</t>
  </si>
  <si>
    <t>Siófok Város Óv. és Bölcs. Pitypang tagóvodájának ép.energetikai korszerűsítése</t>
  </si>
  <si>
    <t xml:space="preserve">  - Szociális, rászorultság jellegű ellátások</t>
  </si>
  <si>
    <t>Pöttyös Óvoda épületében kazánház gépészeti felújítása</t>
  </si>
  <si>
    <t>Batthyány u. 1. fűtéskorszerűsítése</t>
  </si>
  <si>
    <t>Optikai kábel kiépítése</t>
  </si>
  <si>
    <t>Közösségi közlekedés fejlesztése a Balaton térségében DDOP-5.1.2/B-11-2012-0001</t>
  </si>
  <si>
    <t>Állatvédő Alapítvány kerítés építés</t>
  </si>
  <si>
    <t xml:space="preserve">Településrendezési terv </t>
  </si>
  <si>
    <t>Aranypart futópálya tervezése</t>
  </si>
  <si>
    <t>Állami támogatás (lakott külterület)</t>
  </si>
  <si>
    <t xml:space="preserve">Közösségi közlekedés fejlesztése a Balaton térségében </t>
  </si>
  <si>
    <t>KIKK pályázat projektmenedzseri feladatok</t>
  </si>
  <si>
    <t>IPR pályázat maradvány Klebelsberg Kp-nak</t>
  </si>
  <si>
    <t>VI. Finanszírozási bevételek (6.1.+6.2.)</t>
  </si>
  <si>
    <t>10.1 számú melléklet</t>
  </si>
  <si>
    <t>07</t>
  </si>
  <si>
    <t>Pénzmaradvány</t>
  </si>
  <si>
    <t>Módosított előirányzat</t>
  </si>
  <si>
    <t>2013. évi módosított előirányzat</t>
  </si>
  <si>
    <t>SIÓKOM Hulladékgazdálkodási Kft. törzstőke</t>
  </si>
  <si>
    <t>DDOP-5.1.2/B-11-2012-0001</t>
  </si>
  <si>
    <t xml:space="preserve">                                                           Közösségi közlekedés fejlesztése a Balaton térségében</t>
  </si>
  <si>
    <t>Siófoki Közös Önkormányzati Hivatal (Polgármesteri Hivatal jogutódja)</t>
  </si>
  <si>
    <t>2013. évi          mód.ei.</t>
  </si>
  <si>
    <t>Lakott külterülettel kapcsolatos feladatok támogatása</t>
  </si>
  <si>
    <t>Siófoki Kosársuli Egyesület támogatása (parketta felújítás)</t>
  </si>
  <si>
    <t>Siófoki Kosársuli Egyesület támogatása</t>
  </si>
  <si>
    <t>Siófoki Közös Önkormányzati Hivatal</t>
  </si>
  <si>
    <t>Közös Önkormányzati Hivatal</t>
  </si>
  <si>
    <t>SIÓFOKI KÖZÖS ÖNKORMÁNYZATI HIVATAL</t>
  </si>
  <si>
    <t xml:space="preserve">Működési célú pénzmaradvány igénybevétele </t>
  </si>
  <si>
    <t>KÖH megalakulása miatti finanszírozáscsökkenés</t>
  </si>
  <si>
    <t>SIÓKOM Hullgazd.Kft. törzstőke</t>
  </si>
  <si>
    <t>II.</t>
  </si>
  <si>
    <t>Bérkompenzáció</t>
  </si>
  <si>
    <t>Önkormányzat működésének támogatása</t>
  </si>
  <si>
    <t xml:space="preserve"> 5.10</t>
  </si>
  <si>
    <t xml:space="preserve"> 5.9</t>
  </si>
  <si>
    <t>Egyes jövedelempótló támogatások kiegészítése</t>
  </si>
  <si>
    <t xml:space="preserve">Egyéb támogatás </t>
  </si>
  <si>
    <t>A települési önkormányzatok kulturális feladatainak a támogatása</t>
  </si>
  <si>
    <t>Egyéb működési célú központi támogatás (bérkompenzáció)</t>
  </si>
  <si>
    <t>Lakossági közműfejlesztés (felhalmozási célú)</t>
  </si>
  <si>
    <r>
      <t xml:space="preserve">2013. évi külső forrásból fedezhető működési hiány  </t>
    </r>
    <r>
      <rPr>
        <sz val="7"/>
        <rFont val="Times New Roman"/>
        <family val="1"/>
      </rPr>
      <t>(5.1. melléklet 3. oszlop 31. sor)</t>
    </r>
  </si>
  <si>
    <t xml:space="preserve">Siófoki Bányász SE támogatás </t>
  </si>
  <si>
    <t>Közgép Áfa árf.különbözet miatti perköltség</t>
  </si>
  <si>
    <t xml:space="preserve"> +2 fő létszámnövekedés a Közös Hivatalnál</t>
  </si>
  <si>
    <t xml:space="preserve"> +3 fő létszámnövekedés a KIKK-nél </t>
  </si>
  <si>
    <t xml:space="preserve"> +2 fő létszámnövekedés a Gondozási Központban</t>
  </si>
  <si>
    <t xml:space="preserve"> -4 fő létszámcsökkenés a városi óvodában és bölcsődében</t>
  </si>
  <si>
    <t>III.</t>
  </si>
  <si>
    <t>Balatoni Vasas SE támogatása</t>
  </si>
  <si>
    <t>Europe Direct Információs Iroda támogatása</t>
  </si>
  <si>
    <t>Tagiskolák műk.ktg.tám.2012.évi elsz. visszafizetés</t>
  </si>
  <si>
    <t>Tagiskolák műk.ktg. önk.tól átvett 2012. évi elsz. N.berény</t>
  </si>
  <si>
    <t>Siófok 6192 hrsz. beépítetlen terület vételára (Siófok)</t>
  </si>
  <si>
    <t>Csodálatos Természet - Természettudományi labor fejlesztése a siófoki Perczel Mór Gimnáziumban TÁMOP-3.1.3-11/2-2012-0038</t>
  </si>
  <si>
    <t>2013. évi                terv</t>
  </si>
  <si>
    <t>Siófok 6192 hrsz. beépítetlen terület</t>
  </si>
  <si>
    <t>Balatoni Vasas SE</t>
  </si>
  <si>
    <t>Ügyvédi munkadíj</t>
  </si>
  <si>
    <t>Tagiskolák műk.ktg. tám. 2012. évi elsz. (Ádánd)</t>
  </si>
  <si>
    <t>Tagiskolák műk.ktg. tám. 2012. évi elsz. (B.endréd))</t>
  </si>
  <si>
    <t>Tagiskolák műk.ktg. tám. 2012. évi elsz. (B.világos)</t>
  </si>
  <si>
    <t>Perköltség</t>
  </si>
  <si>
    <t>Többcélú Kistérségi Társulás Siófok 6192 hrsz.beépítetlen ter.</t>
  </si>
  <si>
    <t>TÁMOP-3.1.3-11/2-2012-0038</t>
  </si>
  <si>
    <t xml:space="preserve">Csodálatos Természet - Természettudományi labor fejlesztése a siófoki Perczel Mór Gimnáziumban </t>
  </si>
  <si>
    <t>Környezetvédelmi bírság</t>
  </si>
  <si>
    <t>Egyéb bevétel</t>
  </si>
  <si>
    <t>Egyéb felhalmozási bevétel</t>
  </si>
  <si>
    <t>SIÓKOM Kft. üzletrészének értékesítése</t>
  </si>
  <si>
    <t>Mo szeretlek</t>
  </si>
  <si>
    <t xml:space="preserve">Szerkezetátalakítási </t>
  </si>
  <si>
    <t>Adósságkonszolidáció</t>
  </si>
  <si>
    <t>10 fős közfoglalkoztatás</t>
  </si>
  <si>
    <t xml:space="preserve">6 fős közfoglalkoztatás </t>
  </si>
  <si>
    <t>43 fős alapkompetencia téli közfoglalkoztatás</t>
  </si>
  <si>
    <t>8 fős átmeneti téli közfoglalkoztatás</t>
  </si>
  <si>
    <t>Informatikai támogatás visszautalása</t>
  </si>
  <si>
    <t>TKT megszűnése miatt pénzeszköz átvétel</t>
  </si>
  <si>
    <t>B.világos bszabadi h.jár orvosi ügyelethez (I.félév)</t>
  </si>
  <si>
    <t>Képviselő-testület tagjainak tiszteletdíja</t>
  </si>
  <si>
    <t>Önkormányzati ingatlanok karbantartása</t>
  </si>
  <si>
    <t>SIÓKOM tagi kölcsön</t>
  </si>
  <si>
    <t>TKT alszámláról történő átadások</t>
  </si>
  <si>
    <t>TKT normatív elszámolás</t>
  </si>
  <si>
    <t>TKT elszámolás</t>
  </si>
  <si>
    <t>Irodai névtáblák pótlása, cseréje</t>
  </si>
  <si>
    <t>Nívódíj pályázat nevezési díj</t>
  </si>
  <si>
    <t>Egyéb dologi kiadások</t>
  </si>
  <si>
    <t>Siófok h.jár orvosi ügyelethez (II. félév)</t>
  </si>
  <si>
    <t>Itthon vagyok - Magyarország szeretlek</t>
  </si>
  <si>
    <t>SIOK megszűnése miatti kiadások</t>
  </si>
  <si>
    <t>perczel labor</t>
  </si>
  <si>
    <t>Üzletviteli tanácsadás KEOP pályázathoz</t>
  </si>
  <si>
    <t>Támogatás Közös Önkormányzati Hivatal</t>
  </si>
  <si>
    <t>Környezet-tudatos Balatoni Települések hullagazd.-i rendszerének közös fejlesztése KEOP-1.1.1/C/13-2013-0033</t>
  </si>
  <si>
    <t>BFC Siófok Kft. TAO pályázat önerő</t>
  </si>
  <si>
    <t>Siófok Kézilabda Club Kft. TAO pályázat önerő</t>
  </si>
  <si>
    <t>Wifi kiépítése a Fő téren</t>
  </si>
  <si>
    <t>Hangár épületén riasztórendszer telepítése</t>
  </si>
  <si>
    <t>Légfüggöny</t>
  </si>
  <si>
    <t>Galérius Fürdő</t>
  </si>
  <si>
    <t>Pillangó Óvoda</t>
  </si>
  <si>
    <t>Kossuth L. u. 11. épület bontása</t>
  </si>
  <si>
    <t>Beszédes J. Általános Iskola villamoshálózat</t>
  </si>
  <si>
    <t>Irodabútor ügyfélszolgálat</t>
  </si>
  <si>
    <t>Kerékpárút fejlesztés</t>
  </si>
  <si>
    <t>Ady E. u. járda részleges felújítása díszburkolattal</t>
  </si>
  <si>
    <t>Tartaléktők emelés Balaton-parti Kft.</t>
  </si>
  <si>
    <t>Buszvásárlás közbeszerzási eljárási díjai</t>
  </si>
  <si>
    <t>IV.</t>
  </si>
  <si>
    <t>Támogatás visszapótlás (Siófoki Bányász SE)</t>
  </si>
  <si>
    <t>Normatív pótigény (ingyenes és kedv. étkeztetés)</t>
  </si>
  <si>
    <t>Normatíva lemondás (idősek tartós szoc.ellátás)</t>
  </si>
  <si>
    <t xml:space="preserve">Szerkezetátalakítási tartalék </t>
  </si>
  <si>
    <t>SIÓKOM Kft. tagi kölcsön</t>
  </si>
  <si>
    <t>SIÓKOM Nonprofit Kft. Üzletrésze</t>
  </si>
  <si>
    <t xml:space="preserve">Bérkompenzáció </t>
  </si>
  <si>
    <t>Orvosi ügyelet (I. félév)</t>
  </si>
  <si>
    <t>B.világos és B.szabadi h.járulás orvosi ügyelethez</t>
  </si>
  <si>
    <t>II. félévi települési h.jár orvosi ügyelethez</t>
  </si>
  <si>
    <t>Kistérségi feladatok - Siófoki h.járulás</t>
  </si>
  <si>
    <t>Hátrányos helyzetű gyermekek táboroztatása</t>
  </si>
  <si>
    <t>Nívódíj pályázat</t>
  </si>
  <si>
    <t>Intézmények karbantartása</t>
  </si>
  <si>
    <t>Szerkezetátalakítási tartalék</t>
  </si>
  <si>
    <t>Egyéb támogatás, kiegészítés (bérkompenzáció, adósságkonszolidáció)</t>
  </si>
  <si>
    <t>Egyéb támogatás (bérkompenzáció, adósságkonszolidáció)</t>
  </si>
  <si>
    <t>VI. Felhalmozási célú bevételek (8.1+8.2.+8.4.)</t>
  </si>
  <si>
    <t>8.4.</t>
  </si>
  <si>
    <t>VI. Felhalmozási célú bevételek (8.1+8.2+8.3+8.4)</t>
  </si>
  <si>
    <t>Kiegészítő támogatás (szerkezetátalakítás)</t>
  </si>
  <si>
    <t>telefon intézményvezető</t>
  </si>
  <si>
    <t>nyomtató</t>
  </si>
  <si>
    <t>21 fiókos szekrény</t>
  </si>
  <si>
    <t xml:space="preserve">  - EU-s forrásból finanszírozott támogatással megvalósuló programok, projektek önkormányzati hozzájárulásának kiadásai</t>
  </si>
  <si>
    <t>Sajtó PR  50%</t>
  </si>
  <si>
    <t>Könyvtári érdekeltségnövelő támogatás</t>
  </si>
  <si>
    <t>V.</t>
  </si>
  <si>
    <t>Óvodaped.ok átlagbérének és közterheinek pótlása</t>
  </si>
  <si>
    <t>Vak B.J.Ált.Isk.energiahatékonyságának javítása önerő</t>
  </si>
  <si>
    <t>Balaton-Coop Zrt. parkolóhelymegváltás visszafizetés</t>
  </si>
  <si>
    <t>BAHART részvény vásárlás (Révfülöp)</t>
  </si>
  <si>
    <t>Dél-Balatoni Szennyvíztársulás működési ktg h.jár (2012-2013. évi)</t>
  </si>
  <si>
    <t>Vak Bottyán János Általános Iskola energiahatékonyságának javítása önerő</t>
  </si>
  <si>
    <t xml:space="preserve">Siófoki Bányász SE </t>
  </si>
  <si>
    <t>Thanhoffer villa berendezési eszközök</t>
  </si>
  <si>
    <t>Siófok Kézilabda Club Kft.munkacsarnok bérleti díja</t>
  </si>
  <si>
    <t>Siófok Kézilabda Club Kft. Kézilabda munkacsarnok</t>
  </si>
  <si>
    <t>Cégautó adó</t>
  </si>
  <si>
    <t>Porta bútorzat</t>
  </si>
  <si>
    <t>Városháza épületében étkező kialakítása</t>
  </si>
  <si>
    <t>Park.hely megváltás visszafizetése (Balaton-Coop Zrt.)</t>
  </si>
  <si>
    <t>SIOK megszűnés miatt pénzeszköz átvétel</t>
  </si>
  <si>
    <t>Vidéki önk.ok pénzeszk.átadása működési kiadásokhoz SIOK megszűnés miatt</t>
  </si>
  <si>
    <t>Micimackó óvoda épületének részbeni hőszigetelése</t>
  </si>
  <si>
    <t>Borítékoló gép + szoftver</t>
  </si>
  <si>
    <t>e-KATA program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</si>
</sst>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mmmm\ d\."/>
    <numFmt numFmtId="169" formatCode="_-* #,##0.0\ _F_t_-;\-* #,##0.0\ _F_t_-;_-* &quot;-&quot;??\ _F_t_-;_-@_-"/>
  </numFmts>
  <fonts count="98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u val="single"/>
      <sz val="7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9.5"/>
      <name val="Times New Roman"/>
      <family val="1"/>
    </font>
    <font>
      <i/>
      <sz val="9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2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5" tint="0.7999799847602844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1421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3" xfId="56" applyFont="1" applyFill="1" applyBorder="1" applyAlignment="1" applyProtection="1">
      <alignment horizontal="left" vertical="center" wrapText="1" indent="1"/>
      <protection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0" fontId="18" fillId="0" borderId="16" xfId="56" applyFont="1" applyFill="1" applyBorder="1" applyAlignment="1" applyProtection="1">
      <alignment horizontal="left" vertical="center" wrapText="1" indent="1"/>
      <protection/>
    </xf>
    <xf numFmtId="49" fontId="18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horizontal="center"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25" xfId="56" applyFont="1" applyFill="1" applyBorder="1" applyAlignment="1" applyProtection="1">
      <alignment vertical="center" wrapText="1"/>
      <protection/>
    </xf>
    <xf numFmtId="0" fontId="16" fillId="0" borderId="27" xfId="56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left" vertical="center" indent="1"/>
      <protection locked="0"/>
    </xf>
    <xf numFmtId="3" fontId="18" fillId="0" borderId="30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3" fontId="18" fillId="0" borderId="28" xfId="0" applyNumberFormat="1" applyFont="1" applyBorder="1" applyAlignment="1" applyProtection="1">
      <alignment horizontal="righ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6" fillId="0" borderId="24" xfId="56" applyFont="1" applyFill="1" applyBorder="1" applyAlignment="1" applyProtection="1">
      <alignment horizontal="center" vertical="center" wrapText="1"/>
      <protection/>
    </xf>
    <xf numFmtId="0" fontId="16" fillId="0" borderId="25" xfId="56" applyFont="1" applyFill="1" applyBorder="1" applyAlignment="1" applyProtection="1">
      <alignment horizontal="center" vertical="center" wrapText="1"/>
      <protection/>
    </xf>
    <xf numFmtId="0" fontId="16" fillId="0" borderId="31" xfId="56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vertical="center" wrapText="1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8" fillId="0" borderId="25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8" fillId="0" borderId="31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64" fontId="23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18" fillId="0" borderId="32" xfId="0" applyNumberFormat="1" applyFont="1" applyFill="1" applyBorder="1" applyAlignment="1" applyProtection="1">
      <alignment vertical="center" wrapText="1"/>
      <protection/>
    </xf>
    <xf numFmtId="164" fontId="18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33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8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6" xfId="0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9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21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vertical="center"/>
      <protection locked="0"/>
    </xf>
    <xf numFmtId="49" fontId="18" fillId="0" borderId="1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6" xfId="57" applyFont="1" applyFill="1" applyBorder="1" applyAlignment="1" applyProtection="1">
      <alignment horizontal="center" vertical="center" wrapText="1"/>
      <protection/>
    </xf>
    <xf numFmtId="0" fontId="8" fillId="0" borderId="27" xfId="57" applyFont="1" applyFill="1" applyBorder="1" applyAlignment="1" applyProtection="1">
      <alignment horizontal="center" vertical="center"/>
      <protection/>
    </xf>
    <xf numFmtId="0" fontId="8" fillId="0" borderId="38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24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17" xfId="57" applyFont="1" applyFill="1" applyBorder="1" applyAlignment="1" applyProtection="1">
      <alignment horizontal="left" vertical="center" indent="1"/>
      <protection/>
    </xf>
    <xf numFmtId="0" fontId="18" fillId="0" borderId="10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39" xfId="57" applyNumberFormat="1" applyFont="1" applyFill="1" applyBorder="1" applyAlignment="1" applyProtection="1">
      <alignment vertical="center"/>
      <protection/>
    </xf>
    <xf numFmtId="0" fontId="18" fillId="0" borderId="18" xfId="57" applyFont="1" applyFill="1" applyBorder="1" applyAlignment="1" applyProtection="1">
      <alignment horizontal="left" vertical="center" indent="1"/>
      <protection/>
    </xf>
    <xf numFmtId="164" fontId="18" fillId="0" borderId="11" xfId="57" applyNumberFormat="1" applyFont="1" applyFill="1" applyBorder="1" applyAlignment="1" applyProtection="1">
      <alignment vertical="center"/>
      <protection locked="0"/>
    </xf>
    <xf numFmtId="164" fontId="18" fillId="0" borderId="28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13" xfId="57" applyNumberFormat="1" applyFont="1" applyFill="1" applyBorder="1" applyAlignment="1" applyProtection="1">
      <alignment vertical="center"/>
      <protection locked="0"/>
    </xf>
    <xf numFmtId="164" fontId="18" fillId="0" borderId="35" xfId="57" applyNumberFormat="1" applyFont="1" applyFill="1" applyBorder="1" applyAlignment="1" applyProtection="1">
      <alignment vertical="center"/>
      <protection/>
    </xf>
    <xf numFmtId="164" fontId="16" fillId="0" borderId="25" xfId="57" applyNumberFormat="1" applyFont="1" applyFill="1" applyBorder="1" applyAlignment="1" applyProtection="1">
      <alignment vertical="center"/>
      <protection/>
    </xf>
    <xf numFmtId="164" fontId="16" fillId="0" borderId="31" xfId="57" applyNumberFormat="1" applyFont="1" applyFill="1" applyBorder="1" applyAlignment="1" applyProtection="1">
      <alignment vertical="center"/>
      <protection/>
    </xf>
    <xf numFmtId="0" fontId="18" fillId="0" borderId="20" xfId="57" applyFont="1" applyFill="1" applyBorder="1" applyAlignment="1" applyProtection="1">
      <alignment horizontal="left" vertical="center" indent="1"/>
      <protection/>
    </xf>
    <xf numFmtId="0" fontId="16" fillId="0" borderId="24" xfId="57" applyFont="1" applyFill="1" applyBorder="1" applyAlignment="1" applyProtection="1">
      <alignment horizontal="left" vertical="center" indent="1"/>
      <protection/>
    </xf>
    <xf numFmtId="164" fontId="16" fillId="0" borderId="25" xfId="57" applyNumberFormat="1" applyFont="1" applyFill="1" applyBorder="1" applyProtection="1">
      <alignment/>
      <protection/>
    </xf>
    <xf numFmtId="164" fontId="16" fillId="0" borderId="31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0" fontId="22" fillId="0" borderId="40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42" xfId="0" applyFont="1" applyFill="1" applyBorder="1" applyAlignment="1" applyProtection="1">
      <alignment horizontal="left" vertical="center" wrapText="1"/>
      <protection locked="0"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3" xfId="0" applyFont="1" applyFill="1" applyBorder="1" applyAlignment="1" applyProtection="1">
      <alignment vertical="center" wrapText="1"/>
      <protection locked="0"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164" fontId="16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3" fillId="0" borderId="44" xfId="56" applyFill="1" applyBorder="1">
      <alignment/>
      <protection/>
    </xf>
    <xf numFmtId="0" fontId="16" fillId="0" borderId="25" xfId="56" applyFont="1" applyFill="1" applyBorder="1" applyAlignment="1" applyProtection="1">
      <alignment horizontal="left" vertical="center" wrapText="1"/>
      <protection/>
    </xf>
    <xf numFmtId="164" fontId="1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6" fillId="0" borderId="46" xfId="0" applyFont="1" applyFill="1" applyBorder="1" applyAlignment="1" applyProtection="1">
      <alignment horizontal="right"/>
      <protection/>
    </xf>
    <xf numFmtId="164" fontId="17" fillId="0" borderId="46" xfId="56" applyNumberFormat="1" applyFont="1" applyFill="1" applyBorder="1" applyAlignment="1" applyProtection="1">
      <alignment horizontal="left" vertical="center"/>
      <protection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indent="6"/>
      <protection/>
    </xf>
    <xf numFmtId="0" fontId="18" fillId="0" borderId="11" xfId="56" applyFont="1" applyFill="1" applyBorder="1" applyAlignment="1" applyProtection="1">
      <alignment horizontal="left" vertical="center" wrapText="1" indent="6"/>
      <protection/>
    </xf>
    <xf numFmtId="0" fontId="18" fillId="0" borderId="16" xfId="56" applyFont="1" applyFill="1" applyBorder="1" applyAlignment="1" applyProtection="1">
      <alignment horizontal="left" vertical="center" wrapText="1" indent="6"/>
      <protection/>
    </xf>
    <xf numFmtId="0" fontId="18" fillId="0" borderId="36" xfId="56" applyFont="1" applyFill="1" applyBorder="1" applyAlignment="1" applyProtection="1">
      <alignment horizontal="left" vertical="center" wrapText="1" indent="6"/>
      <protection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56" applyFont="1" applyFill="1" applyBorder="1">
      <alignment/>
      <protection/>
    </xf>
    <xf numFmtId="49" fontId="18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0" fillId="0" borderId="31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21" xfId="56" applyFont="1" applyFill="1" applyBorder="1" applyAlignment="1">
      <alignment horizontal="center" vertical="center"/>
      <protection/>
    </xf>
    <xf numFmtId="0" fontId="4" fillId="0" borderId="25" xfId="56" applyFont="1" applyFill="1" applyBorder="1">
      <alignment/>
      <protection/>
    </xf>
    <xf numFmtId="166" fontId="0" fillId="0" borderId="35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6" applyNumberFormat="1" applyFont="1" applyFill="1" applyBorder="1">
      <alignment/>
      <protection/>
    </xf>
    <xf numFmtId="166" fontId="0" fillId="0" borderId="31" xfId="56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18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47" xfId="56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3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8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6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6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6" fillId="0" borderId="22" xfId="56" applyFont="1" applyFill="1" applyBorder="1" applyAlignment="1" applyProtection="1">
      <alignment horizontal="center" vertical="center" wrapText="1"/>
      <protection/>
    </xf>
    <xf numFmtId="0" fontId="16" fillId="0" borderId="14" xfId="56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center" vertical="center" wrapText="1"/>
      <protection/>
    </xf>
    <xf numFmtId="0" fontId="18" fillId="0" borderId="24" xfId="56" applyFont="1" applyFill="1" applyBorder="1" applyAlignment="1" applyProtection="1">
      <alignment horizontal="center" vertical="center"/>
      <protection/>
    </xf>
    <xf numFmtId="0" fontId="18" fillId="0" borderId="25" xfId="56" applyFont="1" applyFill="1" applyBorder="1" applyAlignment="1" applyProtection="1">
      <alignment horizontal="center" vertical="center"/>
      <protection/>
    </xf>
    <xf numFmtId="0" fontId="18" fillId="0" borderId="31" xfId="56" applyFont="1" applyFill="1" applyBorder="1" applyAlignment="1" applyProtection="1">
      <alignment horizontal="center" vertical="center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18" xfId="56" applyFont="1" applyFill="1" applyBorder="1" applyAlignment="1" applyProtection="1">
      <alignment horizontal="center" vertical="center"/>
      <protection/>
    </xf>
    <xf numFmtId="0" fontId="18" fillId="0" borderId="21" xfId="56" applyFont="1" applyFill="1" applyBorder="1" applyAlignment="1" applyProtection="1">
      <alignment horizontal="center" vertical="center"/>
      <protection/>
    </xf>
    <xf numFmtId="166" fontId="16" fillId="0" borderId="31" xfId="40" applyNumberFormat="1" applyFont="1" applyFill="1" applyBorder="1" applyAlignment="1" applyProtection="1">
      <alignment/>
      <protection/>
    </xf>
    <xf numFmtId="166" fontId="18" fillId="0" borderId="30" xfId="40" applyNumberFormat="1" applyFont="1" applyFill="1" applyBorder="1" applyAlignment="1" applyProtection="1">
      <alignment/>
      <protection locked="0"/>
    </xf>
    <xf numFmtId="166" fontId="18" fillId="0" borderId="28" xfId="40" applyNumberFormat="1" applyFont="1" applyFill="1" applyBorder="1" applyAlignment="1" applyProtection="1">
      <alignment/>
      <protection locked="0"/>
    </xf>
    <xf numFmtId="166" fontId="18" fillId="0" borderId="29" xfId="40" applyNumberFormat="1" applyFont="1" applyFill="1" applyBorder="1" applyAlignment="1" applyProtection="1">
      <alignment/>
      <protection locked="0"/>
    </xf>
    <xf numFmtId="166" fontId="18" fillId="0" borderId="31" xfId="40" applyNumberFormat="1" applyFont="1" applyFill="1" applyBorder="1" applyAlignment="1" applyProtection="1">
      <alignment/>
      <protection/>
    </xf>
    <xf numFmtId="0" fontId="18" fillId="0" borderId="14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0" fontId="18" fillId="0" borderId="16" xfId="56" applyFont="1" applyFill="1" applyBorder="1" applyProtection="1">
      <alignment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/>
    </xf>
    <xf numFmtId="164" fontId="16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18" xfId="0" applyFont="1" applyBorder="1" applyAlignment="1" applyProtection="1">
      <alignment horizontal="right" vertical="center" indent="1"/>
      <protection/>
    </xf>
    <xf numFmtId="0" fontId="18" fillId="0" borderId="21" xfId="0" applyFont="1" applyBorder="1" applyAlignment="1" applyProtection="1">
      <alignment horizontal="right" vertical="center" indent="1"/>
      <protection/>
    </xf>
    <xf numFmtId="164" fontId="0" fillId="34" borderId="32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3" fontId="18" fillId="0" borderId="30" xfId="0" applyNumberFormat="1" applyFont="1" applyFill="1" applyBorder="1" applyAlignment="1" applyProtection="1">
      <alignment vertical="center"/>
      <protection/>
    </xf>
    <xf numFmtId="49" fontId="24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8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3" fontId="18" fillId="0" borderId="31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49" xfId="0" applyFont="1" applyFill="1" applyBorder="1" applyAlignment="1" applyProtection="1">
      <alignment vertical="center"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164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7" fillId="0" borderId="54" xfId="0" applyFont="1" applyBorder="1" applyAlignment="1" applyProtection="1">
      <alignment horizontal="center" wrapText="1"/>
      <protection/>
    </xf>
    <xf numFmtId="0" fontId="28" fillId="0" borderId="54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4" fillId="0" borderId="54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49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 applyProtection="1" quotePrefix="1">
      <alignment horizontal="center" vertical="center"/>
      <protection locked="0"/>
    </xf>
    <xf numFmtId="49" fontId="8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164" fontId="16" fillId="0" borderId="35" xfId="0" applyNumberFormat="1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28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164" fontId="16" fillId="0" borderId="31" xfId="0" applyNumberFormat="1" applyFont="1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7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55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43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center" vertical="center" wrapText="1"/>
      <protection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8" fillId="0" borderId="11" xfId="57" applyFont="1" applyFill="1" applyBorder="1" applyAlignment="1" applyProtection="1">
      <alignment horizontal="left" vertical="center" indent="1"/>
      <protection/>
    </xf>
    <xf numFmtId="0" fontId="18" fillId="0" borderId="13" xfId="57" applyFont="1" applyFill="1" applyBorder="1" applyAlignment="1" applyProtection="1">
      <alignment horizontal="left" vertical="center" wrapText="1" indent="1"/>
      <protection/>
    </xf>
    <xf numFmtId="0" fontId="18" fillId="0" borderId="11" xfId="57" applyFont="1" applyFill="1" applyBorder="1" applyAlignment="1" applyProtection="1">
      <alignment horizontal="left" vertical="center" wrapText="1" indent="1"/>
      <protection/>
    </xf>
    <xf numFmtId="0" fontId="18" fillId="0" borderId="13" xfId="57" applyFont="1" applyFill="1" applyBorder="1" applyAlignment="1" applyProtection="1">
      <alignment horizontal="left" vertical="center" indent="1"/>
      <protection/>
    </xf>
    <xf numFmtId="0" fontId="8" fillId="0" borderId="25" xfId="57" applyFont="1" applyFill="1" applyBorder="1" applyAlignment="1" applyProtection="1">
      <alignment horizontal="left" indent="1"/>
      <protection/>
    </xf>
    <xf numFmtId="164" fontId="24" fillId="0" borderId="59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16" fillId="0" borderId="55" xfId="56" applyFont="1" applyFill="1" applyBorder="1" applyAlignment="1" applyProtection="1">
      <alignment horizontal="left" vertical="center" wrapText="1" indent="1"/>
      <protection/>
    </xf>
    <xf numFmtId="49" fontId="18" fillId="0" borderId="64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65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0" fontId="19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0" xfId="56" applyFill="1" applyAlignment="1">
      <alignment horizontal="left" vertical="center" indent="1"/>
      <protection/>
    </xf>
    <xf numFmtId="0" fontId="23" fillId="0" borderId="25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33" fillId="0" borderId="11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indent="1"/>
      <protection/>
    </xf>
    <xf numFmtId="0" fontId="22" fillId="0" borderId="36" xfId="0" applyFont="1" applyBorder="1" applyAlignment="1" applyProtection="1">
      <alignment horizontal="left" vertical="center" indent="1"/>
      <protection/>
    </xf>
    <xf numFmtId="0" fontId="23" fillId="0" borderId="24" xfId="0" applyFont="1" applyBorder="1" applyAlignment="1" applyProtection="1">
      <alignment horizontal="left" vertical="center" wrapText="1" indent="1"/>
      <protection/>
    </xf>
    <xf numFmtId="49" fontId="22" fillId="0" borderId="18" xfId="0" applyNumberFormat="1" applyFont="1" applyBorder="1" applyAlignment="1" applyProtection="1">
      <alignment horizontal="left" vertical="center" wrapText="1" indent="2"/>
      <protection/>
    </xf>
    <xf numFmtId="49" fontId="23" fillId="0" borderId="18" xfId="0" applyNumberFormat="1" applyFont="1" applyBorder="1" applyAlignment="1" applyProtection="1">
      <alignment horizontal="left" vertical="center" wrapText="1" indent="1"/>
      <protection/>
    </xf>
    <xf numFmtId="49" fontId="22" fillId="0" borderId="23" xfId="0" applyNumberFormat="1" applyFont="1" applyBorder="1" applyAlignment="1" applyProtection="1">
      <alignment horizontal="left" vertical="center" wrapText="1" indent="2"/>
      <protection/>
    </xf>
    <xf numFmtId="0" fontId="22" fillId="0" borderId="36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49" fontId="23" fillId="0" borderId="24" xfId="0" applyNumberFormat="1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2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49" fontId="22" fillId="0" borderId="21" xfId="0" applyNumberFormat="1" applyFont="1" applyBorder="1" applyAlignment="1" applyProtection="1">
      <alignment horizontal="left" vertical="center" wrapText="1" indent="2"/>
      <protection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3" fillId="0" borderId="19" xfId="0" applyFont="1" applyBorder="1" applyAlignment="1" applyProtection="1">
      <alignment horizontal="left" vertical="center" wrapText="1" indent="1"/>
      <protection/>
    </xf>
    <xf numFmtId="0" fontId="34" fillId="0" borderId="25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33" fillId="0" borderId="24" xfId="0" applyNumberFormat="1" applyFont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right" vertical="center" wrapText="1" indent="1"/>
      <protection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1" xfId="0" applyNumberFormat="1" applyFont="1" applyBorder="1" applyAlignment="1" applyProtection="1">
      <alignment horizontal="right" vertical="center" wrapText="1" indent="1"/>
      <protection/>
    </xf>
    <xf numFmtId="0" fontId="21" fillId="0" borderId="31" xfId="0" applyFont="1" applyBorder="1" applyAlignment="1" applyProtection="1" quotePrefix="1">
      <alignment horizontal="right" vertical="center" wrapText="1" indent="1"/>
      <protection locked="0"/>
    </xf>
    <xf numFmtId="0" fontId="22" fillId="0" borderId="31" xfId="0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right" vertical="center"/>
      <protection/>
    </xf>
    <xf numFmtId="164" fontId="16" fillId="0" borderId="48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8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35" xfId="0" applyFont="1" applyBorder="1" applyAlignment="1" applyProtection="1">
      <alignment horizontal="right" vertical="center" wrapText="1" indent="1"/>
      <protection locked="0"/>
    </xf>
    <xf numFmtId="0" fontId="22" fillId="0" borderId="28" xfId="0" applyFont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3" fillId="0" borderId="0" xfId="56" applyFill="1" applyAlignment="1">
      <alignment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8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8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68" xfId="40" applyNumberFormat="1" applyFont="1" applyFill="1" applyBorder="1" applyAlignment="1" applyProtection="1">
      <alignment/>
      <protection locked="0"/>
    </xf>
    <xf numFmtId="166" fontId="18" fillId="0" borderId="53" xfId="40" applyNumberFormat="1" applyFont="1" applyFill="1" applyBorder="1" applyAlignment="1" applyProtection="1">
      <alignment/>
      <protection locked="0"/>
    </xf>
    <xf numFmtId="0" fontId="18" fillId="0" borderId="13" xfId="56" applyFont="1" applyFill="1" applyBorder="1" applyProtection="1">
      <alignment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vertical="center" wrapText="1"/>
      <protection/>
    </xf>
    <xf numFmtId="0" fontId="8" fillId="0" borderId="57" xfId="0" applyFont="1" applyFill="1" applyBorder="1" applyAlignment="1" applyProtection="1">
      <alignment horizontal="right" vertical="center" indent="1"/>
      <protection/>
    </xf>
    <xf numFmtId="164" fontId="8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6" fillId="0" borderId="54" xfId="0" applyFont="1" applyBorder="1" applyAlignment="1" applyProtection="1">
      <alignment horizontal="center" wrapText="1"/>
      <protection/>
    </xf>
    <xf numFmtId="0" fontId="16" fillId="0" borderId="54" xfId="56" applyFont="1" applyFill="1" applyBorder="1" applyAlignment="1" applyProtection="1">
      <alignment horizontal="left" vertical="center" wrapText="1" inden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18" fillId="0" borderId="3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5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70" xfId="56" applyFont="1" applyFill="1" applyBorder="1" applyAlignment="1" applyProtection="1">
      <alignment horizontal="center" vertical="center" wrapText="1"/>
      <protection/>
    </xf>
    <xf numFmtId="0" fontId="7" fillId="0" borderId="70" xfId="56" applyFont="1" applyFill="1" applyBorder="1" applyAlignment="1" applyProtection="1">
      <alignment vertical="center" wrapText="1"/>
      <protection/>
    </xf>
    <xf numFmtId="164" fontId="7" fillId="0" borderId="70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70" xfId="56" applyFont="1" applyFill="1" applyBorder="1" applyAlignment="1" applyProtection="1">
      <alignment horizontal="right" vertical="center" wrapText="1" indent="1"/>
      <protection locked="0"/>
    </xf>
    <xf numFmtId="164" fontId="1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0" fontId="33" fillId="0" borderId="13" xfId="0" applyFont="1" applyBorder="1" applyAlignment="1" applyProtection="1">
      <alignment horizontal="left" vertical="center" wrapText="1" indent="1"/>
      <protection/>
    </xf>
    <xf numFmtId="0" fontId="23" fillId="0" borderId="36" xfId="0" applyFont="1" applyBorder="1" applyAlignment="1" applyProtection="1">
      <alignment horizontal="left" vertical="center" wrapText="1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49" fontId="23" fillId="0" borderId="20" xfId="0" applyNumberFormat="1" applyFont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 quotePrefix="1">
      <alignment horizontal="left" vertical="center" wrapText="1" indent="6"/>
      <protection/>
    </xf>
    <xf numFmtId="0" fontId="22" fillId="0" borderId="36" xfId="0" applyFont="1" applyBorder="1" applyAlignment="1" applyProtection="1" quotePrefix="1">
      <alignment horizontal="left" vertical="center" wrapText="1" indent="6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14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7" fillId="0" borderId="25" xfId="0" applyFont="1" applyBorder="1" applyAlignment="1" applyProtection="1">
      <alignment horizontal="left" vertical="center" wrapText="1" indent="1"/>
      <protection/>
    </xf>
    <xf numFmtId="0" fontId="38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164" fontId="16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Border="1" applyAlignment="1">
      <alignment horizontal="justify" wrapText="1"/>
    </xf>
    <xf numFmtId="0" fontId="29" fillId="0" borderId="11" xfId="0" applyFont="1" applyBorder="1" applyAlignment="1">
      <alignment wrapText="1"/>
    </xf>
    <xf numFmtId="0" fontId="29" fillId="0" borderId="36" xfId="0" applyFont="1" applyBorder="1" applyAlignment="1">
      <alignment wrapText="1"/>
    </xf>
    <xf numFmtId="0" fontId="3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2" fillId="0" borderId="31" xfId="0" applyNumberFormat="1" applyFont="1" applyBorder="1" applyAlignment="1" applyProtection="1">
      <alignment horizontal="right" vertical="center" wrapText="1" indent="1"/>
      <protection/>
    </xf>
    <xf numFmtId="164" fontId="24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8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horizontal="right" vertical="center" wrapText="1" indent="1"/>
      <protection locked="0"/>
    </xf>
    <xf numFmtId="0" fontId="22" fillId="0" borderId="11" xfId="0" applyFont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/>
    </xf>
    <xf numFmtId="0" fontId="21" fillId="0" borderId="25" xfId="0" applyFont="1" applyBorder="1" applyAlignment="1" applyProtection="1" quotePrefix="1">
      <alignment horizontal="right" vertical="center" wrapText="1" indent="1"/>
      <protection locked="0"/>
    </xf>
    <xf numFmtId="0" fontId="8" fillId="0" borderId="54" xfId="56" applyFont="1" applyFill="1" applyBorder="1" applyAlignment="1" applyProtection="1">
      <alignment horizontal="center" vertical="center" wrapText="1"/>
      <protection/>
    </xf>
    <xf numFmtId="164" fontId="22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left" vertical="center" wrapText="1" indent="1"/>
      <protection/>
    </xf>
    <xf numFmtId="0" fontId="22" fillId="0" borderId="11" xfId="0" applyFont="1" applyFill="1" applyBorder="1" applyAlignment="1" applyProtection="1">
      <alignment horizontal="left" vertical="center" wrapText="1" indent="1"/>
      <protection/>
    </xf>
    <xf numFmtId="0" fontId="33" fillId="0" borderId="11" xfId="0" applyFont="1" applyFill="1" applyBorder="1" applyAlignment="1" applyProtection="1">
      <alignment horizontal="left" vertical="center" wrapText="1" indent="1"/>
      <protection/>
    </xf>
    <xf numFmtId="0" fontId="22" fillId="0" borderId="36" xfId="0" applyFont="1" applyFill="1" applyBorder="1" applyAlignment="1" applyProtection="1">
      <alignment horizontal="left" vertical="center" wrapText="1" indent="1"/>
      <protection/>
    </xf>
    <xf numFmtId="0" fontId="33" fillId="0" borderId="25" xfId="0" applyFont="1" applyFill="1" applyBorder="1" applyAlignment="1" applyProtection="1">
      <alignment horizontal="left" vertical="center" wrapText="1" indent="1"/>
      <protection/>
    </xf>
    <xf numFmtId="0" fontId="22" fillId="0" borderId="13" xfId="0" applyFont="1" applyFill="1" applyBorder="1" applyAlignment="1" applyProtection="1">
      <alignment horizontal="left" vertical="center" wrapText="1" indent="1"/>
      <protection/>
    </xf>
    <xf numFmtId="0" fontId="22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8" fillId="35" borderId="11" xfId="56" applyFont="1" applyFill="1" applyBorder="1" applyAlignment="1" applyProtection="1">
      <alignment horizontal="left" vertical="center" wrapText="1" indent="1"/>
      <protection/>
    </xf>
    <xf numFmtId="164" fontId="18" fillId="35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>
      <alignment vertical="center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 applyProtection="1">
      <alignment horizontal="left" vertical="center" wrapText="1" indent="1"/>
      <protection/>
    </xf>
    <xf numFmtId="164" fontId="18" fillId="35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35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>
      <alignment/>
    </xf>
    <xf numFmtId="0" fontId="29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10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10" fontId="29" fillId="0" borderId="0" xfId="0" applyNumberFormat="1" applyFont="1" applyFill="1" applyBorder="1" applyAlignment="1">
      <alignment/>
    </xf>
    <xf numFmtId="0" fontId="29" fillId="0" borderId="28" xfId="0" applyFont="1" applyFill="1" applyBorder="1" applyAlignment="1">
      <alignment horizontal="left"/>
    </xf>
    <xf numFmtId="3" fontId="29" fillId="0" borderId="15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10" fontId="22" fillId="0" borderId="11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10" fontId="23" fillId="0" borderId="11" xfId="0" applyNumberFormat="1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8" xfId="0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/>
    </xf>
    <xf numFmtId="3" fontId="37" fillId="36" borderId="11" xfId="0" applyNumberFormat="1" applyFont="1" applyFill="1" applyBorder="1" applyAlignment="1">
      <alignment/>
    </xf>
    <xf numFmtId="10" fontId="37" fillId="0" borderId="11" xfId="0" applyNumberFormat="1" applyFont="1" applyFill="1" applyBorder="1" applyAlignment="1">
      <alignment/>
    </xf>
    <xf numFmtId="10" fontId="22" fillId="0" borderId="28" xfId="0" applyNumberFormat="1" applyFont="1" applyFill="1" applyBorder="1" applyAlignment="1">
      <alignment/>
    </xf>
    <xf numFmtId="0" fontId="21" fillId="0" borderId="28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10" fontId="23" fillId="0" borderId="28" xfId="0" applyNumberFormat="1" applyFont="1" applyFill="1" applyBorder="1" applyAlignment="1">
      <alignment/>
    </xf>
    <xf numFmtId="10" fontId="21" fillId="0" borderId="0" xfId="0" applyNumberFormat="1" applyFont="1" applyFill="1" applyAlignment="1">
      <alignment/>
    </xf>
    <xf numFmtId="3" fontId="37" fillId="0" borderId="15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36" fillId="37" borderId="73" xfId="0" applyNumberFormat="1" applyFont="1" applyFill="1" applyBorder="1" applyAlignment="1">
      <alignment/>
    </xf>
    <xf numFmtId="10" fontId="36" fillId="37" borderId="73" xfId="0" applyNumberFormat="1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93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9" fillId="0" borderId="28" xfId="0" applyFont="1" applyFill="1" applyBorder="1" applyAlignment="1">
      <alignment horizontal="left" wrapText="1"/>
    </xf>
    <xf numFmtId="3" fontId="29" fillId="0" borderId="15" xfId="0" applyNumberFormat="1" applyFont="1" applyFill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10" fontId="22" fillId="0" borderId="28" xfId="0" applyNumberFormat="1" applyFont="1" applyFill="1" applyBorder="1" applyAlignment="1">
      <alignment vertical="center"/>
    </xf>
    <xf numFmtId="0" fontId="29" fillId="0" borderId="28" xfId="0" applyFont="1" applyFill="1" applyBorder="1" applyAlignment="1">
      <alignment wrapText="1"/>
    </xf>
    <xf numFmtId="0" fontId="21" fillId="0" borderId="28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10" fontId="22" fillId="0" borderId="11" xfId="0" applyNumberFormat="1" applyFont="1" applyFill="1" applyBorder="1" applyAlignment="1">
      <alignment vertical="center"/>
    </xf>
    <xf numFmtId="10" fontId="94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0" fontId="21" fillId="0" borderId="56" xfId="0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10" fontId="23" fillId="0" borderId="56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37" xfId="0" applyFont="1" applyFill="1" applyBorder="1" applyAlignment="1">
      <alignment horizontal="left"/>
    </xf>
    <xf numFmtId="3" fontId="21" fillId="0" borderId="74" xfId="0" applyNumberFormat="1" applyFont="1" applyFill="1" applyBorder="1" applyAlignment="1">
      <alignment/>
    </xf>
    <xf numFmtId="0" fontId="29" fillId="0" borderId="16" xfId="0" applyFont="1" applyFill="1" applyBorder="1" applyAlignment="1">
      <alignment/>
    </xf>
    <xf numFmtId="10" fontId="22" fillId="0" borderId="37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10" fontId="22" fillId="0" borderId="16" xfId="0" applyNumberFormat="1" applyFont="1" applyFill="1" applyBorder="1" applyAlignment="1">
      <alignment/>
    </xf>
    <xf numFmtId="0" fontId="29" fillId="0" borderId="70" xfId="0" applyFont="1" applyFill="1" applyBorder="1" applyAlignment="1">
      <alignment/>
    </xf>
    <xf numFmtId="10" fontId="22" fillId="0" borderId="70" xfId="0" applyNumberFormat="1" applyFont="1" applyFill="1" applyBorder="1" applyAlignment="1">
      <alignment/>
    </xf>
    <xf numFmtId="0" fontId="29" fillId="0" borderId="28" xfId="0" applyFont="1" applyFill="1" applyBorder="1" applyAlignment="1">
      <alignment horizontal="left" indent="5"/>
    </xf>
    <xf numFmtId="0" fontId="29" fillId="0" borderId="46" xfId="0" applyFont="1" applyFill="1" applyBorder="1" applyAlignment="1">
      <alignment horizontal="left" indent="6"/>
    </xf>
    <xf numFmtId="0" fontId="29" fillId="0" borderId="46" xfId="0" applyFont="1" applyFill="1" applyBorder="1" applyAlignment="1">
      <alignment/>
    </xf>
    <xf numFmtId="10" fontId="22" fillId="0" borderId="46" xfId="0" applyNumberFormat="1" applyFont="1" applyFill="1" applyBorder="1" applyAlignment="1">
      <alignment/>
    </xf>
    <xf numFmtId="0" fontId="21" fillId="0" borderId="56" xfId="0" applyFont="1" applyFill="1" applyBorder="1" applyAlignment="1">
      <alignment horizontal="left"/>
    </xf>
    <xf numFmtId="10" fontId="23" fillId="0" borderId="56" xfId="0" applyNumberFormat="1" applyFont="1" applyFill="1" applyBorder="1" applyAlignment="1">
      <alignment horizontal="right"/>
    </xf>
    <xf numFmtId="10" fontId="23" fillId="0" borderId="70" xfId="0" applyNumberFormat="1" applyFont="1" applyFill="1" applyBorder="1" applyAlignment="1">
      <alignment/>
    </xf>
    <xf numFmtId="3" fontId="29" fillId="0" borderId="7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37" fillId="0" borderId="75" xfId="0" applyFont="1" applyFill="1" applyBorder="1" applyAlignment="1">
      <alignment horizontal="right" vertical="center" wrapText="1"/>
    </xf>
    <xf numFmtId="0" fontId="37" fillId="0" borderId="7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44" xfId="0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right" vertical="center" wrapText="1"/>
    </xf>
    <xf numFmtId="0" fontId="37" fillId="0" borderId="46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5" borderId="75" xfId="0" applyFont="1" applyFill="1" applyBorder="1" applyAlignment="1">
      <alignment horizontal="right" vertical="center" wrapText="1"/>
    </xf>
    <xf numFmtId="0" fontId="43" fillId="5" borderId="79" xfId="0" applyFont="1" applyFill="1" applyBorder="1" applyAlignment="1">
      <alignment vertical="center" wrapText="1"/>
    </xf>
    <xf numFmtId="0" fontId="37" fillId="5" borderId="80" xfId="0" applyFont="1" applyFill="1" applyBorder="1" applyAlignment="1">
      <alignment horizontal="center" vertical="center"/>
    </xf>
    <xf numFmtId="0" fontId="37" fillId="5" borderId="81" xfId="0" applyFont="1" applyFill="1" applyBorder="1" applyAlignment="1">
      <alignment horizontal="center" vertical="center"/>
    </xf>
    <xf numFmtId="0" fontId="37" fillId="5" borderId="68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vertical="center" wrapText="1"/>
    </xf>
    <xf numFmtId="3" fontId="37" fillId="0" borderId="11" xfId="0" applyNumberFormat="1" applyFont="1" applyFill="1" applyBorder="1" applyAlignment="1">
      <alignment vertical="center"/>
    </xf>
    <xf numFmtId="10" fontId="37" fillId="0" borderId="28" xfId="0" applyNumberFormat="1" applyFont="1" applyFill="1" applyBorder="1" applyAlignment="1">
      <alignment vertical="center"/>
    </xf>
    <xf numFmtId="3" fontId="37" fillId="0" borderId="18" xfId="0" applyNumberFormat="1" applyFont="1" applyFill="1" applyBorder="1" applyAlignment="1">
      <alignment vertical="center"/>
    </xf>
    <xf numFmtId="3" fontId="34" fillId="0" borderId="15" xfId="0" applyNumberFormat="1" applyFont="1" applyFill="1" applyBorder="1" applyAlignment="1">
      <alignment vertical="center"/>
    </xf>
    <xf numFmtId="3" fontId="34" fillId="0" borderId="11" xfId="0" applyNumberFormat="1" applyFont="1" applyFill="1" applyBorder="1" applyAlignment="1">
      <alignment vertical="center"/>
    </xf>
    <xf numFmtId="10" fontId="34" fillId="0" borderId="28" xfId="0" applyNumberFormat="1" applyFont="1" applyFill="1" applyBorder="1" applyAlignment="1">
      <alignment vertical="center"/>
    </xf>
    <xf numFmtId="0" fontId="34" fillId="5" borderId="44" xfId="0" applyFont="1" applyFill="1" applyBorder="1" applyAlignment="1">
      <alignment horizontal="right" vertical="center"/>
    </xf>
    <xf numFmtId="0" fontId="43" fillId="5" borderId="67" xfId="0" applyFont="1" applyFill="1" applyBorder="1" applyAlignment="1">
      <alignment vertical="center" wrapText="1"/>
    </xf>
    <xf numFmtId="3" fontId="37" fillId="5" borderId="64" xfId="0" applyNumberFormat="1" applyFont="1" applyFill="1" applyBorder="1" applyAlignment="1">
      <alignment vertical="center"/>
    </xf>
    <xf numFmtId="3" fontId="37" fillId="5" borderId="0" xfId="0" applyNumberFormat="1" applyFont="1" applyFill="1" applyBorder="1" applyAlignment="1">
      <alignment vertical="center"/>
    </xf>
    <xf numFmtId="3" fontId="37" fillId="5" borderId="59" xfId="0" applyNumberFormat="1" applyFont="1" applyFill="1" applyBorder="1" applyAlignment="1">
      <alignment vertical="center"/>
    </xf>
    <xf numFmtId="3" fontId="37" fillId="5" borderId="82" xfId="0" applyNumberFormat="1" applyFont="1" applyFill="1" applyBorder="1" applyAlignment="1">
      <alignment vertical="center"/>
    </xf>
    <xf numFmtId="3" fontId="37" fillId="5" borderId="73" xfId="0" applyNumberFormat="1" applyFont="1" applyFill="1" applyBorder="1" applyAlignment="1">
      <alignment vertical="center"/>
    </xf>
    <xf numFmtId="3" fontId="37" fillId="5" borderId="65" xfId="0" applyNumberFormat="1" applyFont="1" applyFill="1" applyBorder="1" applyAlignment="1">
      <alignment vertical="center"/>
    </xf>
    <xf numFmtId="3" fontId="37" fillId="5" borderId="6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67" xfId="0" applyFont="1" applyFill="1" applyBorder="1" applyAlignment="1">
      <alignment vertical="center" wrapText="1"/>
    </xf>
    <xf numFmtId="0" fontId="37" fillId="36" borderId="33" xfId="0" applyFont="1" applyFill="1" applyBorder="1" applyAlignment="1">
      <alignment vertical="center" wrapText="1"/>
    </xf>
    <xf numFmtId="0" fontId="43" fillId="5" borderId="33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3" fontId="37" fillId="5" borderId="15" xfId="0" applyNumberFormat="1" applyFont="1" applyFill="1" applyBorder="1" applyAlignment="1">
      <alignment vertical="center"/>
    </xf>
    <xf numFmtId="0" fontId="34" fillId="0" borderId="44" xfId="0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wrapText="1"/>
    </xf>
    <xf numFmtId="0" fontId="37" fillId="0" borderId="33" xfId="0" applyFont="1" applyFill="1" applyBorder="1" applyAlignment="1">
      <alignment/>
    </xf>
    <xf numFmtId="0" fontId="37" fillId="0" borderId="33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67" xfId="0" applyFont="1" applyFill="1" applyBorder="1" applyAlignment="1">
      <alignment vertical="center"/>
    </xf>
    <xf numFmtId="3" fontId="37" fillId="0" borderId="45" xfId="0" applyNumberFormat="1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vertical="center"/>
    </xf>
    <xf numFmtId="0" fontId="37" fillId="0" borderId="34" xfId="0" applyFont="1" applyFill="1" applyBorder="1" applyAlignment="1">
      <alignment vertical="center" wrapText="1"/>
    </xf>
    <xf numFmtId="0" fontId="37" fillId="0" borderId="83" xfId="0" applyFont="1" applyFill="1" applyBorder="1" applyAlignment="1">
      <alignment vertical="center" wrapText="1"/>
    </xf>
    <xf numFmtId="0" fontId="34" fillId="37" borderId="32" xfId="0" applyFont="1" applyFill="1" applyBorder="1" applyAlignment="1">
      <alignment vertical="center" wrapText="1"/>
    </xf>
    <xf numFmtId="3" fontId="34" fillId="37" borderId="24" xfId="0" applyNumberFormat="1" applyFont="1" applyFill="1" applyBorder="1" applyAlignment="1">
      <alignment vertical="center"/>
    </xf>
    <xf numFmtId="3" fontId="34" fillId="37" borderId="54" xfId="0" applyNumberFormat="1" applyFont="1" applyFill="1" applyBorder="1" applyAlignment="1">
      <alignment vertical="center"/>
    </xf>
    <xf numFmtId="10" fontId="34" fillId="37" borderId="31" xfId="0" applyNumberFormat="1" applyFont="1" applyFill="1" applyBorder="1" applyAlignment="1">
      <alignment vertical="center"/>
    </xf>
    <xf numFmtId="3" fontId="34" fillId="37" borderId="56" xfId="0" applyNumberFormat="1" applyFont="1" applyFill="1" applyBorder="1" applyAlignment="1">
      <alignment vertical="center"/>
    </xf>
    <xf numFmtId="3" fontId="34" fillId="37" borderId="25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7" fillId="0" borderId="84" xfId="0" applyFont="1" applyFill="1" applyBorder="1" applyAlignment="1">
      <alignment vertical="center" wrapText="1"/>
    </xf>
    <xf numFmtId="0" fontId="37" fillId="0" borderId="85" xfId="0" applyFont="1" applyFill="1" applyBorder="1" applyAlignment="1">
      <alignment vertical="center"/>
    </xf>
    <xf numFmtId="0" fontId="37" fillId="0" borderId="86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7" fillId="0" borderId="75" xfId="0" applyFont="1" applyFill="1" applyBorder="1" applyAlignment="1">
      <alignment vertical="center"/>
    </xf>
    <xf numFmtId="3" fontId="37" fillId="0" borderId="85" xfId="0" applyNumberFormat="1" applyFont="1" applyFill="1" applyBorder="1" applyAlignment="1">
      <alignment vertical="center"/>
    </xf>
    <xf numFmtId="10" fontId="34" fillId="0" borderId="86" xfId="0" applyNumberFormat="1" applyFont="1" applyFill="1" applyBorder="1" applyAlignment="1">
      <alignment vertical="center"/>
    </xf>
    <xf numFmtId="0" fontId="37" fillId="0" borderId="27" xfId="0" applyFont="1" applyFill="1" applyBorder="1" applyAlignment="1">
      <alignment vertical="center"/>
    </xf>
    <xf numFmtId="3" fontId="34" fillId="0" borderId="27" xfId="0" applyNumberFormat="1" applyFont="1" applyFill="1" applyBorder="1" applyAlignment="1">
      <alignment vertical="center"/>
    </xf>
    <xf numFmtId="10" fontId="34" fillId="0" borderId="30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66" xfId="0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65" xfId="0" applyFont="1" applyFill="1" applyBorder="1" applyAlignment="1">
      <alignment vertical="center"/>
    </xf>
    <xf numFmtId="10" fontId="34" fillId="0" borderId="66" xfId="0" applyNumberFormat="1" applyFont="1" applyFill="1" applyBorder="1" applyAlignment="1">
      <alignment vertical="center"/>
    </xf>
    <xf numFmtId="0" fontId="37" fillId="0" borderId="87" xfId="0" applyFont="1" applyFill="1" applyBorder="1" applyAlignment="1">
      <alignment vertical="center" wrapText="1"/>
    </xf>
    <xf numFmtId="0" fontId="37" fillId="0" borderId="76" xfId="0" applyFont="1" applyFill="1" applyBorder="1" applyAlignment="1">
      <alignment vertical="center"/>
    </xf>
    <xf numFmtId="0" fontId="37" fillId="0" borderId="71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7" fillId="0" borderId="7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0" fontId="37" fillId="0" borderId="88" xfId="0" applyFont="1" applyFill="1" applyBorder="1" applyAlignment="1">
      <alignment vertical="center"/>
    </xf>
    <xf numFmtId="3" fontId="37" fillId="0" borderId="78" xfId="0" applyNumberFormat="1" applyFont="1" applyFill="1" applyBorder="1" applyAlignment="1">
      <alignment vertical="center"/>
    </xf>
    <xf numFmtId="3" fontId="37" fillId="0" borderId="12" xfId="0" applyNumberFormat="1" applyFont="1" applyFill="1" applyBorder="1" applyAlignment="1">
      <alignment vertical="center"/>
    </xf>
    <xf numFmtId="10" fontId="34" fillId="0" borderId="88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37" fillId="0" borderId="13" xfId="0" applyNumberFormat="1" applyFont="1" applyFill="1" applyBorder="1" applyAlignment="1">
      <alignment vertical="center"/>
    </xf>
    <xf numFmtId="10" fontId="37" fillId="0" borderId="89" xfId="0" applyNumberFormat="1" applyFont="1" applyFill="1" applyBorder="1" applyAlignment="1">
      <alignment vertical="center"/>
    </xf>
    <xf numFmtId="3" fontId="37" fillId="0" borderId="22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10" fontId="37" fillId="0" borderId="30" xfId="0" applyNumberFormat="1" applyFont="1" applyFill="1" applyBorder="1" applyAlignment="1">
      <alignment vertical="center"/>
    </xf>
    <xf numFmtId="10" fontId="37" fillId="0" borderId="66" xfId="0" applyNumberFormat="1" applyFont="1" applyFill="1" applyBorder="1" applyAlignment="1">
      <alignment vertical="center"/>
    </xf>
    <xf numFmtId="3" fontId="37" fillId="0" borderId="20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0" fontId="37" fillId="0" borderId="89" xfId="0" applyFont="1" applyFill="1" applyBorder="1" applyAlignment="1">
      <alignment vertical="center"/>
    </xf>
    <xf numFmtId="0" fontId="37" fillId="0" borderId="49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4" fillId="38" borderId="32" xfId="0" applyFont="1" applyFill="1" applyBorder="1" applyAlignment="1">
      <alignment vertical="center" wrapText="1"/>
    </xf>
    <xf numFmtId="3" fontId="34" fillId="38" borderId="24" xfId="0" applyNumberFormat="1" applyFont="1" applyFill="1" applyBorder="1" applyAlignment="1">
      <alignment vertical="center"/>
    </xf>
    <xf numFmtId="3" fontId="34" fillId="38" borderId="54" xfId="0" applyNumberFormat="1" applyFont="1" applyFill="1" applyBorder="1" applyAlignment="1">
      <alignment vertical="center"/>
    </xf>
    <xf numFmtId="10" fontId="34" fillId="38" borderId="31" xfId="0" applyNumberFormat="1" applyFont="1" applyFill="1" applyBorder="1" applyAlignment="1">
      <alignment vertical="center"/>
    </xf>
    <xf numFmtId="0" fontId="37" fillId="0" borderId="32" xfId="0" applyFont="1" applyFill="1" applyBorder="1" applyAlignment="1">
      <alignment vertical="center" wrapText="1"/>
    </xf>
    <xf numFmtId="3" fontId="37" fillId="0" borderId="17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10" fontId="37" fillId="0" borderId="6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39" borderId="32" xfId="0" applyFont="1" applyFill="1" applyBorder="1" applyAlignment="1">
      <alignment vertical="center" wrapText="1"/>
    </xf>
    <xf numFmtId="3" fontId="34" fillId="39" borderId="24" xfId="0" applyNumberFormat="1" applyFont="1" applyFill="1" applyBorder="1" applyAlignment="1">
      <alignment vertical="center"/>
    </xf>
    <xf numFmtId="3" fontId="34" fillId="39" borderId="54" xfId="0" applyNumberFormat="1" applyFont="1" applyFill="1" applyBorder="1" applyAlignment="1">
      <alignment vertical="center"/>
    </xf>
    <xf numFmtId="10" fontId="34" fillId="39" borderId="31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6" fillId="37" borderId="73" xfId="0" applyFont="1" applyFill="1" applyBorder="1" applyAlignment="1">
      <alignment horizontal="left"/>
    </xf>
    <xf numFmtId="3" fontId="21" fillId="15" borderId="11" xfId="0" applyNumberFormat="1" applyFont="1" applyFill="1" applyBorder="1" applyAlignment="1">
      <alignment/>
    </xf>
    <xf numFmtId="3" fontId="21" fillId="15" borderId="15" xfId="0" applyNumberFormat="1" applyFont="1" applyFill="1" applyBorder="1" applyAlignment="1">
      <alignment/>
    </xf>
    <xf numFmtId="16" fontId="21" fillId="0" borderId="0" xfId="0" applyNumberFormat="1" applyFont="1" applyFill="1" applyAlignment="1">
      <alignment/>
    </xf>
    <xf numFmtId="3" fontId="29" fillId="15" borderId="11" xfId="0" applyNumberFormat="1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9" fillId="0" borderId="73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1" fillId="0" borderId="73" xfId="0" applyNumberFormat="1" applyFont="1" applyFill="1" applyBorder="1" applyAlignment="1">
      <alignment/>
    </xf>
    <xf numFmtId="3" fontId="23" fillId="0" borderId="59" xfId="0" applyNumberFormat="1" applyFont="1" applyFill="1" applyBorder="1" applyAlignment="1">
      <alignment/>
    </xf>
    <xf numFmtId="0" fontId="29" fillId="0" borderId="28" xfId="0" applyFont="1" applyFill="1" applyBorder="1" applyAlignment="1">
      <alignment horizontal="left" indent="4"/>
    </xf>
    <xf numFmtId="3" fontId="23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95" fillId="0" borderId="11" xfId="0" applyNumberFormat="1" applyFont="1" applyFill="1" applyBorder="1" applyAlignment="1">
      <alignment/>
    </xf>
    <xf numFmtId="0" fontId="94" fillId="0" borderId="28" xfId="0" applyFont="1" applyFill="1" applyBorder="1" applyAlignment="1">
      <alignment horizontal="left"/>
    </xf>
    <xf numFmtId="3" fontId="94" fillId="0" borderId="11" xfId="0" applyNumberFormat="1" applyFont="1" applyFill="1" applyBorder="1" applyAlignment="1">
      <alignment/>
    </xf>
    <xf numFmtId="10" fontId="23" fillId="0" borderId="0" xfId="0" applyNumberFormat="1" applyFont="1" applyFill="1" applyAlignment="1">
      <alignment/>
    </xf>
    <xf numFmtId="3" fontId="21" fillId="0" borderId="46" xfId="0" applyNumberFormat="1" applyFont="1" applyFill="1" applyBorder="1" applyAlignment="1">
      <alignment/>
    </xf>
    <xf numFmtId="0" fontId="34" fillId="0" borderId="7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/>
    </xf>
    <xf numFmtId="3" fontId="34" fillId="37" borderId="26" xfId="0" applyNumberFormat="1" applyFont="1" applyFill="1" applyBorder="1" applyAlignment="1">
      <alignment vertical="center"/>
    </xf>
    <xf numFmtId="0" fontId="34" fillId="0" borderId="84" xfId="0" applyFont="1" applyFill="1" applyBorder="1" applyAlignment="1">
      <alignment vertical="center" wrapText="1"/>
    </xf>
    <xf numFmtId="3" fontId="34" fillId="0" borderId="26" xfId="0" applyNumberFormat="1" applyFont="1" applyFill="1" applyBorder="1" applyAlignment="1">
      <alignment vertical="center"/>
    </xf>
    <xf numFmtId="3" fontId="34" fillId="0" borderId="85" xfId="0" applyNumberFormat="1" applyFont="1" applyFill="1" applyBorder="1" applyAlignment="1">
      <alignment vertical="center"/>
    </xf>
    <xf numFmtId="10" fontId="34" fillId="0" borderId="39" xfId="0" applyNumberFormat="1" applyFont="1" applyFill="1" applyBorder="1" applyAlignment="1">
      <alignment vertical="center"/>
    </xf>
    <xf numFmtId="3" fontId="34" fillId="0" borderId="17" xfId="0" applyNumberFormat="1" applyFont="1" applyFill="1" applyBorder="1" applyAlignment="1">
      <alignment vertical="center"/>
    </xf>
    <xf numFmtId="3" fontId="34" fillId="0" borderId="76" xfId="0" applyNumberFormat="1" applyFont="1" applyFill="1" applyBorder="1" applyAlignment="1">
      <alignment vertical="center"/>
    </xf>
    <xf numFmtId="10" fontId="34" fillId="0" borderId="38" xfId="0" applyNumberFormat="1" applyFont="1" applyFill="1" applyBorder="1" applyAlignment="1">
      <alignment vertical="center"/>
    </xf>
    <xf numFmtId="3" fontId="34" fillId="0" borderId="70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3" fontId="37" fillId="0" borderId="24" xfId="0" applyNumberFormat="1" applyFont="1" applyFill="1" applyBorder="1" applyAlignment="1">
      <alignment vertical="center"/>
    </xf>
    <xf numFmtId="10" fontId="34" fillId="0" borderId="48" xfId="0" applyNumberFormat="1" applyFont="1" applyFill="1" applyBorder="1" applyAlignment="1">
      <alignment vertical="center"/>
    </xf>
    <xf numFmtId="3" fontId="34" fillId="0" borderId="46" xfId="0" applyNumberFormat="1" applyFont="1" applyFill="1" applyBorder="1" applyAlignment="1">
      <alignment vertical="center"/>
    </xf>
    <xf numFmtId="0" fontId="34" fillId="0" borderId="77" xfId="0" applyFont="1" applyFill="1" applyBorder="1" applyAlignment="1">
      <alignment horizontal="right" vertical="center"/>
    </xf>
    <xf numFmtId="166" fontId="18" fillId="0" borderId="59" xfId="4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0" xfId="0" applyFont="1" applyBorder="1" applyAlignment="1">
      <alignment/>
    </xf>
    <xf numFmtId="0" fontId="19" fillId="0" borderId="46" xfId="0" applyFont="1" applyFill="1" applyBorder="1" applyAlignment="1" applyProtection="1">
      <alignment horizontal="right"/>
      <protection/>
    </xf>
    <xf numFmtId="0" fontId="35" fillId="0" borderId="55" xfId="0" applyFont="1" applyBorder="1" applyAlignment="1">
      <alignment/>
    </xf>
    <xf numFmtId="0" fontId="35" fillId="0" borderId="47" xfId="0" applyFont="1" applyBorder="1" applyAlignment="1">
      <alignment/>
    </xf>
    <xf numFmtId="0" fontId="35" fillId="0" borderId="32" xfId="0" applyFont="1" applyBorder="1" applyAlignment="1">
      <alignment horizontal="right"/>
    </xf>
    <xf numFmtId="0" fontId="39" fillId="0" borderId="67" xfId="0" applyFont="1" applyBorder="1" applyAlignment="1">
      <alignment/>
    </xf>
    <xf numFmtId="0" fontId="39" fillId="0" borderId="33" xfId="0" applyFont="1" applyBorder="1" applyAlignment="1">
      <alignment/>
    </xf>
    <xf numFmtId="3" fontId="35" fillId="0" borderId="90" xfId="0" applyNumberFormat="1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68" xfId="0" applyFont="1" applyBorder="1" applyAlignment="1">
      <alignment horizontal="right"/>
    </xf>
    <xf numFmtId="3" fontId="39" fillId="0" borderId="59" xfId="0" applyNumberFormat="1" applyFont="1" applyBorder="1" applyAlignment="1">
      <alignment/>
    </xf>
    <xf numFmtId="0" fontId="39" fillId="0" borderId="59" xfId="0" applyFont="1" applyBorder="1" applyAlignment="1">
      <alignment/>
    </xf>
    <xf numFmtId="0" fontId="40" fillId="0" borderId="0" xfId="0" applyFont="1" applyAlignment="1">
      <alignment/>
    </xf>
    <xf numFmtId="0" fontId="39" fillId="0" borderId="32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32" xfId="0" applyFont="1" applyBorder="1" applyAlignment="1">
      <alignment/>
    </xf>
    <xf numFmtId="0" fontId="39" fillId="0" borderId="45" xfId="0" applyFont="1" applyBorder="1" applyAlignment="1">
      <alignment horizontal="right"/>
    </xf>
    <xf numFmtId="0" fontId="39" fillId="0" borderId="35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3" fontId="39" fillId="0" borderId="28" xfId="0" applyNumberFormat="1" applyFont="1" applyBorder="1" applyAlignment="1">
      <alignment horizontal="right"/>
    </xf>
    <xf numFmtId="0" fontId="39" fillId="0" borderId="28" xfId="0" applyFont="1" applyBorder="1" applyAlignment="1">
      <alignment horizontal="right"/>
    </xf>
    <xf numFmtId="0" fontId="35" fillId="0" borderId="83" xfId="0" applyFont="1" applyBorder="1" applyAlignment="1">
      <alignment/>
    </xf>
    <xf numFmtId="0" fontId="35" fillId="0" borderId="50" xfId="0" applyFont="1" applyBorder="1" applyAlignment="1">
      <alignment horizontal="right"/>
    </xf>
    <xf numFmtId="3" fontId="35" fillId="0" borderId="90" xfId="0" applyNumberFormat="1" applyFont="1" applyBorder="1" applyAlignment="1">
      <alignment horizontal="right"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 horizontal="right"/>
    </xf>
    <xf numFmtId="0" fontId="39" fillId="0" borderId="47" xfId="0" applyFont="1" applyBorder="1" applyAlignment="1">
      <alignment horizontal="right"/>
    </xf>
    <xf numFmtId="0" fontId="39" fillId="0" borderId="84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28" xfId="0" applyFont="1" applyBorder="1" applyAlignment="1">
      <alignment/>
    </xf>
    <xf numFmtId="0" fontId="4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1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167" fontId="46" fillId="0" borderId="11" xfId="0" applyNumberFormat="1" applyFont="1" applyBorder="1" applyAlignment="1">
      <alignment horizontal="center"/>
    </xf>
    <xf numFmtId="167" fontId="46" fillId="0" borderId="0" xfId="0" applyNumberFormat="1" applyFont="1" applyBorder="1" applyAlignment="1">
      <alignment/>
    </xf>
    <xf numFmtId="167" fontId="14" fillId="0" borderId="70" xfId="0" applyNumberFormat="1" applyFont="1" applyBorder="1" applyAlignment="1">
      <alignment horizontal="center"/>
    </xf>
    <xf numFmtId="167" fontId="46" fillId="0" borderId="7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167" fontId="4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7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right"/>
    </xf>
    <xf numFmtId="6" fontId="47" fillId="0" borderId="0" xfId="0" applyNumberFormat="1" applyFont="1" applyFill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3" fontId="35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5" fillId="38" borderId="11" xfId="0" applyFont="1" applyFill="1" applyBorder="1" applyAlignment="1">
      <alignment vertical="center" wrapText="1"/>
    </xf>
    <xf numFmtId="3" fontId="35" fillId="38" borderId="1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5" fillId="37" borderId="11" xfId="0" applyFont="1" applyFill="1" applyBorder="1" applyAlignment="1">
      <alignment/>
    </xf>
    <xf numFmtId="3" fontId="35" fillId="37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168" fontId="48" fillId="0" borderId="18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center" vertical="center"/>
    </xf>
    <xf numFmtId="3" fontId="49" fillId="0" borderId="28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168" fontId="22" fillId="0" borderId="18" xfId="0" applyNumberFormat="1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168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66" fontId="18" fillId="0" borderId="59" xfId="40" applyNumberFormat="1" applyFont="1" applyFill="1" applyBorder="1" applyAlignment="1" applyProtection="1">
      <alignment/>
      <protection locked="0"/>
    </xf>
    <xf numFmtId="16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8" fillId="0" borderId="18" xfId="0" applyNumberFormat="1" applyFont="1" applyFill="1" applyBorder="1" applyAlignment="1" applyProtection="1">
      <alignment horizontal="center" vertical="center" wrapText="1"/>
      <protection/>
    </xf>
    <xf numFmtId="3" fontId="39" fillId="40" borderId="14" xfId="0" applyNumberFormat="1" applyFont="1" applyFill="1" applyBorder="1" applyAlignment="1">
      <alignment horizontal="center" vertical="center"/>
    </xf>
    <xf numFmtId="3" fontId="39" fillId="3" borderId="30" xfId="0" applyNumberFormat="1" applyFont="1" applyFill="1" applyBorder="1" applyAlignment="1">
      <alignment vertical="center"/>
    </xf>
    <xf numFmtId="168" fontId="14" fillId="41" borderId="23" xfId="0" applyNumberFormat="1" applyFont="1" applyFill="1" applyBorder="1" applyAlignment="1">
      <alignment vertical="center"/>
    </xf>
    <xf numFmtId="0" fontId="14" fillId="41" borderId="36" xfId="0" applyFont="1" applyFill="1" applyBorder="1" applyAlignment="1">
      <alignment horizontal="center" vertical="center"/>
    </xf>
    <xf numFmtId="3" fontId="14" fillId="41" borderId="36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1" xfId="0" applyFont="1" applyFill="1" applyBorder="1" applyAlignment="1">
      <alignment wrapText="1"/>
    </xf>
    <xf numFmtId="3" fontId="22" fillId="0" borderId="28" xfId="0" applyNumberFormat="1" applyFont="1" applyBorder="1" applyAlignment="1" applyProtection="1">
      <alignment horizontal="right" vertical="center" wrapText="1" indent="1"/>
      <protection locked="0"/>
    </xf>
    <xf numFmtId="0" fontId="37" fillId="0" borderId="67" xfId="0" applyFont="1" applyFill="1" applyBorder="1" applyAlignment="1">
      <alignment/>
    </xf>
    <xf numFmtId="3" fontId="34" fillId="0" borderId="13" xfId="0" applyNumberFormat="1" applyFont="1" applyFill="1" applyBorder="1" applyAlignment="1">
      <alignment vertical="center"/>
    </xf>
    <xf numFmtId="10" fontId="37" fillId="0" borderId="68" xfId="0" applyNumberFormat="1" applyFont="1" applyFill="1" applyBorder="1" applyAlignment="1">
      <alignment vertical="center"/>
    </xf>
    <xf numFmtId="3" fontId="34" fillId="0" borderId="14" xfId="0" applyNumberFormat="1" applyFont="1" applyFill="1" applyBorder="1" applyAlignment="1">
      <alignment vertical="center"/>
    </xf>
    <xf numFmtId="0" fontId="4" fillId="0" borderId="55" xfId="0" applyFont="1" applyFill="1" applyBorder="1" applyAlignment="1" applyProtection="1">
      <alignment horizontal="left" vertical="center"/>
      <protection/>
    </xf>
    <xf numFmtId="0" fontId="46" fillId="0" borderId="11" xfId="0" applyFont="1" applyBorder="1" applyAlignment="1">
      <alignment wrapText="1"/>
    </xf>
    <xf numFmtId="167" fontId="46" fillId="0" borderId="11" xfId="0" applyNumberFormat="1" applyFont="1" applyBorder="1" applyAlignment="1">
      <alignment horizontal="center" vertical="center"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>
      <alignment wrapText="1"/>
    </xf>
    <xf numFmtId="3" fontId="29" fillId="0" borderId="28" xfId="0" applyNumberFormat="1" applyFont="1" applyFill="1" applyBorder="1" applyAlignment="1">
      <alignment horizontal="right"/>
    </xf>
    <xf numFmtId="3" fontId="29" fillId="0" borderId="28" xfId="0" applyNumberFormat="1" applyFont="1" applyFill="1" applyBorder="1" applyAlignment="1">
      <alignment/>
    </xf>
    <xf numFmtId="0" fontId="50" fillId="38" borderId="18" xfId="0" applyFont="1" applyFill="1" applyBorder="1" applyAlignment="1">
      <alignment horizontal="right" wrapText="1"/>
    </xf>
    <xf numFmtId="3" fontId="50" fillId="38" borderId="28" xfId="0" applyNumberFormat="1" applyFont="1" applyFill="1" applyBorder="1" applyAlignment="1">
      <alignment/>
    </xf>
    <xf numFmtId="0" fontId="29" fillId="0" borderId="18" xfId="0" applyFont="1" applyBorder="1" applyAlignment="1">
      <alignment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 wrapText="1"/>
    </xf>
    <xf numFmtId="164" fontId="4" fillId="37" borderId="24" xfId="0" applyNumberFormat="1" applyFont="1" applyFill="1" applyBorder="1" applyAlignment="1" applyProtection="1">
      <alignment horizontal="center" vertical="center" wrapText="1"/>
      <protection/>
    </xf>
    <xf numFmtId="164" fontId="4" fillId="37" borderId="31" xfId="0" applyNumberFormat="1" applyFont="1" applyFill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wrapText="1"/>
      <protection locked="0"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29" fillId="0" borderId="11" xfId="0" applyFont="1" applyBorder="1" applyAlignment="1">
      <alignment/>
    </xf>
    <xf numFmtId="3" fontId="29" fillId="0" borderId="11" xfId="0" applyNumberFormat="1" applyFont="1" applyFill="1" applyBorder="1" applyAlignment="1">
      <alignment horizontal="right"/>
    </xf>
    <xf numFmtId="10" fontId="29" fillId="0" borderId="11" xfId="0" applyNumberFormat="1" applyFont="1" applyFill="1" applyBorder="1" applyAlignment="1">
      <alignment/>
    </xf>
    <xf numFmtId="0" fontId="21" fillId="37" borderId="70" xfId="0" applyFont="1" applyFill="1" applyBorder="1" applyAlignment="1">
      <alignment/>
    </xf>
    <xf numFmtId="0" fontId="21" fillId="37" borderId="70" xfId="0" applyFont="1" applyFill="1" applyBorder="1" applyAlignment="1">
      <alignment wrapText="1"/>
    </xf>
    <xf numFmtId="3" fontId="21" fillId="37" borderId="70" xfId="0" applyNumberFormat="1" applyFont="1" applyFill="1" applyBorder="1" applyAlignment="1">
      <alignment horizontal="right"/>
    </xf>
    <xf numFmtId="10" fontId="29" fillId="37" borderId="70" xfId="0" applyNumberFormat="1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10" fontId="29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94" fillId="0" borderId="0" xfId="0" applyFont="1" applyBorder="1" applyAlignment="1">
      <alignment/>
    </xf>
    <xf numFmtId="0" fontId="95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horizontal="left"/>
    </xf>
    <xf numFmtId="10" fontId="29" fillId="0" borderId="82" xfId="0" applyNumberFormat="1" applyFont="1" applyFill="1" applyBorder="1" applyAlignment="1">
      <alignment/>
    </xf>
    <xf numFmtId="0" fontId="2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37" borderId="73" xfId="0" applyFont="1" applyFill="1" applyBorder="1" applyAlignment="1">
      <alignment/>
    </xf>
    <xf numFmtId="0" fontId="21" fillId="37" borderId="73" xfId="0" applyFont="1" applyFill="1" applyBorder="1" applyAlignment="1">
      <alignment wrapText="1"/>
    </xf>
    <xf numFmtId="3" fontId="21" fillId="37" borderId="73" xfId="0" applyNumberFormat="1" applyFont="1" applyFill="1" applyBorder="1" applyAlignment="1">
      <alignment/>
    </xf>
    <xf numFmtId="10" fontId="29" fillId="37" borderId="73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 horizontal="center" vertical="center" wrapText="1"/>
    </xf>
    <xf numFmtId="10" fontId="29" fillId="37" borderId="52" xfId="0" applyNumberFormat="1" applyFont="1" applyFill="1" applyBorder="1" applyAlignment="1">
      <alignment/>
    </xf>
    <xf numFmtId="0" fontId="29" fillId="0" borderId="91" xfId="0" applyFont="1" applyFill="1" applyBorder="1" applyAlignment="1">
      <alignment/>
    </xf>
    <xf numFmtId="3" fontId="29" fillId="0" borderId="91" xfId="0" applyNumberFormat="1" applyFont="1" applyFill="1" applyBorder="1" applyAlignment="1">
      <alignment horizontal="right"/>
    </xf>
    <xf numFmtId="10" fontId="29" fillId="0" borderId="52" xfId="0" applyNumberFormat="1" applyFont="1" applyFill="1" applyBorder="1" applyAlignment="1">
      <alignment/>
    </xf>
    <xf numFmtId="0" fontId="21" fillId="39" borderId="56" xfId="0" applyFont="1" applyFill="1" applyBorder="1" applyAlignment="1">
      <alignment/>
    </xf>
    <xf numFmtId="0" fontId="21" fillId="39" borderId="56" xfId="0" applyFont="1" applyFill="1" applyBorder="1" applyAlignment="1">
      <alignment wrapText="1"/>
    </xf>
    <xf numFmtId="3" fontId="21" fillId="39" borderId="46" xfId="0" applyNumberFormat="1" applyFont="1" applyFill="1" applyBorder="1" applyAlignment="1">
      <alignment/>
    </xf>
    <xf numFmtId="3" fontId="21" fillId="39" borderId="56" xfId="0" applyNumberFormat="1" applyFont="1" applyFill="1" applyBorder="1" applyAlignment="1">
      <alignment/>
    </xf>
    <xf numFmtId="10" fontId="21" fillId="39" borderId="56" xfId="0" applyNumberFormat="1" applyFont="1" applyFill="1" applyBorder="1" applyAlignment="1">
      <alignment/>
    </xf>
    <xf numFmtId="0" fontId="29" fillId="0" borderId="70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right"/>
    </xf>
    <xf numFmtId="0" fontId="21" fillId="0" borderId="0" xfId="0" applyFont="1" applyBorder="1" applyAlignment="1">
      <alignment wrapText="1"/>
    </xf>
    <xf numFmtId="10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wrapText="1"/>
    </xf>
    <xf numFmtId="0" fontId="39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31" xfId="0" applyNumberFormat="1" applyFont="1" applyFill="1" applyBorder="1" applyAlignment="1" applyProtection="1">
      <alignment vertical="center"/>
      <protection/>
    </xf>
    <xf numFmtId="166" fontId="0" fillId="0" borderId="0" xfId="40" applyNumberFormat="1" applyFont="1" applyFill="1" applyAlignment="1" applyProtection="1">
      <alignment/>
      <protection locked="0"/>
    </xf>
    <xf numFmtId="166" fontId="0" fillId="0" borderId="0" xfId="40" applyNumberFormat="1" applyFont="1" applyFill="1" applyAlignment="1" applyProtection="1">
      <alignment/>
      <protection/>
    </xf>
    <xf numFmtId="166" fontId="0" fillId="0" borderId="0" xfId="40" applyNumberFormat="1" applyFont="1" applyFill="1" applyAlignment="1" applyProtection="1">
      <alignment vertical="center"/>
      <protection/>
    </xf>
    <xf numFmtId="166" fontId="0" fillId="0" borderId="0" xfId="40" applyNumberFormat="1" applyFont="1" applyFill="1" applyAlignment="1" applyProtection="1">
      <alignment vertical="center"/>
      <protection locked="0"/>
    </xf>
    <xf numFmtId="166" fontId="97" fillId="0" borderId="0" xfId="40" applyNumberFormat="1" applyFont="1" applyFill="1" applyAlignment="1" applyProtection="1">
      <alignment/>
      <protection locked="0"/>
    </xf>
    <xf numFmtId="166" fontId="97" fillId="0" borderId="0" xfId="40" applyNumberFormat="1" applyFont="1" applyFill="1" applyAlignment="1" applyProtection="1">
      <alignment/>
      <protection/>
    </xf>
    <xf numFmtId="166" fontId="97" fillId="0" borderId="0" xfId="40" applyNumberFormat="1" applyFont="1" applyFill="1" applyAlignment="1" applyProtection="1">
      <alignment vertical="center"/>
      <protection/>
    </xf>
    <xf numFmtId="166" fontId="97" fillId="0" borderId="0" xfId="40" applyNumberFormat="1" applyFont="1" applyFill="1" applyAlignment="1" applyProtection="1">
      <alignment vertical="center"/>
      <protection locked="0"/>
    </xf>
    <xf numFmtId="166" fontId="0" fillId="0" borderId="0" xfId="40" applyNumberFormat="1" applyFont="1" applyFill="1" applyAlignment="1" applyProtection="1">
      <alignment vertical="center"/>
      <protection locked="0"/>
    </xf>
    <xf numFmtId="164" fontId="24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35" xfId="0" applyFont="1" applyFill="1" applyBorder="1" applyAlignment="1" applyProtection="1">
      <alignment horizontal="right" vertical="center" wrapText="1" indent="1"/>
      <protection locked="0"/>
    </xf>
    <xf numFmtId="0" fontId="22" fillId="0" borderId="28" xfId="0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Fill="1" applyBorder="1" applyAlignment="1" applyProtection="1">
      <alignment horizontal="right" vertical="center" wrapText="1" indent="1"/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31" xfId="0" applyNumberFormat="1" applyFont="1" applyBorder="1" applyAlignment="1" applyProtection="1">
      <alignment horizontal="right" vertical="center" wrapText="1" indent="1"/>
      <protection/>
    </xf>
    <xf numFmtId="0" fontId="37" fillId="36" borderId="44" xfId="0" applyFont="1" applyFill="1" applyBorder="1" applyAlignment="1">
      <alignment horizontal="right" vertical="center"/>
    </xf>
    <xf numFmtId="3" fontId="34" fillId="36" borderId="11" xfId="0" applyNumberFormat="1" applyFont="1" applyFill="1" applyBorder="1" applyAlignment="1">
      <alignment vertical="center"/>
    </xf>
    <xf numFmtId="3" fontId="39" fillId="0" borderId="28" xfId="0" applyNumberFormat="1" applyFont="1" applyBorder="1" applyAlignment="1">
      <alignment/>
    </xf>
    <xf numFmtId="0" fontId="8" fillId="0" borderId="77" xfId="0" applyFont="1" applyFill="1" applyBorder="1" applyAlignment="1" applyProtection="1">
      <alignment vertical="center"/>
      <protection/>
    </xf>
    <xf numFmtId="0" fontId="8" fillId="0" borderId="78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 quotePrefix="1">
      <alignment horizontal="right" vertical="center" indent="1"/>
      <protection/>
    </xf>
    <xf numFmtId="0" fontId="8" fillId="0" borderId="12" xfId="0" applyFont="1" applyFill="1" applyBorder="1" applyAlignment="1" applyProtection="1" quotePrefix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right" vertical="top"/>
      <protection locked="0"/>
    </xf>
    <xf numFmtId="164" fontId="9" fillId="0" borderId="0" xfId="0" applyNumberFormat="1" applyFont="1" applyFill="1" applyAlignment="1">
      <alignment horizontal="right" vertical="center"/>
    </xf>
    <xf numFmtId="3" fontId="29" fillId="0" borderId="28" xfId="0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3" fontId="29" fillId="36" borderId="11" xfId="0" applyNumberFormat="1" applyFont="1" applyFill="1" applyBorder="1" applyAlignment="1">
      <alignment/>
    </xf>
    <xf numFmtId="10" fontId="29" fillId="36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3" fontId="29" fillId="36" borderId="15" xfId="0" applyNumberFormat="1" applyFont="1" applyFill="1" applyBorder="1" applyAlignment="1">
      <alignment/>
    </xf>
    <xf numFmtId="0" fontId="29" fillId="36" borderId="11" xfId="0" applyFont="1" applyFill="1" applyBorder="1" applyAlignment="1">
      <alignment/>
    </xf>
    <xf numFmtId="0" fontId="37" fillId="36" borderId="34" xfId="0" applyFont="1" applyFill="1" applyBorder="1" applyAlignment="1">
      <alignment vertical="center" wrapText="1"/>
    </xf>
    <xf numFmtId="3" fontId="29" fillId="36" borderId="11" xfId="0" applyNumberFormat="1" applyFont="1" applyFill="1" applyBorder="1" applyAlignment="1">
      <alignment horizontal="right"/>
    </xf>
    <xf numFmtId="10" fontId="29" fillId="36" borderId="11" xfId="0" applyNumberFormat="1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0" fillId="0" borderId="46" xfId="0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39" fillId="0" borderId="67" xfId="0" applyNumberFormat="1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/>
    </xf>
    <xf numFmtId="168" fontId="29" fillId="0" borderId="18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168" fontId="29" fillId="0" borderId="18" xfId="0" applyNumberFormat="1" applyFont="1" applyFill="1" applyBorder="1" applyAlignment="1">
      <alignment/>
    </xf>
    <xf numFmtId="3" fontId="29" fillId="0" borderId="66" xfId="0" applyNumberFormat="1" applyFont="1" applyFill="1" applyBorder="1" applyAlignment="1">
      <alignment/>
    </xf>
    <xf numFmtId="168" fontId="29" fillId="0" borderId="18" xfId="0" applyNumberFormat="1" applyFont="1" applyBorder="1" applyAlignment="1">
      <alignment horizontal="right"/>
    </xf>
    <xf numFmtId="168" fontId="21" fillId="0" borderId="18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168" fontId="21" fillId="42" borderId="18" xfId="0" applyNumberFormat="1" applyFont="1" applyFill="1" applyBorder="1" applyAlignment="1">
      <alignment/>
    </xf>
    <xf numFmtId="0" fontId="21" fillId="42" borderId="11" xfId="0" applyFont="1" applyFill="1" applyBorder="1" applyAlignment="1">
      <alignment/>
    </xf>
    <xf numFmtId="3" fontId="21" fillId="42" borderId="11" xfId="0" applyNumberFormat="1" applyFont="1" applyFill="1" applyBorder="1" applyAlignment="1">
      <alignment/>
    </xf>
    <xf numFmtId="3" fontId="21" fillId="42" borderId="28" xfId="0" applyNumberFormat="1" applyFont="1" applyFill="1" applyBorder="1" applyAlignment="1">
      <alignment/>
    </xf>
    <xf numFmtId="168" fontId="21" fillId="0" borderId="1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0" borderId="28" xfId="0" applyNumberFormat="1" applyFont="1" applyBorder="1" applyAlignment="1">
      <alignment/>
    </xf>
    <xf numFmtId="3" fontId="29" fillId="0" borderId="13" xfId="0" applyNumberFormat="1" applyFont="1" applyFill="1" applyBorder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44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1" xfId="56" applyFont="1" applyFill="1" applyBorder="1" applyAlignment="1" applyProtection="1">
      <alignment horizontal="left" indent="7"/>
      <protection/>
    </xf>
    <xf numFmtId="0" fontId="22" fillId="0" borderId="11" xfId="0" applyFont="1" applyBorder="1" applyAlignment="1" applyProtection="1">
      <alignment horizontal="left" vertical="center" wrapText="1" indent="6"/>
      <protection/>
    </xf>
    <xf numFmtId="0" fontId="18" fillId="0" borderId="13" xfId="56" applyFont="1" applyFill="1" applyBorder="1" applyAlignment="1" applyProtection="1">
      <alignment horizontal="left" vertical="center" wrapText="1" indent="6"/>
      <protection/>
    </xf>
    <xf numFmtId="0" fontId="22" fillId="0" borderId="36" xfId="0" applyFont="1" applyBorder="1" applyAlignment="1" applyProtection="1">
      <alignment horizontal="left" vertical="center" wrapText="1" indent="6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Fill="1" applyBorder="1" applyAlignment="1" applyProtection="1">
      <alignment horizontal="left" vertical="center" wrapText="1" indent="1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0" fontId="29" fillId="16" borderId="11" xfId="0" applyFont="1" applyFill="1" applyBorder="1" applyAlignment="1">
      <alignment horizontal="left" wrapText="1"/>
    </xf>
    <xf numFmtId="3" fontId="29" fillId="16" borderId="11" xfId="0" applyNumberFormat="1" applyFont="1" applyFill="1" applyBorder="1" applyAlignment="1">
      <alignment horizontal="right"/>
    </xf>
    <xf numFmtId="3" fontId="29" fillId="16" borderId="11" xfId="0" applyNumberFormat="1" applyFont="1" applyFill="1" applyBorder="1" applyAlignment="1">
      <alignment horizontal="right" vertical="center"/>
    </xf>
    <xf numFmtId="0" fontId="29" fillId="16" borderId="0" xfId="0" applyFont="1" applyFill="1" applyBorder="1" applyAlignment="1">
      <alignment/>
    </xf>
    <xf numFmtId="0" fontId="29" fillId="16" borderId="11" xfId="0" applyFont="1" applyFill="1" applyBorder="1" applyAlignment="1">
      <alignment wrapText="1"/>
    </xf>
    <xf numFmtId="0" fontId="29" fillId="16" borderId="11" xfId="0" applyFont="1" applyFill="1" applyBorder="1" applyAlignment="1">
      <alignment/>
    </xf>
    <xf numFmtId="3" fontId="29" fillId="16" borderId="11" xfId="0" applyNumberFormat="1" applyFont="1" applyFill="1" applyBorder="1" applyAlignment="1">
      <alignment/>
    </xf>
    <xf numFmtId="10" fontId="29" fillId="16" borderId="11" xfId="0" applyNumberFormat="1" applyFont="1" applyFill="1" applyBorder="1" applyAlignment="1">
      <alignment/>
    </xf>
    <xf numFmtId="0" fontId="37" fillId="16" borderId="33" xfId="0" applyFont="1" applyFill="1" applyBorder="1" applyAlignment="1">
      <alignment vertical="center" wrapText="1"/>
    </xf>
    <xf numFmtId="3" fontId="37" fillId="0" borderId="28" xfId="0" applyNumberFormat="1" applyFont="1" applyFill="1" applyBorder="1" applyAlignment="1">
      <alignment vertical="center"/>
    </xf>
    <xf numFmtId="3" fontId="34" fillId="0" borderId="28" xfId="0" applyNumberFormat="1" applyFont="1" applyFill="1" applyBorder="1" applyAlignment="1">
      <alignment vertical="center"/>
    </xf>
    <xf numFmtId="0" fontId="29" fillId="16" borderId="28" xfId="0" applyFont="1" applyFill="1" applyBorder="1" applyAlignment="1">
      <alignment horizontal="left"/>
    </xf>
    <xf numFmtId="10" fontId="29" fillId="16" borderId="0" xfId="0" applyNumberFormat="1" applyFont="1" applyFill="1" applyAlignment="1">
      <alignment/>
    </xf>
    <xf numFmtId="0" fontId="29" fillId="16" borderId="28" xfId="0" applyFont="1" applyFill="1" applyBorder="1" applyAlignment="1">
      <alignment wrapText="1"/>
    </xf>
    <xf numFmtId="3" fontId="29" fillId="16" borderId="15" xfId="0" applyNumberFormat="1" applyFont="1" applyFill="1" applyBorder="1" applyAlignment="1">
      <alignment/>
    </xf>
    <xf numFmtId="0" fontId="29" fillId="16" borderId="28" xfId="0" applyFont="1" applyFill="1" applyBorder="1" applyAlignment="1">
      <alignment/>
    </xf>
    <xf numFmtId="10" fontId="22" fillId="0" borderId="66" xfId="0" applyNumberFormat="1" applyFont="1" applyFill="1" applyBorder="1" applyAlignment="1">
      <alignment/>
    </xf>
    <xf numFmtId="10" fontId="21" fillId="16" borderId="32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9" fillId="36" borderId="28" xfId="0" applyFont="1" applyFill="1" applyBorder="1" applyAlignment="1">
      <alignment horizontal="left"/>
    </xf>
    <xf numFmtId="3" fontId="21" fillId="36" borderId="11" xfId="0" applyNumberFormat="1" applyFont="1" applyFill="1" applyBorder="1" applyAlignment="1">
      <alignment/>
    </xf>
    <xf numFmtId="0" fontId="29" fillId="36" borderId="28" xfId="0" applyFont="1" applyFill="1" applyBorder="1" applyAlignment="1">
      <alignment/>
    </xf>
    <xf numFmtId="3" fontId="29" fillId="19" borderId="11" xfId="0" applyNumberFormat="1" applyFont="1" applyFill="1" applyBorder="1" applyAlignment="1">
      <alignment/>
    </xf>
    <xf numFmtId="10" fontId="22" fillId="19" borderId="11" xfId="0" applyNumberFormat="1" applyFont="1" applyFill="1" applyBorder="1" applyAlignment="1">
      <alignment/>
    </xf>
    <xf numFmtId="10" fontId="29" fillId="19" borderId="0" xfId="0" applyNumberFormat="1" applyFont="1" applyFill="1" applyAlignment="1">
      <alignment/>
    </xf>
    <xf numFmtId="0" fontId="21" fillId="19" borderId="0" xfId="0" applyFont="1" applyFill="1" applyAlignment="1">
      <alignment/>
    </xf>
    <xf numFmtId="10" fontId="22" fillId="19" borderId="28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0" fontId="29" fillId="19" borderId="11" xfId="0" applyFont="1" applyFill="1" applyBorder="1" applyAlignment="1">
      <alignment/>
    </xf>
    <xf numFmtId="0" fontId="22" fillId="19" borderId="11" xfId="0" applyFont="1" applyFill="1" applyBorder="1" applyAlignment="1">
      <alignment/>
    </xf>
    <xf numFmtId="0" fontId="29" fillId="19" borderId="0" xfId="0" applyFont="1" applyFill="1" applyAlignment="1">
      <alignment/>
    </xf>
    <xf numFmtId="0" fontId="29" fillId="36" borderId="28" xfId="0" applyFont="1" applyFill="1" applyBorder="1" applyAlignment="1">
      <alignment/>
    </xf>
    <xf numFmtId="3" fontId="29" fillId="36" borderId="28" xfId="0" applyNumberFormat="1" applyFont="1" applyFill="1" applyBorder="1" applyAlignment="1">
      <alignment/>
    </xf>
    <xf numFmtId="10" fontId="94" fillId="36" borderId="0" xfId="0" applyNumberFormat="1" applyFont="1" applyFill="1" applyAlignment="1">
      <alignment/>
    </xf>
    <xf numFmtId="0" fontId="37" fillId="19" borderId="33" xfId="0" applyFont="1" applyFill="1" applyBorder="1" applyAlignment="1">
      <alignment vertical="center" wrapText="1"/>
    </xf>
    <xf numFmtId="0" fontId="37" fillId="19" borderId="44" xfId="0" applyFont="1" applyFill="1" applyBorder="1" applyAlignment="1">
      <alignment horizontal="right" vertical="center"/>
    </xf>
    <xf numFmtId="0" fontId="37" fillId="36" borderId="67" xfId="0" applyFont="1" applyFill="1" applyBorder="1" applyAlignment="1">
      <alignment vertical="center" wrapText="1"/>
    </xf>
    <xf numFmtId="0" fontId="37" fillId="36" borderId="33" xfId="0" applyFont="1" applyFill="1" applyBorder="1" applyAlignment="1">
      <alignment horizontal="left" vertical="center" wrapText="1"/>
    </xf>
    <xf numFmtId="0" fontId="37" fillId="36" borderId="33" xfId="0" applyFont="1" applyFill="1" applyBorder="1" applyAlignment="1">
      <alignment/>
    </xf>
    <xf numFmtId="3" fontId="34" fillId="0" borderId="78" xfId="0" applyNumberFormat="1" applyFont="1" applyFill="1" applyBorder="1" applyAlignment="1">
      <alignment vertical="center"/>
    </xf>
    <xf numFmtId="3" fontId="29" fillId="19" borderId="11" xfId="0" applyNumberFormat="1" applyFont="1" applyFill="1" applyBorder="1" applyAlignment="1">
      <alignment horizontal="right"/>
    </xf>
    <xf numFmtId="10" fontId="29" fillId="19" borderId="11" xfId="0" applyNumberFormat="1" applyFont="1" applyFill="1" applyBorder="1" applyAlignment="1">
      <alignment/>
    </xf>
    <xf numFmtId="0" fontId="29" fillId="19" borderId="0" xfId="0" applyFont="1" applyFill="1" applyBorder="1" applyAlignment="1">
      <alignment/>
    </xf>
    <xf numFmtId="10" fontId="95" fillId="19" borderId="11" xfId="0" applyNumberFormat="1" applyFont="1" applyFill="1" applyBorder="1" applyAlignment="1">
      <alignment/>
    </xf>
    <xf numFmtId="3" fontId="29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left" wrapText="1"/>
    </xf>
    <xf numFmtId="0" fontId="29" fillId="36" borderId="11" xfId="0" applyFont="1" applyFill="1" applyBorder="1" applyAlignment="1">
      <alignment wrapText="1"/>
    </xf>
    <xf numFmtId="3" fontId="21" fillId="19" borderId="15" xfId="0" applyNumberFormat="1" applyFont="1" applyFill="1" applyBorder="1" applyAlignment="1">
      <alignment/>
    </xf>
    <xf numFmtId="3" fontId="37" fillId="0" borderId="66" xfId="0" applyNumberFormat="1" applyFont="1" applyFill="1" applyBorder="1" applyAlignment="1">
      <alignment vertical="center"/>
    </xf>
    <xf numFmtId="3" fontId="37" fillId="36" borderId="66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wrapText="1"/>
    </xf>
    <xf numFmtId="0" fontId="38" fillId="0" borderId="18" xfId="0" applyFont="1" applyFill="1" applyBorder="1" applyAlignment="1">
      <alignment wrapText="1"/>
    </xf>
    <xf numFmtId="3" fontId="38" fillId="0" borderId="28" xfId="0" applyNumberFormat="1" applyFont="1" applyFill="1" applyBorder="1" applyAlignment="1">
      <alignment horizontal="right"/>
    </xf>
    <xf numFmtId="3" fontId="29" fillId="0" borderId="28" xfId="0" applyNumberFormat="1" applyFont="1" applyFill="1" applyBorder="1" applyAlignment="1">
      <alignment vertical="center"/>
    </xf>
    <xf numFmtId="168" fontId="54" fillId="0" borderId="18" xfId="0" applyNumberFormat="1" applyFont="1" applyFill="1" applyBorder="1" applyAlignment="1">
      <alignment/>
    </xf>
    <xf numFmtId="3" fontId="29" fillId="0" borderId="66" xfId="0" applyNumberFormat="1" applyFont="1" applyFill="1" applyBorder="1" applyAlignment="1">
      <alignment vertical="center"/>
    </xf>
    <xf numFmtId="168" fontId="22" fillId="0" borderId="18" xfId="0" applyNumberFormat="1" applyFont="1" applyFill="1" applyBorder="1" applyAlignment="1">
      <alignment horizontal="right"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9" fillId="17" borderId="28" xfId="0" applyFont="1" applyFill="1" applyBorder="1" applyAlignment="1">
      <alignment horizontal="left"/>
    </xf>
    <xf numFmtId="3" fontId="29" fillId="17" borderId="11" xfId="0" applyNumberFormat="1" applyFont="1" applyFill="1" applyBorder="1" applyAlignment="1">
      <alignment/>
    </xf>
    <xf numFmtId="3" fontId="29" fillId="17" borderId="15" xfId="0" applyNumberFormat="1" applyFont="1" applyFill="1" applyBorder="1" applyAlignment="1">
      <alignment/>
    </xf>
    <xf numFmtId="10" fontId="22" fillId="17" borderId="11" xfId="0" applyNumberFormat="1" applyFont="1" applyFill="1" applyBorder="1" applyAlignment="1">
      <alignment/>
    </xf>
    <xf numFmtId="168" fontId="22" fillId="0" borderId="18" xfId="0" applyNumberFormat="1" applyFont="1" applyFill="1" applyBorder="1" applyAlignment="1">
      <alignment horizontal="left"/>
    </xf>
    <xf numFmtId="168" fontId="22" fillId="0" borderId="18" xfId="0" applyNumberFormat="1" applyFont="1" applyBorder="1" applyAlignment="1">
      <alignment horizontal="right"/>
    </xf>
    <xf numFmtId="0" fontId="29" fillId="17" borderId="11" xfId="0" applyFont="1" applyFill="1" applyBorder="1" applyAlignment="1">
      <alignment/>
    </xf>
    <xf numFmtId="0" fontId="29" fillId="17" borderId="11" xfId="0" applyFont="1" applyFill="1" applyBorder="1" applyAlignment="1">
      <alignment wrapText="1"/>
    </xf>
    <xf numFmtId="10" fontId="29" fillId="17" borderId="11" xfId="0" applyNumberFormat="1" applyFont="1" applyFill="1" applyBorder="1" applyAlignment="1">
      <alignment/>
    </xf>
    <xf numFmtId="0" fontId="29" fillId="17" borderId="0" xfId="0" applyFont="1" applyFill="1" applyBorder="1" applyAlignment="1">
      <alignment/>
    </xf>
    <xf numFmtId="3" fontId="37" fillId="17" borderId="28" xfId="0" applyNumberFormat="1" applyFont="1" applyFill="1" applyBorder="1" applyAlignment="1">
      <alignment vertical="center"/>
    </xf>
    <xf numFmtId="10" fontId="21" fillId="17" borderId="0" xfId="0" applyNumberFormat="1" applyFont="1" applyFill="1" applyBorder="1" applyAlignment="1">
      <alignment/>
    </xf>
    <xf numFmtId="0" fontId="37" fillId="17" borderId="34" xfId="0" applyFont="1" applyFill="1" applyBorder="1" applyAlignment="1">
      <alignment vertical="center" wrapText="1"/>
    </xf>
    <xf numFmtId="3" fontId="29" fillId="17" borderId="11" xfId="0" applyNumberFormat="1" applyFont="1" applyFill="1" applyBorder="1" applyAlignment="1">
      <alignment horizontal="right"/>
    </xf>
    <xf numFmtId="3" fontId="37" fillId="17" borderId="18" xfId="0" applyNumberFormat="1" applyFont="1" applyFill="1" applyBorder="1" applyAlignment="1">
      <alignment vertical="center"/>
    </xf>
    <xf numFmtId="3" fontId="37" fillId="17" borderId="11" xfId="0" applyNumberFormat="1" applyFont="1" applyFill="1" applyBorder="1" applyAlignment="1">
      <alignment vertical="center"/>
    </xf>
    <xf numFmtId="0" fontId="37" fillId="17" borderId="33" xfId="0" applyFont="1" applyFill="1" applyBorder="1" applyAlignment="1">
      <alignment/>
    </xf>
    <xf numFmtId="3" fontId="37" fillId="17" borderId="45" xfId="0" applyNumberFormat="1" applyFont="1" applyFill="1" applyBorder="1" applyAlignment="1">
      <alignment vertical="center"/>
    </xf>
    <xf numFmtId="0" fontId="37" fillId="17" borderId="44" xfId="0" applyFont="1" applyFill="1" applyBorder="1" applyAlignment="1">
      <alignment horizontal="right" vertical="center"/>
    </xf>
    <xf numFmtId="0" fontId="37" fillId="11" borderId="33" xfId="0" applyFont="1" applyFill="1" applyBorder="1" applyAlignment="1">
      <alignment/>
    </xf>
    <xf numFmtId="0" fontId="37" fillId="11" borderId="33" xfId="0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0" fontId="39" fillId="0" borderId="65" xfId="0" applyFont="1" applyBorder="1" applyAlignment="1">
      <alignment/>
    </xf>
    <xf numFmtId="0" fontId="39" fillId="0" borderId="73" xfId="0" applyFont="1" applyBorder="1" applyAlignment="1">
      <alignment/>
    </xf>
    <xf numFmtId="0" fontId="39" fillId="0" borderId="59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91" xfId="0" applyFont="1" applyBorder="1" applyAlignment="1">
      <alignment/>
    </xf>
    <xf numFmtId="0" fontId="39" fillId="0" borderId="90" xfId="0" applyFont="1" applyBorder="1" applyAlignment="1">
      <alignment/>
    </xf>
    <xf numFmtId="0" fontId="35" fillId="0" borderId="55" xfId="0" applyFont="1" applyBorder="1" applyAlignment="1">
      <alignment/>
    </xf>
    <xf numFmtId="0" fontId="35" fillId="0" borderId="56" xfId="0" applyFont="1" applyBorder="1" applyAlignment="1">
      <alignment/>
    </xf>
    <xf numFmtId="0" fontId="35" fillId="0" borderId="47" xfId="0" applyFont="1" applyBorder="1" applyAlignment="1">
      <alignment/>
    </xf>
    <xf numFmtId="0" fontId="39" fillId="0" borderId="80" xfId="0" applyFont="1" applyBorder="1" applyAlignment="1">
      <alignment/>
    </xf>
    <xf numFmtId="0" fontId="39" fillId="0" borderId="81" xfId="0" applyFont="1" applyBorder="1" applyAlignment="1">
      <alignment/>
    </xf>
    <xf numFmtId="0" fontId="39" fillId="0" borderId="68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49" xfId="0" applyFont="1" applyBorder="1" applyAlignment="1">
      <alignment/>
    </xf>
    <xf numFmtId="0" fontId="35" fillId="0" borderId="9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 horizontal="left" vertical="center" indent="1"/>
      <protection/>
    </xf>
    <xf numFmtId="0" fontId="14" fillId="0" borderId="0" xfId="0" applyFont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wrapText="1" indent="1"/>
      <protection/>
    </xf>
    <xf numFmtId="164" fontId="17" fillId="0" borderId="46" xfId="56" applyNumberFormat="1" applyFont="1" applyFill="1" applyBorder="1" applyAlignment="1" applyProtection="1">
      <alignment horizontal="left" vertical="center"/>
      <protection/>
    </xf>
    <xf numFmtId="164" fontId="17" fillId="0" borderId="46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/>
      <protection/>
    </xf>
    <xf numFmtId="164" fontId="8" fillId="0" borderId="84" xfId="0" applyNumberFormat="1" applyFont="1" applyFill="1" applyBorder="1" applyAlignment="1" applyProtection="1">
      <alignment horizontal="center" vertical="center" wrapText="1"/>
      <protection/>
    </xf>
    <xf numFmtId="164" fontId="8" fillId="0" borderId="8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top" textRotation="180" wrapText="1"/>
      <protection/>
    </xf>
    <xf numFmtId="164" fontId="8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80" xfId="0" applyFont="1" applyFill="1" applyBorder="1" applyAlignment="1" applyProtection="1">
      <alignment horizontal="left" indent="1"/>
      <protection locked="0"/>
    </xf>
    <xf numFmtId="0" fontId="18" fillId="0" borderId="81" xfId="0" applyFont="1" applyFill="1" applyBorder="1" applyAlignment="1" applyProtection="1">
      <alignment horizontal="left" indent="1"/>
      <protection locked="0"/>
    </xf>
    <xf numFmtId="0" fontId="18" fillId="0" borderId="92" xfId="0" applyFont="1" applyFill="1" applyBorder="1" applyAlignment="1" applyProtection="1">
      <alignment horizontal="left" indent="1"/>
      <protection locked="0"/>
    </xf>
    <xf numFmtId="0" fontId="18" fillId="0" borderId="51" xfId="0" applyFont="1" applyFill="1" applyBorder="1" applyAlignment="1" applyProtection="1">
      <alignment horizontal="left" indent="1"/>
      <protection locked="0"/>
    </xf>
    <xf numFmtId="0" fontId="18" fillId="0" borderId="52" xfId="0" applyFont="1" applyFill="1" applyBorder="1" applyAlignment="1" applyProtection="1">
      <alignment horizontal="left" indent="1"/>
      <protection locked="0"/>
    </xf>
    <xf numFmtId="0" fontId="18" fillId="0" borderId="74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46" xfId="0" applyFill="1" applyBorder="1" applyAlignment="1" applyProtection="1">
      <alignment horizontal="left" wrapText="1"/>
      <protection/>
    </xf>
    <xf numFmtId="0" fontId="8" fillId="0" borderId="55" xfId="0" applyFont="1" applyFill="1" applyBorder="1" applyAlignment="1" applyProtection="1">
      <alignment horizontal="left" indent="1"/>
      <protection/>
    </xf>
    <xf numFmtId="0" fontId="8" fillId="0" borderId="56" xfId="0" applyFont="1" applyFill="1" applyBorder="1" applyAlignment="1" applyProtection="1">
      <alignment horizontal="left" indent="1"/>
      <protection/>
    </xf>
    <xf numFmtId="0" fontId="8" fillId="0" borderId="54" xfId="0" applyFont="1" applyFill="1" applyBorder="1" applyAlignment="1" applyProtection="1">
      <alignment horizontal="left" indent="1"/>
      <protection/>
    </xf>
    <xf numFmtId="0" fontId="18" fillId="0" borderId="14" xfId="0" applyFont="1" applyFill="1" applyBorder="1" applyAlignment="1" applyProtection="1">
      <alignment horizontal="right" indent="1"/>
      <protection locked="0"/>
    </xf>
    <xf numFmtId="0" fontId="18" fillId="0" borderId="30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18" fillId="0" borderId="29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5" xfId="0" applyFont="1" applyFill="1" applyBorder="1" applyAlignment="1" applyProtection="1">
      <alignment horizontal="right" indent="1"/>
      <protection/>
    </xf>
    <xf numFmtId="0" fontId="16" fillId="0" borderId="31" xfId="0" applyFont="1" applyFill="1" applyBorder="1" applyAlignment="1" applyProtection="1">
      <alignment horizontal="right" indent="1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8" fillId="0" borderId="75" xfId="0" applyFont="1" applyFill="1" applyBorder="1" applyAlignment="1" applyProtection="1">
      <alignment horizontal="center"/>
      <protection/>
    </xf>
    <xf numFmtId="0" fontId="8" fillId="0" borderId="70" xfId="0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right" vertical="center"/>
    </xf>
    <xf numFmtId="0" fontId="42" fillId="0" borderId="46" xfId="0" applyFont="1" applyBorder="1" applyAlignment="1">
      <alignment horizontal="right" vertical="center"/>
    </xf>
    <xf numFmtId="0" fontId="34" fillId="0" borderId="80" xfId="0" applyFont="1" applyFill="1" applyBorder="1" applyAlignment="1">
      <alignment horizontal="center" vertical="center" wrapText="1"/>
    </xf>
    <xf numFmtId="0" fontId="34" fillId="0" borderId="81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5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4" fillId="0" borderId="5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40" borderId="22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3" fontId="14" fillId="40" borderId="22" xfId="0" applyNumberFormat="1" applyFont="1" applyFill="1" applyBorder="1" applyAlignment="1">
      <alignment horizontal="center" vertical="center"/>
    </xf>
    <xf numFmtId="3" fontId="14" fillId="40" borderId="14" xfId="0" applyNumberFormat="1" applyFont="1" applyFill="1" applyBorder="1" applyAlignment="1">
      <alignment horizontal="center" vertical="center"/>
    </xf>
    <xf numFmtId="3" fontId="14" fillId="41" borderId="36" xfId="0" applyNumberFormat="1" applyFont="1" applyFill="1" applyBorder="1" applyAlignment="1">
      <alignment horizontal="center" vertical="center"/>
    </xf>
    <xf numFmtId="3" fontId="14" fillId="41" borderId="37" xfId="0" applyNumberFormat="1" applyFont="1" applyFill="1" applyBorder="1" applyAlignment="1">
      <alignment horizontal="center" vertical="center"/>
    </xf>
    <xf numFmtId="3" fontId="14" fillId="41" borderId="62" xfId="0" applyNumberFormat="1" applyFont="1" applyFill="1" applyBorder="1" applyAlignment="1">
      <alignment horizontal="center" vertical="center"/>
    </xf>
    <xf numFmtId="3" fontId="14" fillId="41" borderId="9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24" xfId="56" applyFont="1" applyFill="1" applyBorder="1" applyAlignment="1" applyProtection="1">
      <alignment horizontal="left"/>
      <protection/>
    </xf>
    <xf numFmtId="0" fontId="8" fillId="0" borderId="25" xfId="56" applyFont="1" applyFill="1" applyBorder="1" applyAlignment="1" applyProtection="1">
      <alignment horizontal="left"/>
      <protection/>
    </xf>
    <xf numFmtId="0" fontId="18" fillId="0" borderId="70" xfId="56" applyFont="1" applyFill="1" applyBorder="1" applyAlignment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8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84" xfId="0" applyNumberFormat="1" applyFont="1" applyFill="1" applyBorder="1" applyAlignment="1" applyProtection="1">
      <alignment horizontal="center" vertical="center"/>
      <protection/>
    </xf>
    <xf numFmtId="164" fontId="8" fillId="0" borderId="87" xfId="0" applyNumberFormat="1" applyFont="1" applyFill="1" applyBorder="1" applyAlignment="1" applyProtection="1">
      <alignment horizontal="center" vertical="center"/>
      <protection/>
    </xf>
    <xf numFmtId="164" fontId="8" fillId="0" borderId="80" xfId="0" applyNumberFormat="1" applyFont="1" applyFill="1" applyBorder="1" applyAlignment="1" applyProtection="1">
      <alignment horizontal="center" vertical="center"/>
      <protection/>
    </xf>
    <xf numFmtId="164" fontId="8" fillId="0" borderId="81" xfId="0" applyNumberFormat="1" applyFont="1" applyFill="1" applyBorder="1" applyAlignment="1" applyProtection="1">
      <alignment horizontal="center" vertical="center"/>
      <protection/>
    </xf>
    <xf numFmtId="164" fontId="8" fillId="0" borderId="68" xfId="0" applyNumberFormat="1" applyFont="1" applyFill="1" applyBorder="1" applyAlignment="1" applyProtection="1">
      <alignment horizontal="center" vertical="center"/>
      <protection/>
    </xf>
    <xf numFmtId="164" fontId="8" fillId="0" borderId="84" xfId="0" applyNumberFormat="1" applyFont="1" applyFill="1" applyBorder="1" applyAlignment="1" applyProtection="1">
      <alignment horizontal="center" vertical="center" wrapText="1"/>
      <protection/>
    </xf>
    <xf numFmtId="164" fontId="8" fillId="0" borderId="8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0" fontId="18" fillId="0" borderId="7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43" xfId="57" applyFont="1" applyFill="1" applyBorder="1" applyAlignment="1" applyProtection="1">
      <alignment horizontal="left" vertical="center" indent="1"/>
      <protection/>
    </xf>
    <xf numFmtId="0" fontId="17" fillId="0" borderId="56" xfId="57" applyFont="1" applyFill="1" applyBorder="1" applyAlignment="1" applyProtection="1">
      <alignment horizontal="left" vertical="center" indent="1"/>
      <protection/>
    </xf>
    <xf numFmtId="0" fontId="17" fillId="0" borderId="47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8" fillId="0" borderId="55" xfId="0" applyFont="1" applyBorder="1" applyAlignment="1" applyProtection="1">
      <alignment horizontal="left" vertical="center" indent="2"/>
      <protection/>
    </xf>
    <xf numFmtId="0" fontId="8" fillId="0" borderId="54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externalLink" Target="externalLinks/externalLink3.xml" /><Relationship Id="rId52" Type="http://schemas.openxmlformats.org/officeDocument/2006/relationships/externalLink" Target="externalLinks/externalLink4.xml" /><Relationship Id="rId53" Type="http://schemas.openxmlformats.org/officeDocument/2006/relationships/externalLink" Target="externalLinks/externalLink5.xml" /><Relationship Id="rId54" Type="http://schemas.openxmlformats.org/officeDocument/2006/relationships/externalLink" Target="externalLinks/externalLink6.xml" /><Relationship Id="rId55" Type="http://schemas.openxmlformats.org/officeDocument/2006/relationships/externalLink" Target="externalLinks/externalLink7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2013_M&#225;rti_fejleszt&#233;si%20t&#225;b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2\2012_k&#246;lts&#233;gvet&#233;s\pol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3\2013_k&#246;lts&#233;gvet&#233;s\Zsuzsa\2013_kv_po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3\2013_k&#246;lts&#233;gvet&#233;s\Zsuzsa\2013_kv_&#246;n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3\2013_k&#246;lts&#233;gvet&#233;s\2013_kv_&#246;nk_I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3\2013_k&#246;lts&#233;gvet&#233;s\2013_kv_polg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csato.anita\Desktop\Anita\K&#246;lts&#233;gvet&#233;s\2013\2013_el&#337;ir&#225;nyzatm&#243;dos&#237;t&#225;s\2013_m&#225;jus\2013_&#246;nk_m&#225;j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</sheetNames>
    <sheetDataSet>
      <sheetData sheetId="0">
        <row r="9">
          <cell r="G9">
            <v>0</v>
          </cell>
        </row>
        <row r="61">
          <cell r="G61">
            <v>0</v>
          </cell>
        </row>
      </sheetData>
      <sheetData sheetId="1">
        <row r="3">
          <cell r="A3" t="str">
            <v>2013. ÉV</v>
          </cell>
        </row>
      </sheetData>
      <sheetData sheetId="4">
        <row r="6">
          <cell r="B6" t="str">
            <v>Városüzemeltetés</v>
          </cell>
        </row>
        <row r="7">
          <cell r="B7" t="str">
            <v>2/A melléklet szerint</v>
          </cell>
        </row>
        <row r="8">
          <cell r="B8" t="str">
            <v>Közművelődés</v>
          </cell>
        </row>
        <row r="9">
          <cell r="B9" t="str">
            <v>2/B melléklet szerint</v>
          </cell>
        </row>
        <row r="20">
          <cell r="B20" t="str">
            <v>Szociálpolitikai feladatok</v>
          </cell>
        </row>
        <row r="25">
          <cell r="B25" t="str">
            <v>Egyéb feladatok</v>
          </cell>
        </row>
      </sheetData>
      <sheetData sheetId="8">
        <row r="63">
          <cell r="B63" t="str">
            <v>Energetikai korszerűsítés a Siófoki Csárdaréti úti Pillangó Óvodában </v>
          </cell>
        </row>
        <row r="65">
          <cell r="B65" t="str">
            <v>Galérius fürdő - KEOP-4.2.0/A/11-2011-0515</v>
          </cell>
        </row>
        <row r="67">
          <cell r="B67" t="str">
            <v>Siófok-Ságvár kerékpár út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3.sz."/>
      <sheetName val="2.sz.1"/>
      <sheetName val="2.sz.2"/>
      <sheetName val="3-A.sz."/>
      <sheetName val="3-B.sz."/>
      <sheetName val="3-C.sz."/>
      <sheetName val="5.sz.2012"/>
      <sheetName val="Fejlesztés (2012)"/>
      <sheetName val="4.sz."/>
      <sheetName val="6.sz."/>
      <sheetName val="7.sz"/>
      <sheetName val="5.sz."/>
      <sheetName val="8.sz."/>
      <sheetName val="9.sz."/>
      <sheetName val="10.sz"/>
      <sheetName val="11.sz."/>
      <sheetName val="12.sz"/>
      <sheetName val="13.sz."/>
    </sheetNames>
    <sheetDataSet>
      <sheetData sheetId="2">
        <row r="323">
          <cell r="H323">
            <v>795706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</sheetNames>
    <sheetDataSet>
      <sheetData sheetId="0">
        <row r="33">
          <cell r="G33">
            <v>0</v>
          </cell>
        </row>
        <row r="63">
          <cell r="C63">
            <v>0</v>
          </cell>
        </row>
      </sheetData>
      <sheetData sheetId="1">
        <row r="3">
          <cell r="A3" t="str">
            <v>2013. ÉV</v>
          </cell>
        </row>
      </sheetData>
      <sheetData sheetId="5">
        <row r="69">
          <cell r="V69">
            <v>847887</v>
          </cell>
        </row>
      </sheetData>
      <sheetData sheetId="6">
        <row r="26">
          <cell r="C26">
            <v>1400</v>
          </cell>
          <cell r="D26">
            <v>7500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4"/>
      <sheetName val="9.sz."/>
      <sheetName val="10.sz"/>
      <sheetName val="11.sz."/>
      <sheetName val="12.sz"/>
      <sheetName val="13.sz."/>
      <sheetName val="3_m"/>
    </sheetNames>
    <sheetDataSet>
      <sheetData sheetId="1">
        <row r="36">
          <cell r="J36">
            <v>271250</v>
          </cell>
        </row>
        <row r="37">
          <cell r="J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  <sheetName val="4"/>
    </sheetNames>
    <sheetDataSet>
      <sheetData sheetId="1">
        <row r="3">
          <cell r="A3" t="str">
            <v>2013. ÉV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</sheetNames>
    <sheetDataSet>
      <sheetData sheetId="1">
        <row r="3">
          <cell r="A3" t="str">
            <v>2013. ÉV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  <sheetName val="4"/>
    </sheetNames>
    <sheetDataSet>
      <sheetData sheetId="7">
        <row r="65">
          <cell r="B65" t="str">
            <v>Dél-Kelet Európai Transznacionális Program (SEERISK) SEE/C/002/2.2/X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229</v>
      </c>
    </row>
    <row r="4" spans="1:2" ht="12.75">
      <c r="A4" s="160"/>
      <c r="B4" s="160"/>
    </row>
    <row r="5" spans="1:2" s="172" customFormat="1" ht="15.75">
      <c r="A5" s="102" t="s">
        <v>517</v>
      </c>
      <c r="B5" s="171"/>
    </row>
    <row r="6" spans="1:2" ht="12.75">
      <c r="A6" s="160"/>
      <c r="B6" s="160"/>
    </row>
    <row r="7" spans="1:2" ht="12.75">
      <c r="A7" s="160" t="s">
        <v>327</v>
      </c>
      <c r="B7" s="160" t="s">
        <v>521</v>
      </c>
    </row>
    <row r="8" spans="1:2" ht="12.75">
      <c r="A8" s="160" t="s">
        <v>230</v>
      </c>
      <c r="B8" s="160" t="s">
        <v>522</v>
      </c>
    </row>
    <row r="9" spans="1:2" ht="12.75">
      <c r="A9" s="160" t="s">
        <v>515</v>
      </c>
      <c r="B9" s="160" t="s">
        <v>523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2" t="s">
        <v>518</v>
      </c>
      <c r="B12" s="171"/>
    </row>
    <row r="13" spans="1:2" ht="12.75">
      <c r="A13" s="160"/>
      <c r="B13" s="160"/>
    </row>
    <row r="14" spans="1:2" ht="12.75">
      <c r="A14" s="160" t="s">
        <v>254</v>
      </c>
      <c r="B14" s="160" t="s">
        <v>524</v>
      </c>
    </row>
    <row r="15" spans="1:2" ht="12.75">
      <c r="A15" s="160" t="s">
        <v>231</v>
      </c>
      <c r="B15" s="160" t="s">
        <v>525</v>
      </c>
    </row>
    <row r="16" spans="1:2" ht="12.75">
      <c r="A16" s="160" t="s">
        <v>516</v>
      </c>
      <c r="B16" s="160" t="s">
        <v>526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3">
      <selection activeCell="B42" sqref="B42"/>
    </sheetView>
  </sheetViews>
  <sheetFormatPr defaultColWidth="9.00390625" defaultRowHeight="12.75"/>
  <cols>
    <col min="1" max="1" width="6.875" style="64" customWidth="1"/>
    <col min="2" max="2" width="55.125" style="234" customWidth="1"/>
    <col min="3" max="3" width="16.375" style="64" customWidth="1"/>
    <col min="4" max="4" width="55.125" style="64" customWidth="1"/>
    <col min="5" max="5" width="16.375" style="64" customWidth="1"/>
    <col min="6" max="6" width="4.875" style="64" customWidth="1"/>
    <col min="7" max="16384" width="9.375" style="64" customWidth="1"/>
  </cols>
  <sheetData>
    <row r="1" spans="2:6" ht="31.5">
      <c r="B1" s="442" t="s">
        <v>243</v>
      </c>
      <c r="C1" s="443"/>
      <c r="D1" s="443"/>
      <c r="E1" s="443"/>
      <c r="F1" s="1293" t="s">
        <v>1187</v>
      </c>
    </row>
    <row r="2" spans="5:6" ht="14.25" thickBot="1">
      <c r="E2" s="444" t="s">
        <v>127</v>
      </c>
      <c r="F2" s="1293"/>
    </row>
    <row r="3" spans="1:6" ht="13.5" thickBot="1">
      <c r="A3" s="1294" t="s">
        <v>132</v>
      </c>
      <c r="B3" s="445" t="s">
        <v>115</v>
      </c>
      <c r="C3" s="446"/>
      <c r="D3" s="445" t="s">
        <v>119</v>
      </c>
      <c r="E3" s="447"/>
      <c r="F3" s="1293"/>
    </row>
    <row r="4" spans="1:6" s="448" customFormat="1" ht="36.75" thickBot="1">
      <c r="A4" s="1295"/>
      <c r="B4" s="235" t="s">
        <v>128</v>
      </c>
      <c r="C4" s="236" t="str">
        <f>'5.1'!C4</f>
        <v>2013. évi módosított előirányzat</v>
      </c>
      <c r="D4" s="235" t="s">
        <v>128</v>
      </c>
      <c r="E4" s="63" t="str">
        <f>C4</f>
        <v>2013. évi módosított előirányzat</v>
      </c>
      <c r="F4" s="1293"/>
    </row>
    <row r="5" spans="1:6" s="448" customFormat="1" ht="13.5" thickBot="1">
      <c r="A5" s="449">
        <v>1</v>
      </c>
      <c r="B5" s="450">
        <v>2</v>
      </c>
      <c r="C5" s="451">
        <v>3</v>
      </c>
      <c r="D5" s="450">
        <v>4</v>
      </c>
      <c r="E5" s="452">
        <v>5</v>
      </c>
      <c r="F5" s="1293"/>
    </row>
    <row r="6" spans="1:6" ht="12.75" customHeight="1">
      <c r="A6" s="454" t="s">
        <v>74</v>
      </c>
      <c r="B6" s="455" t="s">
        <v>490</v>
      </c>
      <c r="C6" s="432">
        <f>4!C49</f>
        <v>752000</v>
      </c>
      <c r="D6" s="455" t="s">
        <v>417</v>
      </c>
      <c r="E6" s="437">
        <f>4!C90</f>
        <v>1713624</v>
      </c>
      <c r="F6" s="1293"/>
    </row>
    <row r="7" spans="1:6" ht="22.5" customHeight="1">
      <c r="A7" s="456" t="s">
        <v>75</v>
      </c>
      <c r="B7" s="457" t="s">
        <v>467</v>
      </c>
      <c r="C7" s="433">
        <f>4!C50</f>
        <v>43750</v>
      </c>
      <c r="D7" s="457" t="s">
        <v>302</v>
      </c>
      <c r="E7" s="438">
        <f>4!C91</f>
        <v>458211</v>
      </c>
      <c r="F7" s="1293"/>
    </row>
    <row r="8" spans="1:6" ht="12.75" customHeight="1">
      <c r="A8" s="456" t="s">
        <v>76</v>
      </c>
      <c r="B8" s="457" t="s">
        <v>237</v>
      </c>
      <c r="C8" s="433">
        <f>4!C51</f>
        <v>75691</v>
      </c>
      <c r="D8" s="457" t="s">
        <v>441</v>
      </c>
      <c r="E8" s="438">
        <f>4!C92</f>
        <v>0</v>
      </c>
      <c r="F8" s="1293"/>
    </row>
    <row r="9" spans="1:6" ht="12.75" customHeight="1">
      <c r="A9" s="456" t="s">
        <v>77</v>
      </c>
      <c r="B9" s="457" t="s">
        <v>286</v>
      </c>
      <c r="C9" s="433">
        <f>4!C28</f>
        <v>0</v>
      </c>
      <c r="D9" s="457" t="s">
        <v>1202</v>
      </c>
      <c r="E9" s="438">
        <f>4!C93</f>
        <v>0</v>
      </c>
      <c r="F9" s="1293"/>
    </row>
    <row r="10" spans="1:6" ht="12.75" customHeight="1">
      <c r="A10" s="456" t="s">
        <v>78</v>
      </c>
      <c r="B10" s="457" t="s">
        <v>378</v>
      </c>
      <c r="C10" s="433">
        <f>4!C29</f>
        <v>0</v>
      </c>
      <c r="D10" s="457" t="s">
        <v>474</v>
      </c>
      <c r="E10" s="438">
        <f>4!C94</f>
        <v>538706</v>
      </c>
      <c r="F10" s="1293"/>
    </row>
    <row r="11" spans="1:6" ht="12.75" customHeight="1">
      <c r="A11" s="456" t="s">
        <v>79</v>
      </c>
      <c r="B11" s="457" t="s">
        <v>468</v>
      </c>
      <c r="C11" s="433">
        <f>76+24+233356</f>
        <v>233456</v>
      </c>
      <c r="D11" s="473" t="s">
        <v>475</v>
      </c>
      <c r="E11" s="438">
        <f>4!C95</f>
        <v>0</v>
      </c>
      <c r="F11" s="1293"/>
    </row>
    <row r="12" spans="1:6" ht="12.75" customHeight="1">
      <c r="A12" s="456" t="s">
        <v>80</v>
      </c>
      <c r="B12" s="457" t="s">
        <v>469</v>
      </c>
      <c r="C12" s="433"/>
      <c r="D12" s="473" t="s">
        <v>420</v>
      </c>
      <c r="E12" s="438">
        <f>4!C96</f>
        <v>0</v>
      </c>
      <c r="F12" s="1293"/>
    </row>
    <row r="13" spans="1:6" ht="12.75" customHeight="1">
      <c r="A13" s="456" t="s">
        <v>81</v>
      </c>
      <c r="B13" s="457" t="s">
        <v>472</v>
      </c>
      <c r="C13" s="433">
        <f>4!C39</f>
        <v>929863</v>
      </c>
      <c r="D13" s="474" t="s">
        <v>421</v>
      </c>
      <c r="E13" s="438">
        <f>4!C97</f>
        <v>0</v>
      </c>
      <c r="F13" s="1293"/>
    </row>
    <row r="14" spans="1:6" ht="12.75" customHeight="1">
      <c r="A14" s="456" t="s">
        <v>82</v>
      </c>
      <c r="B14" s="475" t="s">
        <v>488</v>
      </c>
      <c r="C14" s="434">
        <f>4!C43</f>
        <v>0</v>
      </c>
      <c r="D14" s="473" t="s">
        <v>476</v>
      </c>
      <c r="E14" s="438">
        <f>4!C98</f>
        <v>610739</v>
      </c>
      <c r="F14" s="1293"/>
    </row>
    <row r="15" spans="1:6" ht="22.5" customHeight="1">
      <c r="A15" s="456" t="s">
        <v>83</v>
      </c>
      <c r="B15" s="457" t="s">
        <v>470</v>
      </c>
      <c r="C15" s="434">
        <f>4!C47</f>
        <v>4500</v>
      </c>
      <c r="D15" s="473" t="s">
        <v>477</v>
      </c>
      <c r="E15" s="438">
        <f>4!C99</f>
        <v>54737</v>
      </c>
      <c r="F15" s="1293"/>
    </row>
    <row r="16" spans="1:6" ht="12.75" customHeight="1">
      <c r="A16" s="456" t="s">
        <v>84</v>
      </c>
      <c r="B16" s="457" t="s">
        <v>471</v>
      </c>
      <c r="C16" s="438">
        <f>4!C53</f>
        <v>6000</v>
      </c>
      <c r="D16" s="457" t="s">
        <v>106</v>
      </c>
      <c r="E16" s="438">
        <f>'17'!G11</f>
        <v>0</v>
      </c>
      <c r="F16" s="1293"/>
    </row>
    <row r="17" spans="1:6" ht="12.75" customHeight="1" thickBot="1">
      <c r="A17" s="569" t="s">
        <v>85</v>
      </c>
      <c r="B17" s="570" t="s">
        <v>1275</v>
      </c>
      <c r="C17" s="571">
        <f>4!C52</f>
        <v>6359</v>
      </c>
      <c r="D17" s="570" t="s">
        <v>64</v>
      </c>
      <c r="E17" s="496">
        <f>4!C103</f>
        <v>0</v>
      </c>
      <c r="F17" s="1293"/>
    </row>
    <row r="18" spans="1:6" ht="15.75" customHeight="1" thickBot="1">
      <c r="A18" s="460" t="s">
        <v>86</v>
      </c>
      <c r="B18" s="149" t="s">
        <v>227</v>
      </c>
      <c r="C18" s="436">
        <f>+C6+C7+C8+C9+C10+C11+C12+C13+C15+C16+C17</f>
        <v>2051619</v>
      </c>
      <c r="D18" s="149" t="s">
        <v>228</v>
      </c>
      <c r="E18" s="440">
        <f>+E6+E7+E8+E16+E17</f>
        <v>2171835</v>
      </c>
      <c r="F18" s="1293"/>
    </row>
    <row r="19" spans="1:6" ht="12.75" customHeight="1">
      <c r="A19" s="476" t="s">
        <v>87</v>
      </c>
      <c r="B19" s="477" t="s">
        <v>992</v>
      </c>
      <c r="C19" s="484">
        <f>SUM(C20:C24)</f>
        <v>0</v>
      </c>
      <c r="D19" s="464" t="s">
        <v>311</v>
      </c>
      <c r="E19" s="90"/>
      <c r="F19" s="1293"/>
    </row>
    <row r="20" spans="1:6" ht="12.75" customHeight="1">
      <c r="A20" s="456" t="s">
        <v>88</v>
      </c>
      <c r="B20" s="478" t="s">
        <v>478</v>
      </c>
      <c r="C20" s="92"/>
      <c r="D20" s="464" t="s">
        <v>993</v>
      </c>
      <c r="E20" s="93">
        <f>4!C116</f>
        <v>567619</v>
      </c>
      <c r="F20" s="1293"/>
    </row>
    <row r="21" spans="1:6" ht="12.75" customHeight="1">
      <c r="A21" s="476" t="s">
        <v>89</v>
      </c>
      <c r="B21" s="478" t="s">
        <v>479</v>
      </c>
      <c r="C21" s="92">
        <f>4!C58</f>
        <v>0</v>
      </c>
      <c r="D21" s="464" t="s">
        <v>239</v>
      </c>
      <c r="E21" s="93"/>
      <c r="F21" s="1293"/>
    </row>
    <row r="22" spans="1:6" ht="12.75" customHeight="1">
      <c r="A22" s="456" t="s">
        <v>90</v>
      </c>
      <c r="B22" s="478" t="s">
        <v>480</v>
      </c>
      <c r="C22" s="92">
        <f>4!C59</f>
        <v>0</v>
      </c>
      <c r="D22" s="464" t="s">
        <v>240</v>
      </c>
      <c r="E22" s="93"/>
      <c r="F22" s="1293"/>
    </row>
    <row r="23" spans="1:6" ht="12.75" customHeight="1">
      <c r="A23" s="476" t="s">
        <v>91</v>
      </c>
      <c r="B23" s="478" t="s">
        <v>481</v>
      </c>
      <c r="C23" s="92">
        <f>4!C60</f>
        <v>0</v>
      </c>
      <c r="D23" s="462" t="s">
        <v>456</v>
      </c>
      <c r="E23" s="93"/>
      <c r="F23" s="1293"/>
    </row>
    <row r="24" spans="1:6" ht="12.75" customHeight="1">
      <c r="A24" s="456" t="s">
        <v>92</v>
      </c>
      <c r="B24" s="479" t="s">
        <v>482</v>
      </c>
      <c r="C24" s="92">
        <f>4!C61</f>
        <v>0</v>
      </c>
      <c r="D24" s="464" t="s">
        <v>315</v>
      </c>
      <c r="E24" s="93"/>
      <c r="F24" s="1293"/>
    </row>
    <row r="25" spans="1:6" ht="12.75" customHeight="1">
      <c r="A25" s="476" t="s">
        <v>93</v>
      </c>
      <c r="B25" s="480" t="s">
        <v>986</v>
      </c>
      <c r="C25" s="466">
        <f>C26+C27+C28+C29+C30</f>
        <v>0</v>
      </c>
      <c r="D25" s="481" t="s">
        <v>314</v>
      </c>
      <c r="E25" s="93"/>
      <c r="F25" s="1293"/>
    </row>
    <row r="26" spans="1:6" ht="12.75" customHeight="1">
      <c r="A26" s="456" t="s">
        <v>94</v>
      </c>
      <c r="B26" s="479" t="s">
        <v>483</v>
      </c>
      <c r="C26" s="92">
        <f>4!C63</f>
        <v>0</v>
      </c>
      <c r="D26" s="481" t="s">
        <v>489</v>
      </c>
      <c r="E26" s="93"/>
      <c r="F26" s="1293"/>
    </row>
    <row r="27" spans="1:6" ht="12.75" customHeight="1">
      <c r="A27" s="476" t="s">
        <v>95</v>
      </c>
      <c r="B27" s="479" t="s">
        <v>484</v>
      </c>
      <c r="C27" s="92">
        <f>4!C64</f>
        <v>0</v>
      </c>
      <c r="D27" s="472"/>
      <c r="E27" s="93"/>
      <c r="F27" s="1293"/>
    </row>
    <row r="28" spans="1:6" ht="12.75" customHeight="1">
      <c r="A28" s="456" t="s">
        <v>96</v>
      </c>
      <c r="B28" s="478" t="s">
        <v>485</v>
      </c>
      <c r="C28" s="92">
        <f>4!C65</f>
        <v>0</v>
      </c>
      <c r="D28" s="145"/>
      <c r="E28" s="93"/>
      <c r="F28" s="1293"/>
    </row>
    <row r="29" spans="1:6" ht="12.75" customHeight="1">
      <c r="A29" s="476" t="s">
        <v>97</v>
      </c>
      <c r="B29" s="482" t="s">
        <v>486</v>
      </c>
      <c r="C29" s="92">
        <f>4!C66</f>
        <v>0</v>
      </c>
      <c r="D29" s="56"/>
      <c r="E29" s="93"/>
      <c r="F29" s="1293"/>
    </row>
    <row r="30" spans="1:6" ht="12.75" customHeight="1" thickBot="1">
      <c r="A30" s="456" t="s">
        <v>98</v>
      </c>
      <c r="B30" s="483" t="s">
        <v>487</v>
      </c>
      <c r="C30" s="92">
        <f>4!C67</f>
        <v>0</v>
      </c>
      <c r="D30" s="145"/>
      <c r="E30" s="93"/>
      <c r="F30" s="1293"/>
    </row>
    <row r="31" spans="1:6" ht="21.75" customHeight="1" thickBot="1">
      <c r="A31" s="460" t="s">
        <v>99</v>
      </c>
      <c r="B31" s="149" t="s">
        <v>529</v>
      </c>
      <c r="C31" s="436">
        <f>+C19+C25</f>
        <v>0</v>
      </c>
      <c r="D31" s="149" t="s">
        <v>530</v>
      </c>
      <c r="E31" s="440">
        <f>SUM(E19:E30)</f>
        <v>567619</v>
      </c>
      <c r="F31" s="1293"/>
    </row>
    <row r="32" spans="1:6" ht="18" customHeight="1" thickBot="1">
      <c r="A32" s="460" t="s">
        <v>100</v>
      </c>
      <c r="B32" s="467" t="s">
        <v>527</v>
      </c>
      <c r="C32" s="436">
        <f>+C18+C31</f>
        <v>2051619</v>
      </c>
      <c r="D32" s="467" t="s">
        <v>531</v>
      </c>
      <c r="E32" s="440">
        <f>+E18+E31</f>
        <v>2739454</v>
      </c>
      <c r="F32" s="1293"/>
    </row>
    <row r="33" spans="1:6" ht="18" customHeight="1" thickBot="1">
      <c r="A33" s="460" t="s">
        <v>101</v>
      </c>
      <c r="B33" s="149" t="s">
        <v>454</v>
      </c>
      <c r="C33" s="471"/>
      <c r="D33" s="149" t="s">
        <v>457</v>
      </c>
      <c r="E33" s="470"/>
      <c r="F33" s="1293"/>
    </row>
    <row r="34" spans="1:6" ht="13.5" thickBot="1">
      <c r="A34" s="460" t="s">
        <v>102</v>
      </c>
      <c r="B34" s="468" t="s">
        <v>528</v>
      </c>
      <c r="C34" s="469">
        <f>+C32+C33</f>
        <v>2051619</v>
      </c>
      <c r="D34" s="468" t="s">
        <v>532</v>
      </c>
      <c r="E34" s="469">
        <f>+E32+E33</f>
        <v>2739454</v>
      </c>
      <c r="F34" s="1293"/>
    </row>
    <row r="35" spans="1:6" ht="13.5" thickBot="1">
      <c r="A35" s="460" t="s">
        <v>201</v>
      </c>
      <c r="B35" s="468" t="s">
        <v>255</v>
      </c>
      <c r="C35" s="469">
        <f>IF(C18-E18&lt;0,E18-C18,"-")</f>
        <v>120216</v>
      </c>
      <c r="D35" s="468" t="s">
        <v>256</v>
      </c>
      <c r="E35" s="469" t="str">
        <f>IF(C18-E18&gt;0,C18-E18,"-")</f>
        <v>-</v>
      </c>
      <c r="F35" s="1293"/>
    </row>
    <row r="36" spans="1:6" ht="13.5" thickBot="1">
      <c r="A36" s="460" t="s">
        <v>202</v>
      </c>
      <c r="B36" s="468" t="s">
        <v>458</v>
      </c>
      <c r="C36" s="469">
        <f>IF(C18+C19-E32&lt;0,E32-(C18+C19),"-")</f>
        <v>687835</v>
      </c>
      <c r="D36" s="468" t="s">
        <v>459</v>
      </c>
      <c r="E36" s="469" t="str">
        <f>IF(C18+C19-E32&gt;0,C18+C19-E32,"-")</f>
        <v>-</v>
      </c>
      <c r="F36" s="1293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0" t="s">
        <v>229</v>
      </c>
      <c r="E1" s="153" t="s">
        <v>236</v>
      </c>
    </row>
    <row r="3" spans="1:5" ht="12.75">
      <c r="A3" s="160"/>
      <c r="B3" s="161"/>
      <c r="C3" s="160"/>
      <c r="D3" s="161"/>
      <c r="E3" s="161"/>
    </row>
    <row r="4" spans="1:5" ht="15.75">
      <c r="A4" s="102" t="s">
        <v>517</v>
      </c>
      <c r="B4" s="162"/>
      <c r="C4" s="171"/>
      <c r="D4" s="162"/>
      <c r="E4" s="161"/>
    </row>
    <row r="5" spans="1:5" ht="12.75">
      <c r="A5" s="160"/>
      <c r="B5" s="161"/>
      <c r="C5" s="160"/>
      <c r="D5" s="161"/>
      <c r="E5" s="161"/>
    </row>
    <row r="6" spans="1:5" ht="12.75">
      <c r="A6" s="160" t="s">
        <v>327</v>
      </c>
      <c r="B6" s="161">
        <f>+4!C54</f>
        <v>8286863</v>
      </c>
      <c r="C6" s="160" t="s">
        <v>521</v>
      </c>
      <c r="D6" s="161">
        <f>+'5.1'!C18+'5.2'!C18</f>
        <v>8286863</v>
      </c>
      <c r="E6" s="161">
        <f aca="true" t="shared" si="0" ref="E6:E15">+B6-D6</f>
        <v>0</v>
      </c>
    </row>
    <row r="7" spans="1:5" ht="12.75">
      <c r="A7" s="160" t="s">
        <v>230</v>
      </c>
      <c r="B7" s="161">
        <f>+4!C68</f>
        <v>8340753</v>
      </c>
      <c r="C7" s="160" t="s">
        <v>522</v>
      </c>
      <c r="D7" s="161">
        <f>+'5.1'!C32+'5.2'!C32</f>
        <v>8340753</v>
      </c>
      <c r="E7" s="161">
        <f t="shared" si="0"/>
        <v>0</v>
      </c>
    </row>
    <row r="8" spans="1:5" ht="12.75">
      <c r="A8" s="160" t="s">
        <v>515</v>
      </c>
      <c r="B8" s="161">
        <f>+4!C70</f>
        <v>8340753</v>
      </c>
      <c r="C8" s="160" t="s">
        <v>523</v>
      </c>
      <c r="D8" s="161">
        <f>+'5.1'!C34+'5.2'!C34</f>
        <v>8340753</v>
      </c>
      <c r="E8" s="161">
        <f t="shared" si="0"/>
        <v>0</v>
      </c>
    </row>
    <row r="9" spans="1:5" ht="12.75">
      <c r="A9" s="160"/>
      <c r="B9" s="161"/>
      <c r="C9" s="160"/>
      <c r="D9" s="161"/>
      <c r="E9" s="161"/>
    </row>
    <row r="10" spans="1:5" ht="12.75">
      <c r="A10" s="160"/>
      <c r="B10" s="161"/>
      <c r="C10" s="160"/>
      <c r="D10" s="161"/>
      <c r="E10" s="161"/>
    </row>
    <row r="11" spans="1:5" ht="15.75">
      <c r="A11" s="102" t="s">
        <v>518</v>
      </c>
      <c r="B11" s="162"/>
      <c r="C11" s="171"/>
      <c r="D11" s="162"/>
      <c r="E11" s="161"/>
    </row>
    <row r="12" spans="1:5" ht="12.75">
      <c r="A12" s="160"/>
      <c r="B12" s="161"/>
      <c r="C12" s="160"/>
      <c r="D12" s="161"/>
      <c r="E12" s="161"/>
    </row>
    <row r="13" spans="1:5" ht="12.75">
      <c r="A13" s="160" t="s">
        <v>254</v>
      </c>
      <c r="B13" s="161">
        <f>+4!C104</f>
        <v>7773134</v>
      </c>
      <c r="C13" s="160" t="s">
        <v>524</v>
      </c>
      <c r="D13" s="161">
        <f>+'5.1'!E18+'5.2'!E18</f>
        <v>7773134</v>
      </c>
      <c r="E13" s="161">
        <f t="shared" si="0"/>
        <v>0</v>
      </c>
    </row>
    <row r="14" spans="1:5" ht="12.75">
      <c r="A14" s="160" t="s">
        <v>231</v>
      </c>
      <c r="B14" s="161">
        <f>+4!C123</f>
        <v>8340753</v>
      </c>
      <c r="C14" s="160" t="s">
        <v>525</v>
      </c>
      <c r="D14" s="161">
        <f>+'5.1'!E32+'5.2'!E32</f>
        <v>8340753</v>
      </c>
      <c r="E14" s="161">
        <f t="shared" si="0"/>
        <v>0</v>
      </c>
    </row>
    <row r="15" spans="1:5" ht="12.75">
      <c r="A15" s="160" t="s">
        <v>516</v>
      </c>
      <c r="B15" s="161">
        <f>+4!C125</f>
        <v>8340753</v>
      </c>
      <c r="C15" s="160" t="s">
        <v>526</v>
      </c>
      <c r="D15" s="161">
        <f>+'5.1'!E34+'5.2'!E34</f>
        <v>8340753</v>
      </c>
      <c r="E15" s="161">
        <f t="shared" si="0"/>
        <v>0</v>
      </c>
    </row>
    <row r="16" spans="1:5" ht="12.75">
      <c r="A16" s="151"/>
      <c r="B16" s="151"/>
      <c r="C16" s="160"/>
      <c r="D16" s="151"/>
      <c r="E16" s="152"/>
    </row>
    <row r="17" spans="1:5" ht="12.75">
      <c r="A17" s="151"/>
      <c r="B17" s="151"/>
      <c r="C17" s="151"/>
      <c r="D17" s="151"/>
      <c r="E17" s="151"/>
    </row>
    <row r="18" spans="1:5" ht="12.75">
      <c r="A18" s="151"/>
      <c r="B18" s="151"/>
      <c r="C18" s="151"/>
      <c r="D18" s="151"/>
      <c r="E18" s="151"/>
    </row>
    <row r="19" spans="1:5" ht="12.75">
      <c r="A19" s="151"/>
      <c r="B19" s="151"/>
      <c r="C19" s="151"/>
      <c r="D19" s="151"/>
      <c r="E19" s="151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7"/>
  <sheetViews>
    <sheetView workbookViewId="0" topLeftCell="A111">
      <selection activeCell="E129" sqref="E129"/>
    </sheetView>
  </sheetViews>
  <sheetFormatPr defaultColWidth="9.00390625" defaultRowHeight="12.75"/>
  <cols>
    <col min="1" max="1" width="74.375" style="53" customWidth="1"/>
    <col min="2" max="2" width="16.625" style="52" customWidth="1"/>
    <col min="3" max="3" width="12.875" style="52" customWidth="1"/>
    <col min="4" max="16384" width="9.375" style="52" customWidth="1"/>
  </cols>
  <sheetData>
    <row r="1" ht="12.75">
      <c r="B1" s="1123"/>
    </row>
    <row r="2" spans="1:2" ht="20.25" customHeight="1">
      <c r="A2" s="1296" t="s">
        <v>1127</v>
      </c>
      <c r="B2" s="1297"/>
    </row>
    <row r="3" spans="1:2" ht="24.75" customHeight="1" thickBot="1">
      <c r="A3" s="234"/>
      <c r="B3" s="62" t="s">
        <v>872</v>
      </c>
    </row>
    <row r="4" spans="1:2" s="55" customFormat="1" ht="37.5" customHeight="1" thickBot="1">
      <c r="A4" s="1013" t="s">
        <v>999</v>
      </c>
      <c r="B4" s="63" t="s">
        <v>1223</v>
      </c>
    </row>
    <row r="5" spans="1:2" ht="17.25" customHeight="1">
      <c r="A5" s="1014" t="str">
        <f>'Ö3'!B8</f>
        <v>Panel felújítás</v>
      </c>
      <c r="B5" s="1015">
        <f>'Ö3'!D8</f>
        <v>35168</v>
      </c>
    </row>
    <row r="6" spans="1:2" ht="17.25" customHeight="1">
      <c r="A6" s="1014" t="str">
        <f>'Ö3'!B9</f>
        <v>Fonyódi erdőfelújítás</v>
      </c>
      <c r="B6" s="1015">
        <f>'Ö3'!D9</f>
        <v>2000</v>
      </c>
    </row>
    <row r="7" spans="1:2" ht="17.25" customHeight="1">
      <c r="A7" s="1014" t="str">
        <f>'Ö3'!B10</f>
        <v>Ofotért épület bontása</v>
      </c>
      <c r="B7" s="1015">
        <f>'Ö3'!D10</f>
        <v>3039</v>
      </c>
    </row>
    <row r="8" spans="1:2" ht="17.25" customHeight="1">
      <c r="A8" s="1014" t="str">
        <f>'Ö3'!B24</f>
        <v>Ad Astra szobor helyreállítása</v>
      </c>
      <c r="B8" s="1015">
        <f>'Ö3'!D24</f>
        <v>5840</v>
      </c>
    </row>
    <row r="9" spans="1:2" ht="17.25" customHeight="1">
      <c r="A9" s="1014" t="str">
        <f>'Ö3'!B25</f>
        <v>Karácsonyi díszkivilágítás beszerzés</v>
      </c>
      <c r="B9" s="1015">
        <f>'Ö3'!D25</f>
        <v>596</v>
      </c>
    </row>
    <row r="10" spans="1:2" ht="17.25" customHeight="1">
      <c r="A10" s="1014" t="str">
        <f>'Ö3'!B27</f>
        <v>Optikai kábel kiépítése</v>
      </c>
      <c r="B10" s="1015">
        <f>'Ö3'!D27</f>
        <v>804</v>
      </c>
    </row>
    <row r="11" spans="1:2" ht="17.25" customHeight="1">
      <c r="A11" s="1014" t="str">
        <f>'Ö3'!B35</f>
        <v>Siófoki új tehermentesítő út létesítése KÖZOP-3.5.0.-09-11-2011-0012</v>
      </c>
      <c r="B11" s="1015">
        <f>'Ö3'!D35</f>
        <v>76230</v>
      </c>
    </row>
    <row r="12" spans="1:2" ht="17.25" customHeight="1">
      <c r="A12" s="1014" t="str">
        <f>'Ö3'!B36</f>
        <v>Déli tehermentesítő egyéb költségei (szimulációs vizsgálat, könyvvizsgálói díj)</v>
      </c>
      <c r="B12" s="1015">
        <f>'Ö3'!D36</f>
        <v>2500</v>
      </c>
    </row>
    <row r="13" spans="1:2" ht="17.25" customHeight="1">
      <c r="A13" s="1014" t="str">
        <f>'Ö3'!B37</f>
        <v>Tulajdonviszonyok rendezése a déli tehermentesítőnél (telekvásárlás, bérleti szerződés)</v>
      </c>
      <c r="B13" s="1015">
        <f>'Ö3'!D37</f>
        <v>15000</v>
      </c>
    </row>
    <row r="14" spans="1:2" ht="17.25" customHeight="1">
      <c r="A14" s="1014" t="str">
        <f>'Ö3'!B38</f>
        <v>Déli tehermentesítő tervezési díj (eng. terv + kiviteli terv)</v>
      </c>
      <c r="B14" s="1015">
        <f>'Ö3'!D38</f>
        <v>13000</v>
      </c>
    </row>
    <row r="15" spans="1:2" ht="17.25" customHeight="1">
      <c r="A15" s="1014" t="str">
        <f>'Ö3'!B39</f>
        <v>Közvilágítás korszerűsítés KEOP-5.3.0/A/09-2010-0358</v>
      </c>
      <c r="B15" s="1015">
        <f>'Ö3'!D39</f>
        <v>200231</v>
      </c>
    </row>
    <row r="16" spans="1:2" ht="17.25" customHeight="1">
      <c r="A16" s="1014" t="str">
        <f>'Ö3'!B40</f>
        <v>Közvilágítás egyéb költségek (műszaki ellenőr, könyvvizsgálat, nyilvánosság, szakhatóság)</v>
      </c>
      <c r="B16" s="1015">
        <f>'Ö3'!D40</f>
        <v>6536</v>
      </c>
    </row>
    <row r="17" spans="1:2" ht="17.25" customHeight="1">
      <c r="A17" s="1014" t="str">
        <f>'Ö3'!B46</f>
        <v>Hajléktalan szálló bővítés</v>
      </c>
      <c r="B17" s="1015">
        <f>'Ö3'!D46</f>
        <v>100000</v>
      </c>
    </row>
    <row r="18" spans="1:2" ht="17.25" customHeight="1">
      <c r="A18" s="1014" t="str">
        <f>'Ö3'!B47</f>
        <v>Hajléktalan szálló bővítés (egyéb költségek)</v>
      </c>
      <c r="B18" s="1015">
        <f>'Ö3'!D47</f>
        <v>1860</v>
      </c>
    </row>
    <row r="19" spans="1:2" ht="17.25" customHeight="1">
      <c r="A19" s="1014" t="str">
        <f>'Ö3'!B48</f>
        <v>KIKK-Kreatív Innovációk a Kultúrán keresztül TÁMOP-3.2.3/A-11/1</v>
      </c>
      <c r="B19" s="1015">
        <f>'Ö3'!D48</f>
        <v>120</v>
      </c>
    </row>
    <row r="20" spans="1:2" ht="24">
      <c r="A20" s="1014" t="str">
        <f>'Ö3'!B49</f>
        <v>Helyi és térségi turisztikai desztinációs menedzsment szervezetek létrehozása és fejlesztése        DDOP-2.1.3/C-12 önerő</v>
      </c>
      <c r="B20" s="1124">
        <f>'Ö3'!D49</f>
        <v>8400</v>
      </c>
    </row>
    <row r="21" spans="1:2" ht="17.25" customHeight="1">
      <c r="A21" s="1014" t="str">
        <f>'Ö3'!B50</f>
        <v>Térfigyelő kamerák a Fő téren és a hivatal környékén (BM pályázat)</v>
      </c>
      <c r="B21" s="1015">
        <f>'Ö3'!D50</f>
        <v>18116</v>
      </c>
    </row>
    <row r="22" spans="1:2" ht="17.25" customHeight="1">
      <c r="A22" s="1014" t="str">
        <f>'Ö3'!B61</f>
        <v>Közösségi közlekedés fejlesztése a Balaton térségében DDOP-5.1.2/B-11-2012-0001</v>
      </c>
      <c r="B22" s="1015">
        <f>'Ö3'!D61</f>
        <v>99717</v>
      </c>
    </row>
    <row r="23" spans="1:2" ht="17.25" customHeight="1">
      <c r="A23" s="1014" t="str">
        <f>'Ö3'!B62</f>
        <v>MBH projekt előkészítő szakasza</v>
      </c>
      <c r="B23" s="1015">
        <f>'Ö3'!D62</f>
        <v>25413</v>
      </c>
    </row>
    <row r="24" spans="1:2" ht="17.25" customHeight="1">
      <c r="A24" s="1014" t="str">
        <f>'Ö3'!B63</f>
        <v>Siófok Város Óv. és Bölcs. Pitypang tagóvodájának ép.energetikai korszerűsítése</v>
      </c>
      <c r="B24" s="1015">
        <f>'Ö3'!D63</f>
        <v>29681</v>
      </c>
    </row>
    <row r="25" spans="1:2" ht="25.5" customHeight="1">
      <c r="A25" s="1014" t="str">
        <f>'Ö3'!B64</f>
        <v>Csodálatos Természet - Természettudományi labor fejlesztése a siófoki Perczel Mór Gimnáziumban TÁMOP-3.1.3-11/2-2012-0038</v>
      </c>
      <c r="B25" s="1124">
        <f>'Ö3'!D64</f>
        <v>173149</v>
      </c>
    </row>
    <row r="26" spans="1:2" ht="25.5" customHeight="1">
      <c r="A26" s="1014" t="str">
        <f>'Ö3'!B65</f>
        <v>Környezet-tudatos Balatoni Települések hullagazd.-i rendszerének közös fejlesztése KEOP-1.1.1/C/13-2013-0033</v>
      </c>
      <c r="B26" s="1124">
        <f>'Ö3'!D65</f>
        <v>24563</v>
      </c>
    </row>
    <row r="27" spans="1:2" ht="17.25" customHeight="1">
      <c r="A27" s="1014" t="str">
        <f>'Ö3'!B70</f>
        <v>Informatika</v>
      </c>
      <c r="B27" s="1015">
        <f>'Ö3'!D70</f>
        <v>5790</v>
      </c>
    </row>
    <row r="28" spans="1:2" ht="17.25" customHeight="1">
      <c r="A28" s="1014" t="str">
        <f>'Ö3'!B71</f>
        <v>Kisajátítások, kártalanítási összegek</v>
      </c>
      <c r="B28" s="1015">
        <f>'Ö3'!D71</f>
        <v>1000</v>
      </c>
    </row>
    <row r="29" spans="1:2" ht="17.25" customHeight="1">
      <c r="A29" s="1014" t="str">
        <f>'Ö3'!B81</f>
        <v>Fő tér 5. sz. alatti lakások fűtésleválasztása</v>
      </c>
      <c r="B29" s="1015">
        <f>'Ö3'!D81</f>
        <v>3000</v>
      </c>
    </row>
    <row r="30" spans="1:2" ht="17.25" customHeight="1">
      <c r="A30" s="1014" t="str">
        <f>'Ö3'!B82</f>
        <v>Város térfigyelő kameráinak összehangolása</v>
      </c>
      <c r="B30" s="1015">
        <f>'Ö3'!D82</f>
        <v>8710</v>
      </c>
    </row>
    <row r="31" spans="1:2" ht="17.25" customHeight="1">
      <c r="A31" s="1014" t="str">
        <f>'Ö3'!B83</f>
        <v>Parkolóautomaták beszerzése</v>
      </c>
      <c r="B31" s="1015">
        <f>'Ö3'!D83</f>
        <v>50000</v>
      </c>
    </row>
    <row r="32" spans="1:2" ht="17.25" customHeight="1">
      <c r="A32" s="1014" t="str">
        <f>'Ö3'!B84</f>
        <v>SIOK játszóeszközök javítása, beszerzése</v>
      </c>
      <c r="B32" s="1015">
        <f>'Ö3'!D84</f>
        <v>10000</v>
      </c>
    </row>
    <row r="33" spans="1:2" ht="17.25" customHeight="1">
      <c r="A33" s="1014" t="str">
        <f>'Ö3'!B85</f>
        <v>Közrend program</v>
      </c>
      <c r="B33" s="1015">
        <f>'Ö3'!D85</f>
        <v>15000</v>
      </c>
    </row>
    <row r="34" spans="1:2" ht="17.25" customHeight="1">
      <c r="A34" s="1014" t="str">
        <f>'Ö3'!B86</f>
        <v>Autóbuszvásárlás</v>
      </c>
      <c r="B34" s="1015">
        <f>'Ö3'!D86</f>
        <v>90000</v>
      </c>
    </row>
    <row r="35" spans="1:2" ht="17.25" customHeight="1">
      <c r="A35" s="1236" t="str">
        <f>'Ö3'!B87</f>
        <v>Tartaléktők emelés Balaton-parti Kft.</v>
      </c>
      <c r="B35" s="1237">
        <f>'Ö3'!D87</f>
        <v>89000</v>
      </c>
    </row>
    <row r="36" spans="1:2" ht="17.25" customHeight="1">
      <c r="A36" s="1236" t="str">
        <f>'Ö3'!B88</f>
        <v>Buszvásárlás közbeszerzási eljárási díjai</v>
      </c>
      <c r="B36" s="1237">
        <f>'Ö3'!D88</f>
        <v>1000</v>
      </c>
    </row>
    <row r="37" spans="1:2" ht="17.25" customHeight="1">
      <c r="A37" s="1014" t="str">
        <f>'Ö3'!B89</f>
        <v>Siófok, Felszabadulás u. 53. sz. alatti bérlakás bérleti szerződések megszüntetése</v>
      </c>
      <c r="B37" s="1015">
        <f>'Ö3'!D89</f>
        <v>4400</v>
      </c>
    </row>
    <row r="38" spans="1:2" ht="17.25" customHeight="1">
      <c r="A38" s="1014" t="str">
        <f>'Ö3'!B90</f>
        <v>Kazáncsere a Kiliti iskola könyvtárában</v>
      </c>
      <c r="B38" s="1015">
        <f>'Ö3'!D90</f>
        <v>759</v>
      </c>
    </row>
    <row r="39" spans="1:2" ht="17.25" customHeight="1">
      <c r="A39" s="1014" t="str">
        <f>'Ö3'!B91</f>
        <v>Orvosi rendelők átalakítása </v>
      </c>
      <c r="B39" s="1015">
        <f>'Ö3'!D91</f>
        <v>200</v>
      </c>
    </row>
    <row r="40" spans="1:2" ht="17.25" customHeight="1">
      <c r="A40" s="1014" t="str">
        <f>'Ö3'!B92</f>
        <v>Közterület Felügyelet új számítógép program</v>
      </c>
      <c r="B40" s="1015">
        <f>'Ö3'!D92</f>
        <v>0</v>
      </c>
    </row>
    <row r="41" spans="1:2" ht="17.25" customHeight="1">
      <c r="A41" s="1014" t="str">
        <f>'Ö3'!B93</f>
        <v>Minta lakótelep játszótér rekonstrukció és bővítés</v>
      </c>
      <c r="B41" s="1015">
        <f>'Ö3'!D93</f>
        <v>8500</v>
      </c>
    </row>
    <row r="42" spans="1:2" ht="17.25" customHeight="1">
      <c r="A42" s="1014" t="str">
        <f>'Ö3'!B94</f>
        <v>Lakossági közműfejlesztés</v>
      </c>
      <c r="B42" s="1015">
        <f>'Ö3'!D94</f>
        <v>100</v>
      </c>
    </row>
    <row r="43" spans="1:2" ht="17.25" customHeight="1">
      <c r="A43" s="1014" t="str">
        <f>'Ö3'!B95</f>
        <v>SIÓKOM Hulladékgazdálkodási Kft. törzstőke</v>
      </c>
      <c r="B43" s="1015">
        <f>'Ö3'!D95</f>
        <v>500</v>
      </c>
    </row>
    <row r="44" spans="1:2" ht="17.25" customHeight="1">
      <c r="A44" s="1014" t="str">
        <f>'Ö3'!B96</f>
        <v>Dél-Kelet Európai Transznacionális Program (SEERISK) SEE/C/002/2.2/X</v>
      </c>
      <c r="B44" s="1015">
        <f>'Ö3'!D96</f>
        <v>220</v>
      </c>
    </row>
    <row r="45" spans="1:2" ht="17.25" customHeight="1">
      <c r="A45" s="1014" t="str">
        <f>'Ö3'!B97</f>
        <v>Állatvédő Alapítvány kerítés építés</v>
      </c>
      <c r="B45" s="1015">
        <f>'Ö3'!D97</f>
        <v>2000</v>
      </c>
    </row>
    <row r="46" spans="1:2" ht="17.25" customHeight="1">
      <c r="A46" s="1014" t="str">
        <f>'Ö3'!B98</f>
        <v>Településrendezési terv </v>
      </c>
      <c r="B46" s="1015">
        <f>'Ö3'!D98</f>
        <v>635</v>
      </c>
    </row>
    <row r="47" spans="1:2" ht="17.25" customHeight="1">
      <c r="A47" s="1014" t="str">
        <f>'Ö3'!B99</f>
        <v>Siófok 6192 hrsz. beépítetlen terület</v>
      </c>
      <c r="B47" s="1015">
        <f>'Ö3'!D99</f>
        <v>10000</v>
      </c>
    </row>
    <row r="48" spans="1:2" ht="17.25" customHeight="1">
      <c r="A48" s="1014" t="str">
        <f>'Ö3'!B100</f>
        <v>BFC Siófok Kft. TAO pályázat önerő</v>
      </c>
      <c r="B48" s="1015">
        <f>'Ö3'!D100</f>
        <v>9104</v>
      </c>
    </row>
    <row r="49" spans="1:2" ht="17.25" customHeight="1">
      <c r="A49" s="1014" t="str">
        <f>'Ö3'!B101</f>
        <v>Siófok Kézilabda Club Kft. TAO pályázat önerő</v>
      </c>
      <c r="B49" s="1015">
        <f>'Ö3'!D101</f>
        <v>30000</v>
      </c>
    </row>
    <row r="50" spans="1:2" ht="17.25" customHeight="1">
      <c r="A50" s="1014" t="str">
        <f>'Ö3'!B102</f>
        <v>Wifi kiépítése a Fő téren</v>
      </c>
      <c r="B50" s="1015">
        <f>'Ö3'!D102</f>
        <v>2039</v>
      </c>
    </row>
    <row r="51" spans="1:2" ht="17.25" customHeight="1">
      <c r="A51" s="1014" t="str">
        <f>'Ö3'!B103</f>
        <v>Hangár épületén riasztórendszer telepítése</v>
      </c>
      <c r="B51" s="1015">
        <f>'Ö3'!D103</f>
        <v>893</v>
      </c>
    </row>
    <row r="52" spans="1:2" ht="17.25" customHeight="1">
      <c r="A52" s="1014" t="str">
        <f>'Ö3'!B104</f>
        <v>Légfüggöny</v>
      </c>
      <c r="B52" s="1015">
        <f>'Ö3'!D104</f>
        <v>672</v>
      </c>
    </row>
    <row r="53" spans="1:2" ht="17.25" customHeight="1">
      <c r="A53" s="1014" t="str">
        <f>'Ö3'!B105</f>
        <v>Galérius Fürdő</v>
      </c>
      <c r="B53" s="1015">
        <f>'Ö3'!D105</f>
        <v>89</v>
      </c>
    </row>
    <row r="54" spans="1:2" ht="17.25" customHeight="1">
      <c r="A54" s="1014" t="str">
        <f>'Ö3'!B106</f>
        <v>Pillangó Óvoda</v>
      </c>
      <c r="B54" s="1015">
        <f>'Ö3'!D106</f>
        <v>16</v>
      </c>
    </row>
    <row r="55" spans="1:2" ht="17.25" customHeight="1">
      <c r="A55" s="1014" t="str">
        <f>'Ö3'!B107</f>
        <v>Kossuth L. u. 11. épület bontása</v>
      </c>
      <c r="B55" s="1015">
        <f>'Ö3'!D107</f>
        <v>5</v>
      </c>
    </row>
    <row r="56" spans="1:2" ht="17.25" customHeight="1">
      <c r="A56" s="1014" t="str">
        <f>'Ö3'!B108</f>
        <v>Beszédes J. Általános Iskola villamoshálózat</v>
      </c>
      <c r="B56" s="1015">
        <f>'Ö3'!D108</f>
        <v>203</v>
      </c>
    </row>
    <row r="57" spans="1:2" ht="17.25" customHeight="1">
      <c r="A57" s="1014" t="str">
        <f>'Ö3'!B109</f>
        <v>Irodabútor ügyfélszolgálat</v>
      </c>
      <c r="B57" s="1015">
        <f>'Ö3'!D109</f>
        <v>451</v>
      </c>
    </row>
    <row r="58" spans="1:2" ht="17.25" customHeight="1">
      <c r="A58" s="1014" t="str">
        <f>'Ö3'!B110</f>
        <v>Kerékpárút fejlesztés</v>
      </c>
      <c r="B58" s="1015">
        <f>'Ö3'!D110</f>
        <v>5460</v>
      </c>
    </row>
    <row r="59" spans="1:2" ht="17.25" customHeight="1">
      <c r="A59" s="1014" t="str">
        <f>'Ö3'!B111</f>
        <v>Vak Bottyán János Általános Iskola energiahatékonyságának javítása önerő</v>
      </c>
      <c r="B59" s="1015">
        <f>'Ö3'!D111</f>
        <v>48261</v>
      </c>
    </row>
    <row r="60" spans="1:2" ht="17.25" customHeight="1">
      <c r="A60" s="1014" t="str">
        <f>'Ö3'!B112</f>
        <v>Siófok Kézilabda Club Kft. Kézilabda munkacsarnok</v>
      </c>
      <c r="B60" s="1015">
        <f>'Ö3'!D112</f>
        <v>361950</v>
      </c>
    </row>
    <row r="61" spans="1:2" ht="17.25" customHeight="1">
      <c r="A61" s="1014" t="str">
        <f>'Ö3'!B113</f>
        <v>Porta bútorzat</v>
      </c>
      <c r="B61" s="1015">
        <f>'Ö3'!D113</f>
        <v>546</v>
      </c>
    </row>
    <row r="62" spans="1:2" ht="17.25" customHeight="1">
      <c r="A62" s="1014" t="str">
        <f>'Ö3'!B114</f>
        <v>Városháza épületében étkező kialakítása</v>
      </c>
      <c r="B62" s="1015">
        <f>'Ö3'!D114</f>
        <v>189</v>
      </c>
    </row>
    <row r="63" spans="1:2" ht="17.25" customHeight="1">
      <c r="A63" s="1014" t="str">
        <f>'Ö3'!B115</f>
        <v>BAHART részvény vásárlás (Révfülöp)</v>
      </c>
      <c r="B63" s="1015">
        <f>'Ö3'!D115</f>
        <v>53115</v>
      </c>
    </row>
    <row r="64" spans="1:2" ht="17.25" customHeight="1">
      <c r="A64" s="1014" t="str">
        <f>'Ö3'!B116</f>
        <v>Micimackó óvoda épületének részbeni hőszigetelése</v>
      </c>
      <c r="B64" s="1015">
        <f>'Ö3'!D116</f>
        <v>1060</v>
      </c>
    </row>
    <row r="65" spans="1:2" ht="17.25" customHeight="1">
      <c r="A65" s="1014" t="str">
        <f>'Ö3'!B117</f>
        <v>Borítékoló gép + szoftver</v>
      </c>
      <c r="B65" s="1015">
        <f>'Ö3'!D117</f>
        <v>7400</v>
      </c>
    </row>
    <row r="66" spans="1:2" ht="17.25" customHeight="1">
      <c r="A66" s="1014" t="str">
        <f>'Ö3'!B118</f>
        <v>e-KATA program</v>
      </c>
      <c r="B66" s="1015">
        <f>'Ö3'!D118</f>
        <v>1524</v>
      </c>
    </row>
    <row r="67" spans="1:2" ht="17.25" customHeight="1">
      <c r="A67" s="1014" t="str">
        <f>'Ö3'!B127</f>
        <v>Meggyfa utca déli részén keleti oldalon járda építése</v>
      </c>
      <c r="B67" s="1015">
        <f>'Ö3'!D127</f>
        <v>7147</v>
      </c>
    </row>
    <row r="68" spans="1:2" ht="17.25" customHeight="1">
      <c r="A68" s="1014" t="str">
        <f>'Ö3'!B128</f>
        <v>Május 2. utca keleti oldalon a Gesztenye u. - Cseresznye u. között járda</v>
      </c>
      <c r="B68" s="1015">
        <f>'Ö3'!D128</f>
        <v>5149</v>
      </c>
    </row>
    <row r="69" spans="1:2" ht="17.25" customHeight="1">
      <c r="A69" s="1014" t="str">
        <f>'Ö3'!B129</f>
        <v>Csopak u. kátyútalanítása, felületi zárása</v>
      </c>
      <c r="B69" s="1015">
        <f>'Ö3'!D129</f>
        <v>1293</v>
      </c>
    </row>
    <row r="70" spans="1:2" ht="17.25" customHeight="1">
      <c r="A70" s="1014" t="str">
        <f>'Ö3'!B130</f>
        <v>Ringló u. kátyútalanítása, csapadékvíz elvezetése, felületi zárása</v>
      </c>
      <c r="B70" s="1015">
        <f>'Ö3'!D130</f>
        <v>4095</v>
      </c>
    </row>
    <row r="71" spans="1:2" ht="17.25" customHeight="1">
      <c r="A71" s="1014" t="str">
        <f>'Ö3'!B131</f>
        <v>Bolyai J. u. járdaépítése</v>
      </c>
      <c r="B71" s="1015">
        <f>'Ö3'!D131</f>
        <v>2825</v>
      </c>
    </row>
    <row r="72" spans="1:2" ht="17.25" customHeight="1">
      <c r="A72" s="1014" t="str">
        <f>'Ö3'!B132</f>
        <v>Somogyi utca rekonstrukciója - vízelvezetés, járda, aszfaltburkolat</v>
      </c>
      <c r="B72" s="1015">
        <f>'Ö3'!D132</f>
        <v>22372</v>
      </c>
    </row>
    <row r="73" spans="1:2" ht="17.25" customHeight="1">
      <c r="A73" s="1014" t="str">
        <f>'Ö3'!B133</f>
        <v>Trianon emlékműhöz vezető lépcső és járda építése</v>
      </c>
      <c r="B73" s="1015">
        <f>'Ö3'!D133</f>
        <v>2146</v>
      </c>
    </row>
    <row r="74" spans="1:2" ht="17.25" customHeight="1">
      <c r="A74" s="1014" t="str">
        <f>'Ö3'!B134</f>
        <v>Asztalos u. keleti oldalán járda építés (Boglárka u. - Templom u.)</v>
      </c>
      <c r="B74" s="1015">
        <f>'Ö3'!D134</f>
        <v>3934</v>
      </c>
    </row>
    <row r="75" spans="1:2" ht="17.25" customHeight="1">
      <c r="A75" s="1014" t="str">
        <f>'Ö3'!B135</f>
        <v>Dózsa Gy. u. járda nyugati oldal térkövezése a Bajcsy Zs. u.-tól délre</v>
      </c>
      <c r="B75" s="1015">
        <f>'Ö3'!D135</f>
        <v>9250</v>
      </c>
    </row>
    <row r="76" spans="1:2" ht="17.25" customHeight="1">
      <c r="A76" s="1014" t="str">
        <f>'Ö3'!B136</f>
        <v>Bányász u. járda térkövezése (egyik oldal)</v>
      </c>
      <c r="B76" s="1015">
        <f>'Ö3'!D136</f>
        <v>6079</v>
      </c>
    </row>
    <row r="77" spans="1:2" ht="17.25" customHeight="1">
      <c r="A77" s="1014" t="str">
        <f>'Ö3'!B137</f>
        <v>Fő utca járda felújítása Széchenyi utca és az Oulu park közötti szakaszon - két oldali</v>
      </c>
      <c r="B77" s="1015">
        <f>'Ö3'!D137</f>
        <v>13923</v>
      </c>
    </row>
    <row r="78" spans="1:2" ht="17.25" customHeight="1">
      <c r="A78" s="1014" t="str">
        <f>'Ö3'!B138</f>
        <v>Kossuth L. u. - Fő u. közötti gyalogos köz térburkolása</v>
      </c>
      <c r="B78" s="1015">
        <f>'Ö3'!D138</f>
        <v>1740</v>
      </c>
    </row>
    <row r="79" spans="1:2" ht="17.25" customHeight="1">
      <c r="A79" s="1014" t="str">
        <f>'Ö3'!B139</f>
        <v>Park Center - Bezedédj u. közötti betonlapos járda újrarakása (Attila utcában)</v>
      </c>
      <c r="B79" s="1015">
        <f>'Ö3'!D139</f>
        <v>1990</v>
      </c>
    </row>
    <row r="80" spans="1:2" ht="17.25" customHeight="1">
      <c r="A80" s="1014" t="str">
        <f>'Ö3'!B140</f>
        <v>Honvéd u. nyugati oldal térburkolatos járda</v>
      </c>
      <c r="B80" s="1015">
        <f>'Ö3'!D140</f>
        <v>13076</v>
      </c>
    </row>
    <row r="81" spans="1:2" ht="17.25" customHeight="1">
      <c r="A81" s="1014" t="str">
        <f>'Ö3'!B148</f>
        <v>Bajcsy Zs. u. Kele és Sió u. közötti szakaszon árok tisztítása, szintbe helyezése</v>
      </c>
      <c r="B81" s="1015">
        <f>'Ö3'!D148</f>
        <v>2500</v>
      </c>
    </row>
    <row r="82" spans="1:2" ht="17.25" customHeight="1">
      <c r="A82" s="1014" t="str">
        <f>'Ö3'!B204</f>
        <v>Közvilágítás korszerűsítés tervezés</v>
      </c>
      <c r="B82" s="1015">
        <f>'Ö3'!D204</f>
        <v>9744</v>
      </c>
    </row>
    <row r="83" spans="1:2" ht="17.25" customHeight="1">
      <c r="A83" s="1014" t="str">
        <f>'Ö3'!B205</f>
        <v>Töreki buszforduló tervezése</v>
      </c>
      <c r="B83" s="1015">
        <f>'Ö3'!D205</f>
        <v>443</v>
      </c>
    </row>
    <row r="84" spans="1:2" ht="17.25" customHeight="1">
      <c r="A84" s="1014" t="str">
        <f>'Ö3'!B206</f>
        <v>Marosi út - Somlay út engedély hosszabítás</v>
      </c>
      <c r="B84" s="1015">
        <f>'Ö3'!D206</f>
        <v>2240</v>
      </c>
    </row>
    <row r="85" spans="1:2" ht="17.25" customHeight="1">
      <c r="A85" s="1014" t="str">
        <f>'Ö3'!B207</f>
        <v>Jubileum tér - Galamb köz kerékpár útterv</v>
      </c>
      <c r="B85" s="1015">
        <f>'Ö3'!D207</f>
        <v>1750</v>
      </c>
    </row>
    <row r="86" spans="1:2" ht="17.25" customHeight="1">
      <c r="A86" s="1014" t="str">
        <f>'Ö3'!B208</f>
        <v>Aranypart futópálya tervezése</v>
      </c>
      <c r="B86" s="1015">
        <f>'Ö3'!D208</f>
        <v>775</v>
      </c>
    </row>
    <row r="87" spans="1:2" ht="17.25" customHeight="1">
      <c r="A87" s="1014" t="str">
        <f>'Ö3'!B258</f>
        <v>Újhelyi temető előtt közvilágítás biztosítása 2 db kandelláber</v>
      </c>
      <c r="B87" s="1015">
        <f>'Ö3'!D258</f>
        <v>1400</v>
      </c>
    </row>
    <row r="88" spans="1:2" ht="17.25" customHeight="1">
      <c r="A88" s="1014" t="str">
        <f>'Ö3'!B259</f>
        <v>Ringló utcában közvilágítás</v>
      </c>
      <c r="B88" s="1015">
        <f>'Ö3'!D259</f>
        <v>6000</v>
      </c>
    </row>
    <row r="89" spans="1:2" ht="17.25" customHeight="1" hidden="1">
      <c r="A89" s="1014"/>
      <c r="B89" s="1015"/>
    </row>
    <row r="90" spans="1:2" ht="17.25" customHeight="1" hidden="1">
      <c r="A90" s="1014"/>
      <c r="B90" s="1015"/>
    </row>
    <row r="91" spans="1:2" ht="17.25" customHeight="1" hidden="1">
      <c r="A91" s="1014"/>
      <c r="B91" s="1015"/>
    </row>
    <row r="92" spans="1:2" ht="17.25" customHeight="1" hidden="1">
      <c r="A92" s="1014"/>
      <c r="B92" s="1015"/>
    </row>
    <row r="93" spans="1:2" ht="17.25" customHeight="1" hidden="1">
      <c r="A93" s="1014"/>
      <c r="B93" s="1015"/>
    </row>
    <row r="94" spans="1:2" ht="17.25" customHeight="1" hidden="1">
      <c r="A94" s="1014"/>
      <c r="B94" s="1015"/>
    </row>
    <row r="95" spans="1:2" ht="17.25" customHeight="1" hidden="1">
      <c r="A95" s="1014"/>
      <c r="B95" s="1015"/>
    </row>
    <row r="96" spans="1:2" ht="17.25" customHeight="1" hidden="1">
      <c r="A96" s="1014"/>
      <c r="B96" s="1015"/>
    </row>
    <row r="97" spans="1:2" ht="17.25" customHeight="1" hidden="1">
      <c r="A97" s="1014"/>
      <c r="B97" s="1015"/>
    </row>
    <row r="98" spans="1:2" ht="17.25" customHeight="1" hidden="1">
      <c r="A98" s="1014"/>
      <c r="B98" s="1015"/>
    </row>
    <row r="99" spans="1:2" ht="17.25" customHeight="1" hidden="1">
      <c r="A99" s="1014"/>
      <c r="B99" s="1015"/>
    </row>
    <row r="100" spans="1:2" ht="17.25" customHeight="1" hidden="1">
      <c r="A100" s="1014"/>
      <c r="B100" s="1015"/>
    </row>
    <row r="101" spans="1:2" ht="17.25" customHeight="1" hidden="1">
      <c r="A101" s="1014"/>
      <c r="B101" s="1015"/>
    </row>
    <row r="102" spans="1:2" ht="17.25" customHeight="1" hidden="1">
      <c r="A102" s="1014"/>
      <c r="B102" s="1015"/>
    </row>
    <row r="103" spans="1:2" ht="17.25" customHeight="1" hidden="1">
      <c r="A103" s="1014"/>
      <c r="B103" s="1015"/>
    </row>
    <row r="104" spans="1:2" ht="17.25" customHeight="1" hidden="1">
      <c r="A104" s="1014"/>
      <c r="B104" s="1015"/>
    </row>
    <row r="105" spans="1:2" ht="17.25" customHeight="1" hidden="1">
      <c r="A105" s="1014"/>
      <c r="B105" s="1015"/>
    </row>
    <row r="106" spans="1:2" ht="17.25" customHeight="1" hidden="1">
      <c r="A106" s="1014"/>
      <c r="B106" s="1015"/>
    </row>
    <row r="107" spans="1:2" ht="17.25" customHeight="1" hidden="1">
      <c r="A107" s="1014"/>
      <c r="B107" s="1015"/>
    </row>
    <row r="108" spans="1:2" ht="17.25" customHeight="1" hidden="1">
      <c r="A108" s="1014"/>
      <c r="B108" s="1015"/>
    </row>
    <row r="109" spans="1:2" ht="17.25" customHeight="1" hidden="1">
      <c r="A109" s="1014"/>
      <c r="B109" s="1015"/>
    </row>
    <row r="110" spans="1:2" ht="17.25" customHeight="1" hidden="1">
      <c r="A110" s="1014"/>
      <c r="B110" s="1015"/>
    </row>
    <row r="111" spans="1:2" ht="17.25" customHeight="1">
      <c r="A111" s="1017" t="s">
        <v>1000</v>
      </c>
      <c r="B111" s="1018">
        <f>SUM(B5:B110)-B35-B36</f>
        <v>1695625</v>
      </c>
    </row>
    <row r="112" spans="1:2" ht="17.25" customHeight="1">
      <c r="A112" s="1019" t="str">
        <f>'P3'!B10</f>
        <v>Kamera és risztórendszer kiépítése a hivatal épületében</v>
      </c>
      <c r="B112" s="1016">
        <f>'P3'!D10</f>
        <v>7159</v>
      </c>
    </row>
    <row r="113" spans="1:2" ht="17.25" customHeight="1" hidden="1">
      <c r="A113" s="1019"/>
      <c r="B113" s="1016"/>
    </row>
    <row r="114" spans="1:2" ht="17.25" customHeight="1" hidden="1">
      <c r="A114" s="1019"/>
      <c r="B114" s="1016"/>
    </row>
    <row r="115" spans="1:2" ht="17.25" customHeight="1" hidden="1">
      <c r="A115" s="1019"/>
      <c r="B115" s="1016"/>
    </row>
    <row r="116" spans="1:2" ht="17.25" customHeight="1">
      <c r="A116" s="1017" t="s">
        <v>679</v>
      </c>
      <c r="B116" s="1018">
        <f>SUM(B112:B115)</f>
        <v>7159</v>
      </c>
    </row>
    <row r="117" spans="1:2" ht="17.25" customHeight="1">
      <c r="A117" s="1019" t="str">
        <f>A112</f>
        <v>Kamera és risztórendszer kiépítése a hivatal épületében</v>
      </c>
      <c r="B117" s="1016">
        <f>'K3'!D10</f>
        <v>831</v>
      </c>
    </row>
    <row r="118" spans="1:2" ht="17.25" customHeight="1">
      <c r="A118" s="1017" t="s">
        <v>1234</v>
      </c>
      <c r="B118" s="1018">
        <f>B117</f>
        <v>831</v>
      </c>
    </row>
    <row r="119" spans="1:2" ht="17.25" customHeight="1">
      <c r="A119" s="1014" t="s">
        <v>1119</v>
      </c>
      <c r="B119" s="1015">
        <v>819</v>
      </c>
    </row>
    <row r="120" spans="1:2" ht="17.25" customHeight="1">
      <c r="A120" s="1014" t="s">
        <v>1120</v>
      </c>
      <c r="B120" s="1015">
        <v>250</v>
      </c>
    </row>
    <row r="121" spans="1:2" ht="17.25" customHeight="1" hidden="1">
      <c r="A121" s="1020"/>
      <c r="B121" s="1021"/>
    </row>
    <row r="122" spans="1:2" ht="17.25" customHeight="1" hidden="1">
      <c r="A122" s="56"/>
      <c r="B122" s="30"/>
    </row>
    <row r="123" spans="1:2" ht="17.25" customHeight="1" hidden="1">
      <c r="A123" s="56"/>
      <c r="B123" s="30"/>
    </row>
    <row r="124" spans="1:2" ht="17.25" customHeight="1">
      <c r="A124" s="1017" t="s">
        <v>1001</v>
      </c>
      <c r="B124" s="1018">
        <f>SUM(B119:B123)</f>
        <v>1069</v>
      </c>
    </row>
    <row r="125" spans="1:2" ht="17.25" customHeight="1">
      <c r="A125" s="1014" t="s">
        <v>1121</v>
      </c>
      <c r="B125" s="1015">
        <f>3600+500-1374-524</f>
        <v>2202</v>
      </c>
    </row>
    <row r="126" spans="1:2" ht="17.25" customHeight="1">
      <c r="A126" s="1014" t="s">
        <v>1122</v>
      </c>
      <c r="B126" s="1015">
        <f>2700+567</f>
        <v>3267</v>
      </c>
    </row>
    <row r="127" spans="1:2" ht="17.25" customHeight="1">
      <c r="A127" s="1014" t="s">
        <v>1123</v>
      </c>
      <c r="B127" s="1015">
        <f>670+226</f>
        <v>896</v>
      </c>
    </row>
    <row r="128" spans="1:2" ht="17.25" customHeight="1">
      <c r="A128" s="1014" t="s">
        <v>1124</v>
      </c>
      <c r="B128" s="1015">
        <f>1200+213</f>
        <v>1413</v>
      </c>
    </row>
    <row r="129" spans="1:2" ht="17.25" customHeight="1">
      <c r="A129" s="1014" t="s">
        <v>1125</v>
      </c>
      <c r="B129" s="1015">
        <f>150+194</f>
        <v>344</v>
      </c>
    </row>
    <row r="130" spans="1:2" ht="17.25" customHeight="1">
      <c r="A130" s="1014" t="s">
        <v>1126</v>
      </c>
      <c r="B130" s="1015">
        <v>120</v>
      </c>
    </row>
    <row r="131" spans="1:2" ht="17.25" customHeight="1">
      <c r="A131" s="1014" t="s">
        <v>1339</v>
      </c>
      <c r="B131" s="1015">
        <v>132</v>
      </c>
    </row>
    <row r="132" spans="1:2" ht="17.25" customHeight="1">
      <c r="A132" s="1014" t="s">
        <v>1340</v>
      </c>
      <c r="B132" s="1015">
        <v>42</v>
      </c>
    </row>
    <row r="133" spans="1:2" ht="17.25" customHeight="1">
      <c r="A133" s="1014" t="s">
        <v>1341</v>
      </c>
      <c r="B133" s="1015">
        <v>524</v>
      </c>
    </row>
    <row r="134" spans="1:2" ht="17.25" customHeight="1" hidden="1">
      <c r="A134" s="1014"/>
      <c r="B134" s="1015"/>
    </row>
    <row r="135" spans="1:2" ht="17.25" customHeight="1" hidden="1">
      <c r="A135" s="1014"/>
      <c r="B135" s="1015"/>
    </row>
    <row r="136" spans="1:2" ht="17.25" customHeight="1" thickBot="1">
      <c r="A136" s="1017" t="s">
        <v>1002</v>
      </c>
      <c r="B136" s="1018">
        <f>SUM(B125:B135)</f>
        <v>8940</v>
      </c>
    </row>
    <row r="137" spans="1:2" ht="17.25" customHeight="1" hidden="1">
      <c r="A137" s="1014"/>
      <c r="B137" s="1015"/>
    </row>
    <row r="138" spans="1:2" ht="17.25" customHeight="1" hidden="1">
      <c r="A138" s="1014"/>
      <c r="B138" s="1015"/>
    </row>
    <row r="139" spans="1:2" ht="17.25" customHeight="1" hidden="1">
      <c r="A139" s="1014"/>
      <c r="B139" s="1015"/>
    </row>
    <row r="140" spans="1:2" ht="17.25" customHeight="1" hidden="1">
      <c r="A140" s="1014"/>
      <c r="B140" s="1015"/>
    </row>
    <row r="141" spans="1:2" ht="17.25" customHeight="1" hidden="1">
      <c r="A141" s="1014"/>
      <c r="B141" s="1015"/>
    </row>
    <row r="142" spans="1:2" ht="17.25" customHeight="1" hidden="1">
      <c r="A142" s="1014"/>
      <c r="B142" s="1015"/>
    </row>
    <row r="143" spans="1:2" ht="17.25" customHeight="1" hidden="1">
      <c r="A143" s="1014"/>
      <c r="B143" s="1015"/>
    </row>
    <row r="144" spans="1:2" ht="17.25" customHeight="1" hidden="1">
      <c r="A144" s="1019"/>
      <c r="B144" s="1016"/>
    </row>
    <row r="145" spans="1:2" ht="17.25" customHeight="1" hidden="1">
      <c r="A145" s="1019"/>
      <c r="B145" s="1016"/>
    </row>
    <row r="146" spans="1:2" ht="17.25" customHeight="1" hidden="1" thickBot="1">
      <c r="A146" s="1017"/>
      <c r="B146" s="1018">
        <f>SUM(B137:B145)</f>
        <v>0</v>
      </c>
    </row>
    <row r="147" spans="1:2" s="66" customFormat="1" ht="18" customHeight="1" thickBot="1">
      <c r="A147" s="1022" t="s">
        <v>893</v>
      </c>
      <c r="B147" s="1023">
        <f>B111+B116+B124+B136+B146+B118</f>
        <v>1713624</v>
      </c>
    </row>
  </sheetData>
  <sheetProtection/>
  <mergeCells count="1">
    <mergeCell ref="A2:B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portrait" paperSize="9" r:id="rId1"/>
  <headerFooter alignWithMargins="0">
    <oddHeader xml:space="preserve">&amp;R&amp;"Times New Roman CE,Félkövér dőlt"&amp;11 6. számú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19" sqref="B19"/>
    </sheetView>
  </sheetViews>
  <sheetFormatPr defaultColWidth="9.00390625" defaultRowHeight="12.75"/>
  <cols>
    <col min="1" max="1" width="77.375" style="53" customWidth="1"/>
    <col min="2" max="2" width="16.625" style="52" customWidth="1"/>
    <col min="3" max="4" width="12.875" style="52" customWidth="1"/>
    <col min="5" max="5" width="13.875" style="52" customWidth="1"/>
    <col min="6" max="16384" width="9.375" style="52" customWidth="1"/>
  </cols>
  <sheetData>
    <row r="1" ht="12.75">
      <c r="B1" s="1123"/>
    </row>
    <row r="2" spans="1:2" ht="20.25" customHeight="1">
      <c r="A2" s="1296" t="s">
        <v>1128</v>
      </c>
      <c r="B2" s="1297"/>
    </row>
    <row r="3" spans="1:2" ht="69" customHeight="1" thickBot="1">
      <c r="A3" s="234"/>
      <c r="B3" s="62" t="s">
        <v>872</v>
      </c>
    </row>
    <row r="4" spans="1:2" s="55" customFormat="1" ht="48.75" customHeight="1" thickBot="1">
      <c r="A4" s="1013" t="s">
        <v>130</v>
      </c>
      <c r="B4" s="63" t="str">
        <f>6!B4</f>
        <v>2013. évi módosított előirányzat</v>
      </c>
    </row>
    <row r="5" spans="1:2" ht="15.75" customHeight="1">
      <c r="A5" s="1024" t="str">
        <f>'Ö3'!B273</f>
        <v>Balaton-parti Kft. tartaléktőke emelés</v>
      </c>
      <c r="B5" s="1016">
        <f>'Ö3'!D273</f>
        <v>390000</v>
      </c>
    </row>
    <row r="6" spans="1:2" ht="15.75" customHeight="1">
      <c r="A6" s="1024" t="str">
        <f>'Ö3'!B274</f>
        <v>Thanhoffer villa felújítása - műszaki ellenőri tevékenység</v>
      </c>
      <c r="B6" s="1016">
        <f>'Ö3'!D274</f>
        <v>13678</v>
      </c>
    </row>
    <row r="7" spans="1:2" ht="15.75" customHeight="1">
      <c r="A7" s="1024" t="str">
        <f>'Ö3'!B275</f>
        <v>Batthyány u. 1. fűtéskorszerűsítése</v>
      </c>
      <c r="B7" s="1016">
        <f>'Ö3'!D275</f>
        <v>1426</v>
      </c>
    </row>
    <row r="8" spans="1:2" ht="15.75" customHeight="1">
      <c r="A8" s="1024" t="str">
        <f>'Ö3'!B290</f>
        <v>Evangélikus Egyház támogatása (templom felújítás)</v>
      </c>
      <c r="B8" s="1016">
        <f>'Ö3'!D290</f>
        <v>0</v>
      </c>
    </row>
    <row r="9" spans="1:2" ht="15.75" customHeight="1">
      <c r="A9" s="1024" t="str">
        <f>'Ö3'!B291</f>
        <v>MAZSIHISZ (zsinagóga felújítás)</v>
      </c>
      <c r="B9" s="1016">
        <f>'Ö3'!D291</f>
        <v>1021</v>
      </c>
    </row>
    <row r="10" spans="1:2" ht="15.75" customHeight="1">
      <c r="A10" s="1024" t="str">
        <f>'Ö3'!B292</f>
        <v>Rendészeti iroda fejlesztése</v>
      </c>
      <c r="B10" s="1016">
        <f>'Ö3'!D292</f>
        <v>300</v>
      </c>
    </row>
    <row r="11" spans="1:2" ht="15.75" customHeight="1">
      <c r="A11" s="1024" t="str">
        <f>'Ö3'!B293</f>
        <v>Bahart Zrt.-nek átadott pénzeszköz a viziturizmus fejlesztése érdekében</v>
      </c>
      <c r="B11" s="1016">
        <f>'Ö3'!D293</f>
        <v>1552</v>
      </c>
    </row>
    <row r="12" spans="1:2" ht="17.25" customHeight="1">
      <c r="A12" s="1024" t="str">
        <f>'Ö3'!B294</f>
        <v>Bahart Zrt.-nek átadott pénzeszköz a kikötő mólófej felújítására</v>
      </c>
      <c r="B12" s="1016">
        <f>'Ö3'!D294</f>
        <v>9165</v>
      </c>
    </row>
    <row r="13" spans="1:2" ht="17.25" customHeight="1">
      <c r="A13" s="1024" t="str">
        <f>'Ö3'!B295</f>
        <v>Kerti pavilonok felújítása a Millenium parkban (zenepavilon pergolág)</v>
      </c>
      <c r="B13" s="1016">
        <f>'Ö3'!D295</f>
        <v>901</v>
      </c>
    </row>
    <row r="14" spans="1:2" ht="17.25" customHeight="1">
      <c r="A14" s="1024" t="str">
        <f>'Ö3'!B296</f>
        <v>Széchenyi és Tanácsház u. sarkán lévő Széchenyi park felújítása</v>
      </c>
      <c r="B14" s="1016">
        <f>'Ö3'!D296</f>
        <v>800</v>
      </c>
    </row>
    <row r="15" spans="1:2" ht="15.75" customHeight="1">
      <c r="A15" s="1024" t="str">
        <f>'Ö3'!B297</f>
        <v>Jázmin u. és köz csapadékvíz elvezetés út és járda felújítás</v>
      </c>
      <c r="B15" s="1016">
        <f>'Ö3'!D297</f>
        <v>11122</v>
      </c>
    </row>
    <row r="16" spans="1:2" ht="15.75" customHeight="1">
      <c r="A16" s="1024" t="str">
        <f>'Ö3'!B298</f>
        <v>Mártírok útja vasúttól északra kétoldali járdafelújítás</v>
      </c>
      <c r="B16" s="1016">
        <f>'Ö3'!D298</f>
        <v>20276</v>
      </c>
    </row>
    <row r="17" spans="1:2" ht="15.75" customHeight="1">
      <c r="A17" s="1024" t="str">
        <f>'Ö3'!B299</f>
        <v>Pöttyös Óvoda épületében kazánház gépészeti felújítása</v>
      </c>
      <c r="B17" s="1016">
        <f>'Ö3'!D299</f>
        <v>2470</v>
      </c>
    </row>
    <row r="18" spans="1:2" ht="15.75" customHeight="1">
      <c r="A18" s="1024" t="str">
        <f>'Ö3'!B300</f>
        <v>Siófoki Kosársuli Egyesület támogatása (parketta felújítás)</v>
      </c>
      <c r="B18" s="1016">
        <f>'Ö3'!D300</f>
        <v>3500</v>
      </c>
    </row>
    <row r="19" spans="1:2" ht="15.75" customHeight="1">
      <c r="A19" s="1024" t="str">
        <f>'Ö3'!B301</f>
        <v>Ady E. u. járda részleges felújítása díszburkolattal</v>
      </c>
      <c r="B19" s="1016">
        <f>'Ö3'!D301</f>
        <v>2000</v>
      </c>
    </row>
    <row r="20" spans="1:2" ht="15.75" customHeight="1" hidden="1">
      <c r="A20" s="1024"/>
      <c r="B20" s="1016"/>
    </row>
    <row r="21" spans="1:2" ht="15.75" customHeight="1" hidden="1">
      <c r="A21" s="1024"/>
      <c r="B21" s="1016"/>
    </row>
    <row r="22" spans="1:2" ht="15.75" customHeight="1" hidden="1">
      <c r="A22" s="1024"/>
      <c r="B22" s="1016"/>
    </row>
    <row r="23" spans="1:2" ht="15.75" customHeight="1" hidden="1">
      <c r="A23" s="1024"/>
      <c r="B23" s="1016"/>
    </row>
    <row r="24" spans="1:2" ht="15.75" customHeight="1" hidden="1">
      <c r="A24" s="1024"/>
      <c r="B24" s="1016"/>
    </row>
    <row r="25" spans="1:2" ht="15.75" customHeight="1" hidden="1">
      <c r="A25" s="1024"/>
      <c r="B25" s="1016"/>
    </row>
    <row r="26" spans="1:2" ht="15.75" customHeight="1" hidden="1">
      <c r="A26" s="1024"/>
      <c r="B26" s="1016"/>
    </row>
    <row r="27" spans="1:2" ht="15.75" customHeight="1" hidden="1">
      <c r="A27" s="1024"/>
      <c r="B27" s="1016"/>
    </row>
    <row r="28" spans="1:2" ht="15.75" customHeight="1" hidden="1">
      <c r="A28" s="1024"/>
      <c r="B28" s="1016"/>
    </row>
    <row r="29" spans="1:2" ht="15.75" customHeight="1" hidden="1">
      <c r="A29" s="1024"/>
      <c r="B29" s="1016"/>
    </row>
    <row r="30" spans="1:2" ht="15.75" customHeight="1" hidden="1">
      <c r="A30" s="1024"/>
      <c r="B30" s="1016"/>
    </row>
    <row r="31" spans="1:2" ht="15.75" customHeight="1" thickBot="1">
      <c r="A31" s="1017" t="s">
        <v>1000</v>
      </c>
      <c r="B31" s="1018">
        <f>SUM(B5:B30)</f>
        <v>458211</v>
      </c>
    </row>
    <row r="32" spans="1:2" s="66" customFormat="1" ht="18" customHeight="1" thickBot="1">
      <c r="A32" s="1022" t="s">
        <v>893</v>
      </c>
      <c r="B32" s="1023">
        <f>B31</f>
        <v>458211</v>
      </c>
    </row>
  </sheetData>
  <sheetProtection/>
  <mergeCells count="1"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CE,Félkövér dőlt"&amp;12 &amp;11 7. számú melléklet&amp;"Times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48"/>
  <sheetViews>
    <sheetView workbookViewId="0" topLeftCell="A124">
      <selection activeCell="B16" sqref="B16"/>
    </sheetView>
  </sheetViews>
  <sheetFormatPr defaultColWidth="9.00390625" defaultRowHeight="12.75"/>
  <cols>
    <col min="1" max="1" width="38.625" style="57" customWidth="1"/>
    <col min="2" max="5" width="13.875" style="57" customWidth="1"/>
    <col min="6" max="16384" width="9.375" style="57" customWidth="1"/>
  </cols>
  <sheetData>
    <row r="1" spans="1:5" ht="15.75">
      <c r="A1" s="259" t="s">
        <v>213</v>
      </c>
      <c r="B1" s="1305" t="s">
        <v>1129</v>
      </c>
      <c r="C1" s="1305"/>
      <c r="D1" s="1305"/>
      <c r="E1" s="1305"/>
    </row>
    <row r="2" spans="1:7" ht="14.25" thickBot="1">
      <c r="A2" s="258"/>
      <c r="B2" s="258" t="s">
        <v>1130</v>
      </c>
      <c r="C2" s="258"/>
      <c r="D2" s="258"/>
      <c r="E2" s="1090" t="s">
        <v>206</v>
      </c>
      <c r="F2" s="1304"/>
      <c r="G2" s="1304"/>
    </row>
    <row r="3" spans="1:5" ht="15" customHeight="1" thickBot="1">
      <c r="A3" s="260" t="s">
        <v>205</v>
      </c>
      <c r="B3" s="261" t="s">
        <v>257</v>
      </c>
      <c r="C3" s="261" t="s">
        <v>332</v>
      </c>
      <c r="D3" s="261" t="s">
        <v>0</v>
      </c>
      <c r="E3" s="262" t="s">
        <v>107</v>
      </c>
    </row>
    <row r="4" spans="1:5" ht="12.75">
      <c r="A4" s="263" t="s">
        <v>207</v>
      </c>
      <c r="B4" s="103">
        <f>46534-1769</f>
        <v>44765</v>
      </c>
      <c r="C4" s="103"/>
      <c r="D4" s="103"/>
      <c r="E4" s="264">
        <f aca="true" t="shared" si="0" ref="E4:E10">SUM(B4:D4)</f>
        <v>44765</v>
      </c>
    </row>
    <row r="5" spans="1:5" ht="12.75">
      <c r="A5" s="265" t="s">
        <v>221</v>
      </c>
      <c r="B5" s="104"/>
      <c r="C5" s="104"/>
      <c r="D5" s="104"/>
      <c r="E5" s="266">
        <f t="shared" si="0"/>
        <v>0</v>
      </c>
    </row>
    <row r="6" spans="1:5" ht="12.75">
      <c r="A6" s="267" t="s">
        <v>208</v>
      </c>
      <c r="B6" s="105">
        <v>155466</v>
      </c>
      <c r="C6" s="105"/>
      <c r="D6" s="105"/>
      <c r="E6" s="268">
        <f t="shared" si="0"/>
        <v>155466</v>
      </c>
    </row>
    <row r="7" spans="1:5" ht="12.75">
      <c r="A7" s="267" t="s">
        <v>222</v>
      </c>
      <c r="B7" s="105"/>
      <c r="C7" s="105"/>
      <c r="D7" s="105"/>
      <c r="E7" s="268">
        <f t="shared" si="0"/>
        <v>0</v>
      </c>
    </row>
    <row r="8" spans="1:5" ht="12.75">
      <c r="A8" s="267" t="s">
        <v>209</v>
      </c>
      <c r="B8" s="105"/>
      <c r="C8" s="105"/>
      <c r="D8" s="105"/>
      <c r="E8" s="268">
        <f t="shared" si="0"/>
        <v>0</v>
      </c>
    </row>
    <row r="9" spans="1:5" ht="12.75">
      <c r="A9" s="267" t="s">
        <v>210</v>
      </c>
      <c r="B9" s="105"/>
      <c r="C9" s="105"/>
      <c r="D9" s="105"/>
      <c r="E9" s="268">
        <f t="shared" si="0"/>
        <v>0</v>
      </c>
    </row>
    <row r="10" spans="1:5" ht="13.5" thickBot="1">
      <c r="A10" s="106"/>
      <c r="B10" s="107"/>
      <c r="C10" s="107"/>
      <c r="D10" s="107"/>
      <c r="E10" s="268">
        <f t="shared" si="0"/>
        <v>0</v>
      </c>
    </row>
    <row r="11" spans="1:5" ht="13.5" thickBot="1">
      <c r="A11" s="269" t="s">
        <v>212</v>
      </c>
      <c r="B11" s="270">
        <f>SUM(B4:B9)</f>
        <v>200231</v>
      </c>
      <c r="C11" s="270">
        <f>C4+SUM(C6:C10)</f>
        <v>0</v>
      </c>
      <c r="D11" s="270">
        <f>D4+SUM(D6:D10)</f>
        <v>0</v>
      </c>
      <c r="E11" s="271">
        <f>SUM(E4:E10)</f>
        <v>200231</v>
      </c>
    </row>
    <row r="12" spans="1:5" ht="13.5" thickBot="1">
      <c r="A12" s="61"/>
      <c r="B12" s="61"/>
      <c r="C12" s="61"/>
      <c r="D12" s="61"/>
      <c r="E12" s="61"/>
    </row>
    <row r="13" spans="1:5" ht="15" customHeight="1" thickBot="1">
      <c r="A13" s="260" t="s">
        <v>211</v>
      </c>
      <c r="B13" s="261" t="s">
        <v>257</v>
      </c>
      <c r="C13" s="261" t="s">
        <v>332</v>
      </c>
      <c r="D13" s="261" t="s">
        <v>0</v>
      </c>
      <c r="E13" s="262" t="s">
        <v>107</v>
      </c>
    </row>
    <row r="14" spans="1:5" ht="12.75">
      <c r="A14" s="263" t="s">
        <v>217</v>
      </c>
      <c r="B14" s="103"/>
      <c r="C14" s="103"/>
      <c r="D14" s="103"/>
      <c r="E14" s="264">
        <f aca="true" t="shared" si="1" ref="E14:E20">SUM(B14:D14)</f>
        <v>0</v>
      </c>
    </row>
    <row r="15" spans="1:5" ht="12.75">
      <c r="A15" s="272" t="s">
        <v>218</v>
      </c>
      <c r="B15" s="105">
        <v>187007</v>
      </c>
      <c r="C15" s="105"/>
      <c r="D15" s="105"/>
      <c r="E15" s="268">
        <f t="shared" si="1"/>
        <v>187007</v>
      </c>
    </row>
    <row r="16" spans="1:5" ht="12.75">
      <c r="A16" s="267" t="s">
        <v>219</v>
      </c>
      <c r="B16" s="105">
        <f>14993-1769</f>
        <v>13224</v>
      </c>
      <c r="C16" s="105"/>
      <c r="D16" s="105"/>
      <c r="E16" s="268">
        <f t="shared" si="1"/>
        <v>13224</v>
      </c>
    </row>
    <row r="17" spans="1:5" ht="12.75">
      <c r="A17" s="267" t="s">
        <v>220</v>
      </c>
      <c r="B17" s="105"/>
      <c r="C17" s="105"/>
      <c r="D17" s="105"/>
      <c r="E17" s="268">
        <f t="shared" si="1"/>
        <v>0</v>
      </c>
    </row>
    <row r="18" spans="1:5" ht="12.75">
      <c r="A18" s="108"/>
      <c r="B18" s="105"/>
      <c r="C18" s="105"/>
      <c r="D18" s="105"/>
      <c r="E18" s="268">
        <f t="shared" si="1"/>
        <v>0</v>
      </c>
    </row>
    <row r="19" spans="1:5" ht="12.75">
      <c r="A19" s="108"/>
      <c r="B19" s="105"/>
      <c r="C19" s="105"/>
      <c r="D19" s="105"/>
      <c r="E19" s="268">
        <f t="shared" si="1"/>
        <v>0</v>
      </c>
    </row>
    <row r="20" spans="1:5" ht="13.5" thickBot="1">
      <c r="A20" s="106"/>
      <c r="B20" s="107"/>
      <c r="C20" s="107"/>
      <c r="D20" s="107"/>
      <c r="E20" s="268">
        <f t="shared" si="1"/>
        <v>0</v>
      </c>
    </row>
    <row r="21" spans="1:5" ht="13.5" thickBot="1">
      <c r="A21" s="269" t="s">
        <v>109</v>
      </c>
      <c r="B21" s="270">
        <f>SUM(B14:B20)</f>
        <v>200231</v>
      </c>
      <c r="C21" s="270">
        <f>SUM(C14:C20)</f>
        <v>0</v>
      </c>
      <c r="D21" s="270">
        <f>SUM(D14:D20)</f>
        <v>0</v>
      </c>
      <c r="E21" s="271">
        <f>SUM(E14:E20)</f>
        <v>200231</v>
      </c>
    </row>
    <row r="22" spans="1:5" ht="12.75">
      <c r="A22" s="258"/>
      <c r="B22" s="258"/>
      <c r="C22" s="258"/>
      <c r="D22" s="258"/>
      <c r="E22" s="258"/>
    </row>
    <row r="23" spans="1:5" ht="12.75">
      <c r="A23" s="258"/>
      <c r="B23" s="258"/>
      <c r="C23" s="258"/>
      <c r="D23" s="258"/>
      <c r="E23" s="258"/>
    </row>
    <row r="24" spans="1:5" ht="15.75">
      <c r="A24" s="259" t="s">
        <v>213</v>
      </c>
      <c r="B24" s="1305" t="s">
        <v>1131</v>
      </c>
      <c r="C24" s="1305"/>
      <c r="D24" s="1305"/>
      <c r="E24" s="1305"/>
    </row>
    <row r="25" spans="1:7" ht="14.25" thickBot="1">
      <c r="A25" s="258"/>
      <c r="B25" s="258" t="s">
        <v>1134</v>
      </c>
      <c r="C25" s="258"/>
      <c r="D25" s="258"/>
      <c r="E25" s="1090" t="s">
        <v>206</v>
      </c>
      <c r="F25" s="1304"/>
      <c r="G25" s="1304"/>
    </row>
    <row r="26" spans="1:5" ht="13.5" thickBot="1">
      <c r="A26" s="260" t="s">
        <v>205</v>
      </c>
      <c r="B26" s="261" t="s">
        <v>257</v>
      </c>
      <c r="C26" s="261" t="s">
        <v>332</v>
      </c>
      <c r="D26" s="261" t="s">
        <v>0</v>
      </c>
      <c r="E26" s="262" t="s">
        <v>107</v>
      </c>
    </row>
    <row r="27" spans="1:5" ht="12.75">
      <c r="A27" s="263" t="s">
        <v>207</v>
      </c>
      <c r="B27" s="103"/>
      <c r="C27" s="103"/>
      <c r="D27" s="103"/>
      <c r="E27" s="264">
        <v>0</v>
      </c>
    </row>
    <row r="28" spans="1:5" ht="12.75">
      <c r="A28" s="265" t="s">
        <v>221</v>
      </c>
      <c r="B28" s="104"/>
      <c r="C28" s="104"/>
      <c r="D28" s="104"/>
      <c r="E28" s="266">
        <f aca="true" t="shared" si="2" ref="E28:E33">SUM(B28:D28)</f>
        <v>0</v>
      </c>
    </row>
    <row r="29" spans="1:5" ht="12.75">
      <c r="A29" s="267" t="s">
        <v>208</v>
      </c>
      <c r="B29" s="105">
        <v>77500</v>
      </c>
      <c r="C29" s="105"/>
      <c r="D29" s="105"/>
      <c r="E29" s="268">
        <f t="shared" si="2"/>
        <v>77500</v>
      </c>
    </row>
    <row r="30" spans="1:5" ht="12.75">
      <c r="A30" s="267" t="s">
        <v>222</v>
      </c>
      <c r="B30" s="105"/>
      <c r="C30" s="105"/>
      <c r="D30" s="105"/>
      <c r="E30" s="268">
        <f t="shared" si="2"/>
        <v>0</v>
      </c>
    </row>
    <row r="31" spans="1:5" ht="12.75">
      <c r="A31" s="267" t="s">
        <v>209</v>
      </c>
      <c r="B31" s="105"/>
      <c r="C31" s="105"/>
      <c r="D31" s="105"/>
      <c r="E31" s="268">
        <f t="shared" si="2"/>
        <v>0</v>
      </c>
    </row>
    <row r="32" spans="1:5" ht="12.75">
      <c r="A32" s="267" t="s">
        <v>210</v>
      </c>
      <c r="B32" s="105"/>
      <c r="C32" s="105"/>
      <c r="D32" s="105"/>
      <c r="E32" s="268">
        <f t="shared" si="2"/>
        <v>0</v>
      </c>
    </row>
    <row r="33" spans="1:5" ht="13.5" thickBot="1">
      <c r="A33" s="106"/>
      <c r="B33" s="107"/>
      <c r="C33" s="107"/>
      <c r="D33" s="107"/>
      <c r="E33" s="268">
        <f t="shared" si="2"/>
        <v>0</v>
      </c>
    </row>
    <row r="34" spans="1:5" ht="13.5" thickBot="1">
      <c r="A34" s="269" t="s">
        <v>212</v>
      </c>
      <c r="B34" s="270">
        <f>B27+SUM(B29:B33)</f>
        <v>77500</v>
      </c>
      <c r="C34" s="270">
        <f>C27+SUM(C29:C33)</f>
        <v>0</v>
      </c>
      <c r="D34" s="270">
        <f>D27+SUM(D29:D33)</f>
        <v>0</v>
      </c>
      <c r="E34" s="271">
        <f>E27+SUM(E29:E33)</f>
        <v>77500</v>
      </c>
    </row>
    <row r="35" spans="1:5" ht="13.5" thickBot="1">
      <c r="A35" s="61"/>
      <c r="B35" s="61"/>
      <c r="C35" s="61"/>
      <c r="D35" s="61"/>
      <c r="E35" s="61"/>
    </row>
    <row r="36" spans="1:5" ht="13.5" thickBot="1">
      <c r="A36" s="260" t="s">
        <v>211</v>
      </c>
      <c r="B36" s="261" t="s">
        <v>257</v>
      </c>
      <c r="C36" s="261" t="s">
        <v>332</v>
      </c>
      <c r="D36" s="261" t="s">
        <v>0</v>
      </c>
      <c r="E36" s="262" t="s">
        <v>107</v>
      </c>
    </row>
    <row r="37" spans="1:5" ht="12.75">
      <c r="A37" s="263" t="s">
        <v>217</v>
      </c>
      <c r="B37" s="103"/>
      <c r="C37" s="103"/>
      <c r="D37" s="103"/>
      <c r="E37" s="264">
        <f aca="true" t="shared" si="3" ref="E37:E43">SUM(B37:D37)</f>
        <v>0</v>
      </c>
    </row>
    <row r="38" spans="1:5" ht="12.75">
      <c r="A38" s="272" t="s">
        <v>218</v>
      </c>
      <c r="B38" s="105"/>
      <c r="C38" s="105"/>
      <c r="D38" s="105"/>
      <c r="E38" s="268">
        <f t="shared" si="3"/>
        <v>0</v>
      </c>
    </row>
    <row r="39" spans="1:5" ht="12.75">
      <c r="A39" s="267" t="s">
        <v>219</v>
      </c>
      <c r="B39" s="105">
        <v>77500</v>
      </c>
      <c r="C39" s="105"/>
      <c r="D39" s="105"/>
      <c r="E39" s="268">
        <f t="shared" si="3"/>
        <v>77500</v>
      </c>
    </row>
    <row r="40" spans="1:5" ht="12.75">
      <c r="A40" s="267" t="s">
        <v>220</v>
      </c>
      <c r="B40" s="105"/>
      <c r="C40" s="105"/>
      <c r="D40" s="105"/>
      <c r="E40" s="268">
        <f t="shared" si="3"/>
        <v>0</v>
      </c>
    </row>
    <row r="41" spans="1:5" ht="12.75">
      <c r="A41" s="108"/>
      <c r="B41" s="105"/>
      <c r="C41" s="105"/>
      <c r="D41" s="105"/>
      <c r="E41" s="268">
        <f t="shared" si="3"/>
        <v>0</v>
      </c>
    </row>
    <row r="42" spans="1:5" ht="12.75">
      <c r="A42" s="108"/>
      <c r="B42" s="105"/>
      <c r="C42" s="105"/>
      <c r="D42" s="105"/>
      <c r="E42" s="268">
        <f t="shared" si="3"/>
        <v>0</v>
      </c>
    </row>
    <row r="43" spans="1:5" ht="13.5" thickBot="1">
      <c r="A43" s="106"/>
      <c r="B43" s="107"/>
      <c r="C43" s="107"/>
      <c r="D43" s="107"/>
      <c r="E43" s="268">
        <f t="shared" si="3"/>
        <v>0</v>
      </c>
    </row>
    <row r="44" spans="1:5" ht="13.5" thickBot="1">
      <c r="A44" s="269" t="s">
        <v>109</v>
      </c>
      <c r="B44" s="270">
        <f>SUM(B37:B43)</f>
        <v>77500</v>
      </c>
      <c r="C44" s="270">
        <f>SUM(C37:C43)</f>
        <v>0</v>
      </c>
      <c r="D44" s="270">
        <f>SUM(D37:D43)</f>
        <v>0</v>
      </c>
      <c r="E44" s="271">
        <f>SUM(E37:E43)</f>
        <v>77500</v>
      </c>
    </row>
    <row r="45" spans="1:5" ht="12.75">
      <c r="A45" s="258"/>
      <c r="B45" s="258"/>
      <c r="C45" s="258"/>
      <c r="D45" s="258"/>
      <c r="E45" s="258"/>
    </row>
    <row r="46" spans="1:5" ht="15.75">
      <c r="A46" s="259" t="s">
        <v>213</v>
      </c>
      <c r="B46" s="1305" t="s">
        <v>1132</v>
      </c>
      <c r="C46" s="1305"/>
      <c r="D46" s="1305"/>
      <c r="E46" s="1305"/>
    </row>
    <row r="47" spans="1:7" ht="14.25" thickBot="1">
      <c r="A47" s="258"/>
      <c r="B47" s="258" t="s">
        <v>1133</v>
      </c>
      <c r="C47" s="258"/>
      <c r="D47" s="258"/>
      <c r="E47" s="1090" t="s">
        <v>206</v>
      </c>
      <c r="F47" s="1304"/>
      <c r="G47" s="1304"/>
    </row>
    <row r="48" spans="1:5" ht="13.5" thickBot="1">
      <c r="A48" s="260" t="s">
        <v>205</v>
      </c>
      <c r="B48" s="261" t="s">
        <v>257</v>
      </c>
      <c r="C48" s="261" t="s">
        <v>332</v>
      </c>
      <c r="D48" s="261" t="s">
        <v>0</v>
      </c>
      <c r="E48" s="262" t="s">
        <v>107</v>
      </c>
    </row>
    <row r="49" spans="1:5" ht="12.75">
      <c r="A49" s="263" t="s">
        <v>207</v>
      </c>
      <c r="B49" s="103">
        <v>0</v>
      </c>
      <c r="C49" s="103"/>
      <c r="D49" s="103"/>
      <c r="E49" s="264">
        <v>0</v>
      </c>
    </row>
    <row r="50" spans="1:5" ht="12.75">
      <c r="A50" s="265" t="s">
        <v>221</v>
      </c>
      <c r="B50" s="104"/>
      <c r="C50" s="104"/>
      <c r="D50" s="104"/>
      <c r="E50" s="266">
        <f aca="true" t="shared" si="4" ref="E50:E55">SUM(B50:D50)</f>
        <v>0</v>
      </c>
    </row>
    <row r="51" spans="1:5" ht="12.75">
      <c r="A51" s="267" t="s">
        <v>208</v>
      </c>
      <c r="B51" s="105">
        <v>100000</v>
      </c>
      <c r="C51" s="105"/>
      <c r="D51" s="105"/>
      <c r="E51" s="268">
        <f t="shared" si="4"/>
        <v>100000</v>
      </c>
    </row>
    <row r="52" spans="1:5" ht="12.75">
      <c r="A52" s="267" t="s">
        <v>222</v>
      </c>
      <c r="B52" s="105"/>
      <c r="C52" s="105"/>
      <c r="D52" s="105"/>
      <c r="E52" s="268">
        <f t="shared" si="4"/>
        <v>0</v>
      </c>
    </row>
    <row r="53" spans="1:5" ht="12.75">
      <c r="A53" s="267" t="s">
        <v>209</v>
      </c>
      <c r="B53" s="105"/>
      <c r="C53" s="105"/>
      <c r="D53" s="105"/>
      <c r="E53" s="268">
        <f t="shared" si="4"/>
        <v>0</v>
      </c>
    </row>
    <row r="54" spans="1:5" ht="12.75">
      <c r="A54" s="267" t="s">
        <v>210</v>
      </c>
      <c r="B54" s="105"/>
      <c r="C54" s="105"/>
      <c r="D54" s="105"/>
      <c r="E54" s="268">
        <f t="shared" si="4"/>
        <v>0</v>
      </c>
    </row>
    <row r="55" spans="1:5" ht="13.5" thickBot="1">
      <c r="A55" s="106"/>
      <c r="B55" s="107"/>
      <c r="C55" s="107"/>
      <c r="D55" s="107"/>
      <c r="E55" s="268">
        <f t="shared" si="4"/>
        <v>0</v>
      </c>
    </row>
    <row r="56" spans="1:5" ht="13.5" thickBot="1">
      <c r="A56" s="269" t="s">
        <v>212</v>
      </c>
      <c r="B56" s="270">
        <f>B49+SUM(B51:B55)</f>
        <v>100000</v>
      </c>
      <c r="C56" s="270">
        <f>C49+SUM(C51:C55)</f>
        <v>0</v>
      </c>
      <c r="D56" s="270">
        <f>D49+SUM(D51:D55)</f>
        <v>0</v>
      </c>
      <c r="E56" s="271">
        <f>E49+SUM(E51:E55)</f>
        <v>100000</v>
      </c>
    </row>
    <row r="57" spans="1:5" ht="13.5" thickBot="1">
      <c r="A57" s="61"/>
      <c r="B57" s="61"/>
      <c r="C57" s="61"/>
      <c r="D57" s="61"/>
      <c r="E57" s="61"/>
    </row>
    <row r="58" spans="1:5" ht="13.5" thickBot="1">
      <c r="A58" s="260" t="s">
        <v>211</v>
      </c>
      <c r="B58" s="261" t="s">
        <v>257</v>
      </c>
      <c r="C58" s="261" t="s">
        <v>332</v>
      </c>
      <c r="D58" s="261" t="s">
        <v>0</v>
      </c>
      <c r="E58" s="262" t="s">
        <v>107</v>
      </c>
    </row>
    <row r="59" spans="1:5" ht="12.75">
      <c r="A59" s="263" t="s">
        <v>217</v>
      </c>
      <c r="B59" s="103"/>
      <c r="C59" s="103"/>
      <c r="D59" s="103"/>
      <c r="E59" s="264">
        <f aca="true" t="shared" si="5" ref="E59:E65">SUM(B59:D59)</f>
        <v>0</v>
      </c>
    </row>
    <row r="60" spans="1:5" ht="12.75">
      <c r="A60" s="272" t="s">
        <v>218</v>
      </c>
      <c r="B60" s="105">
        <v>70338</v>
      </c>
      <c r="C60" s="105"/>
      <c r="D60" s="105"/>
      <c r="E60" s="268">
        <f t="shared" si="5"/>
        <v>70338</v>
      </c>
    </row>
    <row r="61" spans="1:5" ht="12.75">
      <c r="A61" s="267" t="s">
        <v>219</v>
      </c>
      <c r="B61" s="105">
        <v>29662</v>
      </c>
      <c r="C61" s="105"/>
      <c r="D61" s="105"/>
      <c r="E61" s="268">
        <f t="shared" si="5"/>
        <v>29662</v>
      </c>
    </row>
    <row r="62" spans="1:5" ht="12.75">
      <c r="A62" s="267" t="s">
        <v>220</v>
      </c>
      <c r="B62" s="105"/>
      <c r="C62" s="105"/>
      <c r="D62" s="105"/>
      <c r="E62" s="268">
        <f t="shared" si="5"/>
        <v>0</v>
      </c>
    </row>
    <row r="63" spans="1:5" ht="12.75">
      <c r="A63" s="108"/>
      <c r="B63" s="105"/>
      <c r="C63" s="105"/>
      <c r="D63" s="105"/>
      <c r="E63" s="268">
        <f t="shared" si="5"/>
        <v>0</v>
      </c>
    </row>
    <row r="64" spans="1:5" ht="12.75">
      <c r="A64" s="108"/>
      <c r="B64" s="105"/>
      <c r="C64" s="105"/>
      <c r="D64" s="105"/>
      <c r="E64" s="268">
        <f t="shared" si="5"/>
        <v>0</v>
      </c>
    </row>
    <row r="65" spans="1:5" ht="13.5" thickBot="1">
      <c r="A65" s="106"/>
      <c r="B65" s="107"/>
      <c r="C65" s="107"/>
      <c r="D65" s="107"/>
      <c r="E65" s="268">
        <f t="shared" si="5"/>
        <v>0</v>
      </c>
    </row>
    <row r="66" spans="1:5" ht="13.5" thickBot="1">
      <c r="A66" s="269" t="s">
        <v>109</v>
      </c>
      <c r="B66" s="270">
        <f>SUM(B59:B65)</f>
        <v>100000</v>
      </c>
      <c r="C66" s="270">
        <f>SUM(C59:C65)</f>
        <v>0</v>
      </c>
      <c r="D66" s="270">
        <f>SUM(D59:D65)</f>
        <v>0</v>
      </c>
      <c r="E66" s="271">
        <f>SUM(E59:E65)</f>
        <v>100000</v>
      </c>
    </row>
    <row r="69" spans="1:5" ht="15.75">
      <c r="A69" s="259" t="s">
        <v>213</v>
      </c>
      <c r="B69" s="1305" t="s">
        <v>1225</v>
      </c>
      <c r="C69" s="1305"/>
      <c r="D69" s="1305"/>
      <c r="E69" s="1305"/>
    </row>
    <row r="70" spans="1:5" ht="14.25" thickBot="1">
      <c r="A70" s="1135" t="s">
        <v>1226</v>
      </c>
      <c r="B70" s="1135"/>
      <c r="C70" s="258"/>
      <c r="D70" s="258"/>
      <c r="E70" s="1090" t="s">
        <v>206</v>
      </c>
    </row>
    <row r="71" spans="1:5" ht="13.5" thickBot="1">
      <c r="A71" s="260" t="s">
        <v>205</v>
      </c>
      <c r="B71" s="261" t="s">
        <v>257</v>
      </c>
      <c r="C71" s="261" t="s">
        <v>332</v>
      </c>
      <c r="D71" s="261" t="s">
        <v>0</v>
      </c>
      <c r="E71" s="262" t="s">
        <v>107</v>
      </c>
    </row>
    <row r="72" spans="1:5" ht="12.75">
      <c r="A72" s="263" t="s">
        <v>207</v>
      </c>
      <c r="B72" s="103">
        <f>25000-4745-10283</f>
        <v>9972</v>
      </c>
      <c r="C72" s="103"/>
      <c r="D72" s="103"/>
      <c r="E72" s="264">
        <f>SUM(B72:D72)</f>
        <v>9972</v>
      </c>
    </row>
    <row r="73" spans="1:5" ht="12.75">
      <c r="A73" s="265" t="s">
        <v>221</v>
      </c>
      <c r="B73" s="104"/>
      <c r="C73" s="104"/>
      <c r="D73" s="104"/>
      <c r="E73" s="266">
        <f aca="true" t="shared" si="6" ref="E73:E78">SUM(B73:D73)</f>
        <v>0</v>
      </c>
    </row>
    <row r="74" spans="1:5" ht="12.75">
      <c r="A74" s="267" t="s">
        <v>208</v>
      </c>
      <c r="B74" s="105">
        <f>85000+4745</f>
        <v>89745</v>
      </c>
      <c r="C74" s="105"/>
      <c r="D74" s="105"/>
      <c r="E74" s="268">
        <f t="shared" si="6"/>
        <v>89745</v>
      </c>
    </row>
    <row r="75" spans="1:5" ht="12.75">
      <c r="A75" s="267" t="s">
        <v>222</v>
      </c>
      <c r="B75" s="105"/>
      <c r="C75" s="105"/>
      <c r="D75" s="105"/>
      <c r="E75" s="268">
        <f t="shared" si="6"/>
        <v>0</v>
      </c>
    </row>
    <row r="76" spans="1:5" ht="12.75">
      <c r="A76" s="267" t="s">
        <v>209</v>
      </c>
      <c r="B76" s="105"/>
      <c r="C76" s="105"/>
      <c r="D76" s="105"/>
      <c r="E76" s="268">
        <f t="shared" si="6"/>
        <v>0</v>
      </c>
    </row>
    <row r="77" spans="1:5" ht="12.75">
      <c r="A77" s="267" t="s">
        <v>210</v>
      </c>
      <c r="B77" s="105"/>
      <c r="C77" s="105"/>
      <c r="D77" s="105"/>
      <c r="E77" s="268">
        <f t="shared" si="6"/>
        <v>0</v>
      </c>
    </row>
    <row r="78" spans="1:5" ht="13.5" thickBot="1">
      <c r="A78" s="106"/>
      <c r="B78" s="107"/>
      <c r="C78" s="107"/>
      <c r="D78" s="107"/>
      <c r="E78" s="268">
        <f t="shared" si="6"/>
        <v>0</v>
      </c>
    </row>
    <row r="79" spans="1:5" ht="13.5" thickBot="1">
      <c r="A79" s="269" t="s">
        <v>212</v>
      </c>
      <c r="B79" s="270">
        <f>B72+SUM(B74:B78)</f>
        <v>99717</v>
      </c>
      <c r="C79" s="270">
        <f>C72+SUM(C74:C78)</f>
        <v>0</v>
      </c>
      <c r="D79" s="270">
        <f>D72+SUM(D74:D78)</f>
        <v>0</v>
      </c>
      <c r="E79" s="271">
        <f>E72+SUM(E74:E78)</f>
        <v>99717</v>
      </c>
    </row>
    <row r="80" spans="1:5" ht="13.5" thickBot="1">
      <c r="A80" s="61"/>
      <c r="B80" s="61"/>
      <c r="C80" s="61"/>
      <c r="D80" s="61"/>
      <c r="E80" s="61"/>
    </row>
    <row r="81" spans="1:5" ht="13.5" thickBot="1">
      <c r="A81" s="260" t="s">
        <v>211</v>
      </c>
      <c r="B81" s="261" t="s">
        <v>257</v>
      </c>
      <c r="C81" s="261" t="s">
        <v>332</v>
      </c>
      <c r="D81" s="261" t="s">
        <v>0</v>
      </c>
      <c r="E81" s="262" t="s">
        <v>107</v>
      </c>
    </row>
    <row r="82" spans="1:5" ht="12.75">
      <c r="A82" s="263" t="s">
        <v>217</v>
      </c>
      <c r="B82" s="103"/>
      <c r="C82" s="103"/>
      <c r="D82" s="103"/>
      <c r="E82" s="264">
        <f aca="true" t="shared" si="7" ref="E82:E88">SUM(B82:D82)</f>
        <v>0</v>
      </c>
    </row>
    <row r="83" spans="1:5" ht="12.75">
      <c r="A83" s="272" t="s">
        <v>218</v>
      </c>
      <c r="B83" s="105">
        <f>92294</f>
        <v>92294</v>
      </c>
      <c r="C83" s="105"/>
      <c r="D83" s="105"/>
      <c r="E83" s="268">
        <f t="shared" si="7"/>
        <v>92294</v>
      </c>
    </row>
    <row r="84" spans="1:5" ht="12.75">
      <c r="A84" s="267" t="s">
        <v>219</v>
      </c>
      <c r="B84" s="105">
        <f>17706-10283</f>
        <v>7423</v>
      </c>
      <c r="C84" s="105"/>
      <c r="D84" s="105"/>
      <c r="E84" s="268">
        <f t="shared" si="7"/>
        <v>7423</v>
      </c>
    </row>
    <row r="85" spans="1:5" ht="12.75">
      <c r="A85" s="267" t="s">
        <v>220</v>
      </c>
      <c r="B85" s="105"/>
      <c r="C85" s="105"/>
      <c r="D85" s="105"/>
      <c r="E85" s="268">
        <f t="shared" si="7"/>
        <v>0</v>
      </c>
    </row>
    <row r="86" spans="1:5" ht="12.75">
      <c r="A86" s="108"/>
      <c r="B86" s="105"/>
      <c r="C86" s="105"/>
      <c r="D86" s="105"/>
      <c r="E86" s="268">
        <f t="shared" si="7"/>
        <v>0</v>
      </c>
    </row>
    <row r="87" spans="1:5" ht="12.75">
      <c r="A87" s="108"/>
      <c r="B87" s="105"/>
      <c r="C87" s="105"/>
      <c r="D87" s="105"/>
      <c r="E87" s="268">
        <f t="shared" si="7"/>
        <v>0</v>
      </c>
    </row>
    <row r="88" spans="1:5" ht="13.5" thickBot="1">
      <c r="A88" s="106"/>
      <c r="B88" s="107"/>
      <c r="C88" s="107"/>
      <c r="D88" s="107"/>
      <c r="E88" s="268">
        <f t="shared" si="7"/>
        <v>0</v>
      </c>
    </row>
    <row r="89" spans="1:5" ht="13.5" thickBot="1">
      <c r="A89" s="269" t="s">
        <v>109</v>
      </c>
      <c r="B89" s="270">
        <f>SUM(B82:B88)</f>
        <v>99717</v>
      </c>
      <c r="C89" s="270">
        <f>SUM(C82:C88)</f>
        <v>0</v>
      </c>
      <c r="D89" s="270">
        <f>SUM(D82:D88)</f>
        <v>0</v>
      </c>
      <c r="E89" s="271">
        <f>SUM(E82:E88)</f>
        <v>99717</v>
      </c>
    </row>
    <row r="95" spans="1:5" ht="12.75">
      <c r="A95" s="1136"/>
      <c r="B95" s="1137"/>
      <c r="C95" s="1137"/>
      <c r="D95" s="1137"/>
      <c r="E95" s="1137"/>
    </row>
    <row r="96" spans="1:5" ht="12.75">
      <c r="A96" s="1136"/>
      <c r="B96" s="1137"/>
      <c r="C96" s="1137"/>
      <c r="D96" s="1137"/>
      <c r="E96" s="1137"/>
    </row>
    <row r="97" ht="28.5" customHeight="1"/>
    <row r="98" spans="1:5" ht="15.75">
      <c r="A98" s="259" t="s">
        <v>213</v>
      </c>
      <c r="B98" s="57" t="s">
        <v>1271</v>
      </c>
      <c r="C98" s="1203"/>
      <c r="D98" s="1203"/>
      <c r="E98" s="1203"/>
    </row>
    <row r="99" spans="1:5" ht="29.25" customHeight="1" thickBot="1">
      <c r="A99" s="1307" t="s">
        <v>1272</v>
      </c>
      <c r="B99" s="1307"/>
      <c r="C99" s="1307"/>
      <c r="D99" s="1307"/>
      <c r="E99" s="1090" t="s">
        <v>206</v>
      </c>
    </row>
    <row r="100" spans="1:5" ht="13.5" thickBot="1">
      <c r="A100" s="260" t="s">
        <v>205</v>
      </c>
      <c r="B100" s="261" t="s">
        <v>257</v>
      </c>
      <c r="C100" s="261" t="s">
        <v>332</v>
      </c>
      <c r="D100" s="261" t="s">
        <v>0</v>
      </c>
      <c r="E100" s="262" t="s">
        <v>107</v>
      </c>
    </row>
    <row r="101" spans="1:5" ht="12.75">
      <c r="A101" s="263" t="s">
        <v>207</v>
      </c>
      <c r="B101" s="103"/>
      <c r="C101" s="103"/>
      <c r="D101" s="103"/>
      <c r="E101" s="264">
        <f>SUM(B101:D101)</f>
        <v>0</v>
      </c>
    </row>
    <row r="102" spans="1:5" ht="12.75">
      <c r="A102" s="265" t="s">
        <v>221</v>
      </c>
      <c r="B102" s="104"/>
      <c r="C102" s="104"/>
      <c r="D102" s="104"/>
      <c r="E102" s="266">
        <f aca="true" t="shared" si="8" ref="E102:E107">SUM(B102:D102)</f>
        <v>0</v>
      </c>
    </row>
    <row r="103" spans="1:5" ht="12.75">
      <c r="A103" s="267" t="s">
        <v>208</v>
      </c>
      <c r="B103" s="105">
        <v>311635</v>
      </c>
      <c r="C103" s="105"/>
      <c r="D103" s="105"/>
      <c r="E103" s="268">
        <f t="shared" si="8"/>
        <v>311635</v>
      </c>
    </row>
    <row r="104" spans="1:5" ht="12.75">
      <c r="A104" s="267" t="s">
        <v>222</v>
      </c>
      <c r="B104" s="105"/>
      <c r="C104" s="105"/>
      <c r="D104" s="105"/>
      <c r="E104" s="268">
        <f t="shared" si="8"/>
        <v>0</v>
      </c>
    </row>
    <row r="105" spans="1:5" ht="12.75">
      <c r="A105" s="267" t="s">
        <v>209</v>
      </c>
      <c r="B105" s="105"/>
      <c r="C105" s="105"/>
      <c r="D105" s="105"/>
      <c r="E105" s="268">
        <f t="shared" si="8"/>
        <v>0</v>
      </c>
    </row>
    <row r="106" spans="1:5" ht="12.75">
      <c r="A106" s="267" t="s">
        <v>210</v>
      </c>
      <c r="B106" s="105"/>
      <c r="C106" s="105"/>
      <c r="D106" s="105"/>
      <c r="E106" s="268">
        <f t="shared" si="8"/>
        <v>0</v>
      </c>
    </row>
    <row r="107" spans="1:5" ht="13.5" thickBot="1">
      <c r="A107" s="106"/>
      <c r="B107" s="107"/>
      <c r="C107" s="107"/>
      <c r="D107" s="107"/>
      <c r="E107" s="268">
        <f t="shared" si="8"/>
        <v>0</v>
      </c>
    </row>
    <row r="108" spans="1:5" ht="13.5" thickBot="1">
      <c r="A108" s="269" t="s">
        <v>212</v>
      </c>
      <c r="B108" s="270">
        <f>B101+SUM(B103:B107)</f>
        <v>311635</v>
      </c>
      <c r="C108" s="270">
        <f>C101+SUM(C103:C107)</f>
        <v>0</v>
      </c>
      <c r="D108" s="270">
        <f>D101+SUM(D103:D107)</f>
        <v>0</v>
      </c>
      <c r="E108" s="271">
        <f>E101+SUM(E103:E107)</f>
        <v>311635</v>
      </c>
    </row>
    <row r="109" spans="1:5" ht="13.5" thickBot="1">
      <c r="A109" s="61"/>
      <c r="B109" s="61"/>
      <c r="C109" s="61"/>
      <c r="D109" s="61"/>
      <c r="E109" s="61"/>
    </row>
    <row r="110" spans="1:5" ht="13.5" thickBot="1">
      <c r="A110" s="260" t="s">
        <v>211</v>
      </c>
      <c r="B110" s="261" t="s">
        <v>257</v>
      </c>
      <c r="C110" s="261" t="s">
        <v>332</v>
      </c>
      <c r="D110" s="261" t="s">
        <v>0</v>
      </c>
      <c r="E110" s="262" t="s">
        <v>107</v>
      </c>
    </row>
    <row r="111" spans="1:5" ht="12.75">
      <c r="A111" s="263" t="s">
        <v>217</v>
      </c>
      <c r="B111" s="103">
        <v>25936</v>
      </c>
      <c r="C111" s="103"/>
      <c r="D111" s="103"/>
      <c r="E111" s="264">
        <f aca="true" t="shared" si="9" ref="E111:E117">SUM(B111:D111)</f>
        <v>25936</v>
      </c>
    </row>
    <row r="112" spans="1:5" ht="12.75">
      <c r="A112" s="272" t="s">
        <v>218</v>
      </c>
      <c r="B112" s="105">
        <v>173149</v>
      </c>
      <c r="C112" s="105"/>
      <c r="D112" s="105"/>
      <c r="E112" s="268">
        <f t="shared" si="9"/>
        <v>173149</v>
      </c>
    </row>
    <row r="113" spans="1:5" ht="12.75">
      <c r="A113" s="267" t="s">
        <v>219</v>
      </c>
      <c r="B113" s="105">
        <v>112550</v>
      </c>
      <c r="C113" s="105"/>
      <c r="D113" s="105"/>
      <c r="E113" s="268">
        <f t="shared" si="9"/>
        <v>112550</v>
      </c>
    </row>
    <row r="114" spans="1:5" ht="12.75">
      <c r="A114" s="267" t="s">
        <v>220</v>
      </c>
      <c r="B114" s="105"/>
      <c r="C114" s="105"/>
      <c r="D114" s="105"/>
      <c r="E114" s="268">
        <f t="shared" si="9"/>
        <v>0</v>
      </c>
    </row>
    <row r="115" spans="1:5" ht="12.75">
      <c r="A115" s="108"/>
      <c r="B115" s="105"/>
      <c r="C115" s="105"/>
      <c r="D115" s="105"/>
      <c r="E115" s="268">
        <f t="shared" si="9"/>
        <v>0</v>
      </c>
    </row>
    <row r="116" spans="1:5" ht="12.75">
      <c r="A116" s="108"/>
      <c r="B116" s="105"/>
      <c r="C116" s="105"/>
      <c r="D116" s="105"/>
      <c r="E116" s="268">
        <f t="shared" si="9"/>
        <v>0</v>
      </c>
    </row>
    <row r="117" spans="1:5" ht="13.5" thickBot="1">
      <c r="A117" s="106"/>
      <c r="B117" s="107"/>
      <c r="C117" s="107"/>
      <c r="D117" s="107"/>
      <c r="E117" s="268">
        <f t="shared" si="9"/>
        <v>0</v>
      </c>
    </row>
    <row r="118" spans="1:5" ht="13.5" thickBot="1">
      <c r="A118" s="269" t="s">
        <v>109</v>
      </c>
      <c r="B118" s="270">
        <f>SUM(B111:B117)</f>
        <v>311635</v>
      </c>
      <c r="C118" s="270">
        <f>SUM(C111:C117)</f>
        <v>0</v>
      </c>
      <c r="D118" s="270">
        <f>SUM(D111:D117)</f>
        <v>0</v>
      </c>
      <c r="E118" s="271">
        <f>SUM(E111:E117)</f>
        <v>311635</v>
      </c>
    </row>
    <row r="120" spans="1:5" ht="30" customHeight="1">
      <c r="A120" s="1091" t="s">
        <v>213</v>
      </c>
      <c r="B120" s="1306" t="s">
        <v>1135</v>
      </c>
      <c r="C120" s="1306"/>
      <c r="D120" s="1306"/>
      <c r="E120" s="1306"/>
    </row>
    <row r="121" spans="1:5" ht="14.25" thickBot="1">
      <c r="A121" s="258"/>
      <c r="B121" s="258"/>
      <c r="C121" s="258"/>
      <c r="D121" s="1304" t="s">
        <v>872</v>
      </c>
      <c r="E121" s="1304"/>
    </row>
    <row r="122" spans="1:5" ht="13.5" thickBot="1">
      <c r="A122" s="260" t="s">
        <v>205</v>
      </c>
      <c r="B122" s="261" t="s">
        <v>257</v>
      </c>
      <c r="C122" s="261" t="s">
        <v>332</v>
      </c>
      <c r="D122" s="261" t="s">
        <v>0</v>
      </c>
      <c r="E122" s="262" t="s">
        <v>107</v>
      </c>
    </row>
    <row r="123" spans="1:5" ht="12.75">
      <c r="A123" s="263" t="s">
        <v>207</v>
      </c>
      <c r="B123" s="103"/>
      <c r="C123" s="103"/>
      <c r="D123" s="103"/>
      <c r="E123" s="264">
        <f aca="true" t="shared" si="10" ref="E123:E129">SUM(B123:D123)</f>
        <v>0</v>
      </c>
    </row>
    <row r="124" spans="1:5" ht="12.75">
      <c r="A124" s="265" t="s">
        <v>221</v>
      </c>
      <c r="B124" s="104"/>
      <c r="C124" s="104"/>
      <c r="D124" s="104"/>
      <c r="E124" s="266">
        <f t="shared" si="10"/>
        <v>0</v>
      </c>
    </row>
    <row r="125" spans="1:5" ht="12.75">
      <c r="A125" s="267" t="s">
        <v>208</v>
      </c>
      <c r="B125" s="105">
        <v>14879</v>
      </c>
      <c r="C125" s="105"/>
      <c r="D125" s="105"/>
      <c r="E125" s="268">
        <f t="shared" si="10"/>
        <v>14879</v>
      </c>
    </row>
    <row r="126" spans="1:5" ht="12.75">
      <c r="A126" s="267" t="s">
        <v>222</v>
      </c>
      <c r="B126" s="105"/>
      <c r="C126" s="105"/>
      <c r="D126" s="105"/>
      <c r="E126" s="268">
        <f t="shared" si="10"/>
        <v>0</v>
      </c>
    </row>
    <row r="127" spans="1:5" ht="12.75">
      <c r="A127" s="267" t="s">
        <v>209</v>
      </c>
      <c r="B127" s="105"/>
      <c r="C127" s="105"/>
      <c r="D127" s="105"/>
      <c r="E127" s="268">
        <f t="shared" si="10"/>
        <v>0</v>
      </c>
    </row>
    <row r="128" spans="1:5" ht="12.75">
      <c r="A128" s="267" t="s">
        <v>210</v>
      </c>
      <c r="B128" s="105"/>
      <c r="C128" s="105"/>
      <c r="D128" s="105"/>
      <c r="E128" s="268">
        <f t="shared" si="10"/>
        <v>0</v>
      </c>
    </row>
    <row r="129" spans="1:5" ht="13.5" thickBot="1">
      <c r="A129" s="106"/>
      <c r="B129" s="107"/>
      <c r="C129" s="107"/>
      <c r="D129" s="107"/>
      <c r="E129" s="268">
        <f t="shared" si="10"/>
        <v>0</v>
      </c>
    </row>
    <row r="130" spans="1:5" ht="13.5" thickBot="1">
      <c r="A130" s="269" t="s">
        <v>212</v>
      </c>
      <c r="B130" s="1092">
        <f>B123+SUM(B125:B129)</f>
        <v>14879</v>
      </c>
      <c r="C130" s="1092">
        <f>C123+SUM(C125:C129)</f>
        <v>0</v>
      </c>
      <c r="D130" s="1092">
        <f>D123+SUM(D125:D129)</f>
        <v>0</v>
      </c>
      <c r="E130" s="1093">
        <f>E123+SUM(E125:E129)</f>
        <v>14879</v>
      </c>
    </row>
    <row r="131" spans="1:5" ht="13.5" thickBot="1">
      <c r="A131" s="61"/>
      <c r="B131" s="61"/>
      <c r="C131" s="61"/>
      <c r="D131" s="61"/>
      <c r="E131" s="61"/>
    </row>
    <row r="132" spans="1:5" ht="13.5" thickBot="1">
      <c r="A132" s="260" t="s">
        <v>211</v>
      </c>
      <c r="B132" s="261" t="str">
        <f>B122</f>
        <v>2013.</v>
      </c>
      <c r="C132" s="261" t="str">
        <f>C122</f>
        <v>2014.</v>
      </c>
      <c r="D132" s="261" t="str">
        <f>D122</f>
        <v>2014. után</v>
      </c>
      <c r="E132" s="262" t="s">
        <v>107</v>
      </c>
    </row>
    <row r="133" spans="1:5" ht="12.75">
      <c r="A133" s="263" t="s">
        <v>217</v>
      </c>
      <c r="B133" s="103">
        <f>4157+1167</f>
        <v>5324</v>
      </c>
      <c r="C133" s="103"/>
      <c r="D133" s="103"/>
      <c r="E133" s="264">
        <f aca="true" t="shared" si="11" ref="E133:E139">SUM(B133:D133)</f>
        <v>5324</v>
      </c>
    </row>
    <row r="134" spans="1:5" ht="12.75">
      <c r="A134" s="272" t="s">
        <v>218</v>
      </c>
      <c r="B134" s="105">
        <f>43+77</f>
        <v>120</v>
      </c>
      <c r="C134" s="105"/>
      <c r="D134" s="105"/>
      <c r="E134" s="268">
        <f t="shared" si="11"/>
        <v>120</v>
      </c>
    </row>
    <row r="135" spans="1:5" ht="12.75">
      <c r="A135" s="267" t="s">
        <v>219</v>
      </c>
      <c r="B135" s="105">
        <f>9512-77</f>
        <v>9435</v>
      </c>
      <c r="C135" s="105"/>
      <c r="D135" s="105"/>
      <c r="E135" s="268">
        <f t="shared" si="11"/>
        <v>9435</v>
      </c>
    </row>
    <row r="136" spans="1:5" ht="12.75">
      <c r="A136" s="267" t="s">
        <v>220</v>
      </c>
      <c r="B136" s="105"/>
      <c r="C136" s="105"/>
      <c r="D136" s="105"/>
      <c r="E136" s="268">
        <f t="shared" si="11"/>
        <v>0</v>
      </c>
    </row>
    <row r="137" spans="1:5" ht="12.75">
      <c r="A137" s="108" t="s">
        <v>1136</v>
      </c>
      <c r="B137" s="105"/>
      <c r="C137" s="105"/>
      <c r="D137" s="105"/>
      <c r="E137" s="268">
        <f t="shared" si="11"/>
        <v>0</v>
      </c>
    </row>
    <row r="138" spans="1:5" ht="12.75">
      <c r="A138" s="108"/>
      <c r="B138" s="105"/>
      <c r="C138" s="105"/>
      <c r="D138" s="105"/>
      <c r="E138" s="268">
        <f t="shared" si="11"/>
        <v>0</v>
      </c>
    </row>
    <row r="139" spans="1:5" ht="13.5" thickBot="1">
      <c r="A139" s="106"/>
      <c r="B139" s="107"/>
      <c r="C139" s="107"/>
      <c r="D139" s="107"/>
      <c r="E139" s="268">
        <f t="shared" si="11"/>
        <v>0</v>
      </c>
    </row>
    <row r="140" spans="1:5" ht="13.5" thickBot="1">
      <c r="A140" s="269" t="s">
        <v>109</v>
      </c>
      <c r="B140" s="1092">
        <f>SUM(B133:B139)</f>
        <v>14879</v>
      </c>
      <c r="C140" s="1092">
        <f>SUM(C133:C139)</f>
        <v>0</v>
      </c>
      <c r="D140" s="1092">
        <f>SUM(D133:D139)</f>
        <v>0</v>
      </c>
      <c r="E140" s="1093">
        <f>SUM(E133:E139)</f>
        <v>14879</v>
      </c>
    </row>
    <row r="143" spans="1:5" ht="15.75">
      <c r="A143" s="1315" t="s">
        <v>1</v>
      </c>
      <c r="B143" s="1315"/>
      <c r="C143" s="1315"/>
      <c r="D143" s="1315"/>
      <c r="E143" s="1315"/>
    </row>
    <row r="144" spans="1:5" ht="13.5" thickBot="1">
      <c r="A144" s="258"/>
      <c r="B144" s="258"/>
      <c r="C144" s="258"/>
      <c r="D144" s="258"/>
      <c r="E144" s="258"/>
    </row>
    <row r="145" spans="1:5" ht="13.5" thickBot="1">
      <c r="A145" s="1320" t="s">
        <v>214</v>
      </c>
      <c r="B145" s="1321"/>
      <c r="C145" s="1322"/>
      <c r="D145" s="1318" t="s">
        <v>223</v>
      </c>
      <c r="E145" s="1319"/>
    </row>
    <row r="146" spans="1:5" ht="12.75">
      <c r="A146" s="1298"/>
      <c r="B146" s="1299"/>
      <c r="C146" s="1300"/>
      <c r="D146" s="1311"/>
      <c r="E146" s="1312"/>
    </row>
    <row r="147" spans="1:5" ht="13.5" thickBot="1">
      <c r="A147" s="1301"/>
      <c r="B147" s="1302"/>
      <c r="C147" s="1303"/>
      <c r="D147" s="1313"/>
      <c r="E147" s="1314"/>
    </row>
    <row r="148" spans="1:5" ht="13.5" thickBot="1">
      <c r="A148" s="1308" t="s">
        <v>109</v>
      </c>
      <c r="B148" s="1309"/>
      <c r="C148" s="1310"/>
      <c r="D148" s="1316">
        <f>SUM(D146:E147)</f>
        <v>0</v>
      </c>
      <c r="E148" s="1317"/>
    </row>
  </sheetData>
  <sheetProtection/>
  <mergeCells count="19">
    <mergeCell ref="B1:E1"/>
    <mergeCell ref="B24:E24"/>
    <mergeCell ref="D121:E121"/>
    <mergeCell ref="A148:C148"/>
    <mergeCell ref="D146:E146"/>
    <mergeCell ref="D147:E147"/>
    <mergeCell ref="A143:E143"/>
    <mergeCell ref="D148:E148"/>
    <mergeCell ref="D145:E145"/>
    <mergeCell ref="A145:C145"/>
    <mergeCell ref="A146:C146"/>
    <mergeCell ref="A147:C147"/>
    <mergeCell ref="F2:G2"/>
    <mergeCell ref="F25:G25"/>
    <mergeCell ref="B46:E46"/>
    <mergeCell ref="F47:G47"/>
    <mergeCell ref="B69:E69"/>
    <mergeCell ref="B120:E120"/>
    <mergeCell ref="A99:D99"/>
  </mergeCells>
  <conditionalFormatting sqref="D148:E148 E123:E130 B130:D130 B140:E140 E133:E139 E4:E11 B11:D11 B21:E21 E14:E20 E27:E34 B34:D34 E37:E44 B44:D44 E49:E56 B56:D56 E59:E66 B66:D66 B79:D79 E82:E89 B89:D89 E72:E79 B95:E96 B108:D108 E111:E118 B118:D118 E101:E108">
    <cfRule type="cellIs" priority="8" dxfId="5" operator="equal" stopIfTrue="1">
      <formula>0</formula>
    </cfRule>
  </conditionalFormatting>
  <conditionalFormatting sqref="A99">
    <cfRule type="cellIs" priority="1" dxfId="5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>
    <oddHeader>&amp;C&amp;"Times New Roman CE,Félkövér"&amp;12
Európai uniós támogatással megvalósuló projektek 
bevételei, kiadásai, hozzájárulások&amp;R&amp;"Times New Roman CE,Félkövér dőlt"&amp;11 8. számú melléklet 
</oddHeader>
  </headerFooter>
  <rowBreaks count="1" manualBreakCount="1">
    <brk id="4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I94" sqref="I94"/>
    </sheetView>
  </sheetViews>
  <sheetFormatPr defaultColWidth="9.00390625" defaultRowHeight="12.75"/>
  <cols>
    <col min="1" max="1" width="9.625" style="564" customWidth="1"/>
    <col min="2" max="2" width="9.625" style="565" customWidth="1"/>
    <col min="3" max="3" width="72.00390625" style="565" customWidth="1"/>
    <col min="4" max="4" width="25.00390625" style="566" customWidth="1"/>
    <col min="5" max="7" width="9.375" style="4" customWidth="1"/>
    <col min="8" max="16384" width="9.375" style="4" customWidth="1"/>
  </cols>
  <sheetData>
    <row r="1" spans="1:4" s="2" customFormat="1" ht="16.5" customHeight="1" thickBot="1">
      <c r="A1" s="273"/>
      <c r="B1" s="274"/>
      <c r="C1" s="275"/>
      <c r="D1" s="1122" t="s">
        <v>1186</v>
      </c>
    </row>
    <row r="2" spans="1:4" s="109" customFormat="1" ht="25.5" customHeight="1" thickBot="1">
      <c r="A2" s="1323" t="s">
        <v>370</v>
      </c>
      <c r="B2" s="1324"/>
      <c r="C2" s="1115" t="s">
        <v>1176</v>
      </c>
      <c r="D2" s="1116" t="s">
        <v>110</v>
      </c>
    </row>
    <row r="3" spans="1:4" s="109" customFormat="1" ht="16.5" hidden="1" thickBot="1">
      <c r="A3" s="1112" t="s">
        <v>338</v>
      </c>
      <c r="B3" s="1113"/>
      <c r="C3" s="1114"/>
      <c r="D3" s="493" t="s">
        <v>111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494"/>
    </row>
    <row r="8" spans="1:4" s="67" customFormat="1" ht="12" customHeight="1" thickBot="1">
      <c r="A8" s="240" t="s">
        <v>74</v>
      </c>
      <c r="B8" s="285"/>
      <c r="C8" s="381" t="s">
        <v>341</v>
      </c>
      <c r="D8" s="499">
        <f>+D9+D14</f>
        <v>3699815</v>
      </c>
    </row>
    <row r="9" spans="1:4" s="111" customFormat="1" ht="12" customHeight="1" thickBot="1">
      <c r="A9" s="240" t="s">
        <v>75</v>
      </c>
      <c r="B9" s="285"/>
      <c r="C9" s="540" t="s">
        <v>2</v>
      </c>
      <c r="D9" s="499">
        <f>SUM(D10:D13)</f>
        <v>2734000</v>
      </c>
    </row>
    <row r="10" spans="1:4" s="112" customFormat="1" ht="12" customHeight="1">
      <c r="A10" s="287"/>
      <c r="B10" s="288" t="s">
        <v>178</v>
      </c>
      <c r="C10" s="395" t="s">
        <v>117</v>
      </c>
      <c r="D10" s="506">
        <f>'Ö1'!H148</f>
        <v>2710000</v>
      </c>
    </row>
    <row r="11" spans="1:4" s="112" customFormat="1" ht="12" customHeight="1">
      <c r="A11" s="287"/>
      <c r="B11" s="288" t="s">
        <v>179</v>
      </c>
      <c r="C11" s="382" t="s">
        <v>148</v>
      </c>
      <c r="D11" s="506">
        <v>0</v>
      </c>
    </row>
    <row r="12" spans="1:4" s="112" customFormat="1" ht="12" customHeight="1">
      <c r="A12" s="287"/>
      <c r="B12" s="288" t="s">
        <v>180</v>
      </c>
      <c r="C12" s="382" t="s">
        <v>259</v>
      </c>
      <c r="D12" s="506">
        <f>'Ö1'!H25+'Ö1'!H182</f>
        <v>24000</v>
      </c>
    </row>
    <row r="13" spans="1:4" s="112" customFormat="1" ht="12" customHeight="1" thickBot="1">
      <c r="A13" s="287"/>
      <c r="B13" s="288" t="s">
        <v>181</v>
      </c>
      <c r="C13" s="390" t="s">
        <v>260</v>
      </c>
      <c r="D13" s="506">
        <v>0</v>
      </c>
    </row>
    <row r="14" spans="1:4" s="111" customFormat="1" ht="12" customHeight="1" thickBot="1">
      <c r="A14" s="240" t="s">
        <v>76</v>
      </c>
      <c r="B14" s="285"/>
      <c r="C14" s="540" t="s">
        <v>261</v>
      </c>
      <c r="D14" s="499">
        <f>SUM(D15:D22)</f>
        <v>965815</v>
      </c>
    </row>
    <row r="15" spans="1:4" s="111" customFormat="1" ht="12" customHeight="1">
      <c r="A15" s="289"/>
      <c r="B15" s="288" t="s">
        <v>152</v>
      </c>
      <c r="C15" s="395" t="s">
        <v>266</v>
      </c>
      <c r="D15" s="1161">
        <v>0</v>
      </c>
    </row>
    <row r="16" spans="1:4" s="111" customFormat="1" ht="12" customHeight="1">
      <c r="A16" s="287"/>
      <c r="B16" s="288" t="s">
        <v>153</v>
      </c>
      <c r="C16" s="382" t="s">
        <v>267</v>
      </c>
      <c r="D16" s="506">
        <f>'Ö1'!H44</f>
        <v>48223</v>
      </c>
    </row>
    <row r="17" spans="1:4" s="111" customFormat="1" ht="12" customHeight="1">
      <c r="A17" s="287"/>
      <c r="B17" s="288" t="s">
        <v>154</v>
      </c>
      <c r="C17" s="382" t="s">
        <v>268</v>
      </c>
      <c r="D17" s="506">
        <f>'Ö1'!H69</f>
        <v>647100</v>
      </c>
    </row>
    <row r="18" spans="1:4" s="111" customFormat="1" ht="12" customHeight="1">
      <c r="A18" s="287"/>
      <c r="B18" s="288" t="s">
        <v>155</v>
      </c>
      <c r="C18" s="382" t="s">
        <v>269</v>
      </c>
      <c r="D18" s="506">
        <v>0</v>
      </c>
    </row>
    <row r="19" spans="1:4" s="111" customFormat="1" ht="12" customHeight="1">
      <c r="A19" s="287"/>
      <c r="B19" s="288" t="s">
        <v>262</v>
      </c>
      <c r="C19" s="382" t="s">
        <v>270</v>
      </c>
      <c r="D19" s="506">
        <v>0</v>
      </c>
    </row>
    <row r="20" spans="1:4" s="111" customFormat="1" ht="12" customHeight="1">
      <c r="A20" s="290"/>
      <c r="B20" s="288" t="s">
        <v>263</v>
      </c>
      <c r="C20" s="382" t="s">
        <v>376</v>
      </c>
      <c r="D20" s="1162">
        <f>'Ö1'!E136+'Ö1'!H136</f>
        <v>264492</v>
      </c>
    </row>
    <row r="21" spans="1:4" s="112" customFormat="1" ht="12" customHeight="1">
      <c r="A21" s="287"/>
      <c r="B21" s="288" t="s">
        <v>264</v>
      </c>
      <c r="C21" s="382" t="s">
        <v>272</v>
      </c>
      <c r="D21" s="506">
        <f>'Ö1'!H130</f>
        <v>6000</v>
      </c>
    </row>
    <row r="22" spans="1:4" s="112" customFormat="1" ht="12" customHeight="1" thickBot="1">
      <c r="A22" s="291"/>
      <c r="B22" s="292" t="s">
        <v>265</v>
      </c>
      <c r="C22" s="390" t="s">
        <v>273</v>
      </c>
      <c r="D22" s="507">
        <v>0</v>
      </c>
    </row>
    <row r="23" spans="1:4" s="112" customFormat="1" ht="12" customHeight="1" thickBot="1">
      <c r="A23" s="240" t="s">
        <v>77</v>
      </c>
      <c r="B23" s="293"/>
      <c r="C23" s="540" t="s">
        <v>377</v>
      </c>
      <c r="D23" s="497">
        <f>'Ö1'!H154</f>
        <v>95000</v>
      </c>
    </row>
    <row r="24" spans="1:4" s="111" customFormat="1" ht="12" customHeight="1" thickBot="1">
      <c r="A24" s="240" t="s">
        <v>78</v>
      </c>
      <c r="B24" s="285"/>
      <c r="C24" s="540" t="s">
        <v>539</v>
      </c>
      <c r="D24" s="499">
        <f>SUM(D25:D34)</f>
        <v>1658186</v>
      </c>
    </row>
    <row r="25" spans="1:4" s="112" customFormat="1" ht="12" customHeight="1">
      <c r="A25" s="287"/>
      <c r="B25" s="288" t="s">
        <v>156</v>
      </c>
      <c r="C25" s="395" t="s">
        <v>3</v>
      </c>
      <c r="D25" s="505">
        <f>'Ö1'!H158</f>
        <v>188844</v>
      </c>
    </row>
    <row r="26" spans="1:4" s="112" customFormat="1" ht="12" customHeight="1">
      <c r="A26" s="287"/>
      <c r="B26" s="288" t="s">
        <v>157</v>
      </c>
      <c r="C26" s="382" t="s">
        <v>284</v>
      </c>
      <c r="D26" s="505">
        <f>'Ö1'!H160+'Ö1'!H159+'Ö1'!E165+'Ö1'!H161+'Ö1'!H162+'Ö1'!H163</f>
        <v>345947</v>
      </c>
    </row>
    <row r="27" spans="1:4" s="112" customFormat="1" ht="12" customHeight="1">
      <c r="A27" s="287"/>
      <c r="B27" s="288" t="s">
        <v>158</v>
      </c>
      <c r="C27" s="382" t="str">
        <f>4!B22</f>
        <v>Normatív hozzájárulások</v>
      </c>
      <c r="D27" s="505">
        <f>'Ö1'!H156</f>
        <v>502001</v>
      </c>
    </row>
    <row r="28" spans="1:4" s="112" customFormat="1" ht="12" customHeight="1">
      <c r="A28" s="287"/>
      <c r="B28" s="288" t="s">
        <v>277</v>
      </c>
      <c r="C28" s="382" t="str">
        <f>4!B23</f>
        <v>Felhasználási kötöttséggel járó normatív támogatás</v>
      </c>
      <c r="D28" s="505">
        <f>'Ö1'!H157</f>
        <v>266819</v>
      </c>
    </row>
    <row r="29" spans="1:4" s="112" customFormat="1" ht="12" customHeight="1">
      <c r="A29" s="287"/>
      <c r="B29" s="288" t="s">
        <v>278</v>
      </c>
      <c r="C29" s="382" t="s">
        <v>1338</v>
      </c>
      <c r="D29" s="505">
        <f>'Ö1'!H168</f>
        <v>21144</v>
      </c>
    </row>
    <row r="30" spans="1:4" s="112" customFormat="1" ht="12" customHeight="1">
      <c r="A30" s="287"/>
      <c r="B30" s="288" t="s">
        <v>279</v>
      </c>
      <c r="C30" s="382" t="s">
        <v>285</v>
      </c>
      <c r="D30" s="505">
        <v>0</v>
      </c>
    </row>
    <row r="31" spans="1:4" s="112" customFormat="1" ht="12" customHeight="1">
      <c r="A31" s="287"/>
      <c r="B31" s="288" t="s">
        <v>280</v>
      </c>
      <c r="C31" s="382" t="s">
        <v>286</v>
      </c>
      <c r="D31" s="505">
        <v>0</v>
      </c>
    </row>
    <row r="32" spans="1:4" s="112" customFormat="1" ht="12" customHeight="1">
      <c r="A32" s="287"/>
      <c r="B32" s="288" t="s">
        <v>281</v>
      </c>
      <c r="C32" s="382" t="s">
        <v>378</v>
      </c>
      <c r="D32" s="505"/>
    </row>
    <row r="33" spans="1:4" s="112" customFormat="1" ht="12" customHeight="1">
      <c r="A33" s="287"/>
      <c r="B33" s="288" t="s">
        <v>538</v>
      </c>
      <c r="C33" s="382" t="s">
        <v>1333</v>
      </c>
      <c r="D33" s="505">
        <f>'Ö1'!H167+'Ö1'!E169</f>
        <v>271099</v>
      </c>
    </row>
    <row r="34" spans="1:4" s="112" customFormat="1" ht="12" customHeight="1" thickBot="1">
      <c r="A34" s="290"/>
      <c r="B34" s="1158" t="s">
        <v>540</v>
      </c>
      <c r="C34" s="1168" t="s">
        <v>1243</v>
      </c>
      <c r="D34" s="1163">
        <f>'Ö1'!H164</f>
        <v>62332</v>
      </c>
    </row>
    <row r="35" spans="1:4" s="112" customFormat="1" ht="12" customHeight="1" thickBot="1">
      <c r="A35" s="248" t="s">
        <v>79</v>
      </c>
      <c r="B35" s="147"/>
      <c r="C35" s="381" t="s">
        <v>511</v>
      </c>
      <c r="D35" s="499">
        <f>+D36+D42</f>
        <v>1292317</v>
      </c>
    </row>
    <row r="36" spans="1:4" s="112" customFormat="1" ht="12" customHeight="1">
      <c r="A36" s="289"/>
      <c r="B36" s="192" t="s">
        <v>159</v>
      </c>
      <c r="C36" s="538" t="s">
        <v>499</v>
      </c>
      <c r="D36" s="1164">
        <f>SUM(D37:D41)</f>
        <v>362454</v>
      </c>
    </row>
    <row r="37" spans="1:4" s="112" customFormat="1" ht="12" customHeight="1">
      <c r="A37" s="287"/>
      <c r="B37" s="174" t="s">
        <v>162</v>
      </c>
      <c r="C37" s="382" t="s">
        <v>379</v>
      </c>
      <c r="D37" s="506">
        <v>0</v>
      </c>
    </row>
    <row r="38" spans="1:4" s="112" customFormat="1" ht="12" customHeight="1">
      <c r="A38" s="287"/>
      <c r="B38" s="174" t="s">
        <v>163</v>
      </c>
      <c r="C38" s="382" t="s">
        <v>380</v>
      </c>
      <c r="D38" s="506">
        <f>'Ö1'!H278</f>
        <v>61956</v>
      </c>
    </row>
    <row r="39" spans="1:4" s="112" customFormat="1" ht="12" customHeight="1">
      <c r="A39" s="287"/>
      <c r="B39" s="174" t="s">
        <v>164</v>
      </c>
      <c r="C39" s="382" t="s">
        <v>381</v>
      </c>
      <c r="D39" s="506">
        <f>'Ö1'!H265</f>
        <v>13341</v>
      </c>
    </row>
    <row r="40" spans="1:4" s="112" customFormat="1" ht="12" customHeight="1">
      <c r="A40" s="287"/>
      <c r="B40" s="174" t="s">
        <v>165</v>
      </c>
      <c r="C40" s="382" t="s">
        <v>382</v>
      </c>
      <c r="D40" s="506">
        <v>0</v>
      </c>
    </row>
    <row r="41" spans="1:4" s="112" customFormat="1" ht="12" customHeight="1">
      <c r="A41" s="287"/>
      <c r="B41" s="174" t="s">
        <v>288</v>
      </c>
      <c r="C41" s="382" t="s">
        <v>500</v>
      </c>
      <c r="D41" s="506">
        <f>'Ö1'!H239+'Ö1'!H256</f>
        <v>287157</v>
      </c>
    </row>
    <row r="42" spans="1:4" s="112" customFormat="1" ht="12" customHeight="1">
      <c r="A42" s="287"/>
      <c r="B42" s="174" t="s">
        <v>160</v>
      </c>
      <c r="C42" s="383" t="s">
        <v>501</v>
      </c>
      <c r="D42" s="1165">
        <f>SUM(D43:D47)</f>
        <v>929863</v>
      </c>
    </row>
    <row r="43" spans="1:4" s="112" customFormat="1" ht="12" customHeight="1">
      <c r="A43" s="287"/>
      <c r="B43" s="174" t="s">
        <v>168</v>
      </c>
      <c r="C43" s="382" t="s">
        <v>379</v>
      </c>
      <c r="D43" s="506"/>
    </row>
    <row r="44" spans="1:4" s="112" customFormat="1" ht="12" customHeight="1">
      <c r="A44" s="287"/>
      <c r="B44" s="174" t="s">
        <v>169</v>
      </c>
      <c r="C44" s="382" t="s">
        <v>380</v>
      </c>
      <c r="D44" s="506"/>
    </row>
    <row r="45" spans="1:4" s="112" customFormat="1" ht="12" customHeight="1">
      <c r="A45" s="287"/>
      <c r="B45" s="174" t="s">
        <v>170</v>
      </c>
      <c r="C45" s="382" t="s">
        <v>381</v>
      </c>
      <c r="D45" s="506"/>
    </row>
    <row r="46" spans="1:4" s="112" customFormat="1" ht="12" customHeight="1">
      <c r="A46" s="287"/>
      <c r="B46" s="174" t="s">
        <v>171</v>
      </c>
      <c r="C46" s="382" t="s">
        <v>382</v>
      </c>
      <c r="D46" s="506"/>
    </row>
    <row r="47" spans="1:4" s="112" customFormat="1" ht="12" customHeight="1" thickBot="1">
      <c r="A47" s="294"/>
      <c r="B47" s="193" t="s">
        <v>289</v>
      </c>
      <c r="C47" s="390" t="s">
        <v>502</v>
      </c>
      <c r="D47" s="1166">
        <f>'Ö1'!E239</f>
        <v>929863</v>
      </c>
    </row>
    <row r="48" spans="1:4" s="111" customFormat="1" ht="12" customHeight="1" thickBot="1">
      <c r="A48" s="248" t="s">
        <v>80</v>
      </c>
      <c r="B48" s="285"/>
      <c r="C48" s="540" t="s">
        <v>383</v>
      </c>
      <c r="D48" s="499">
        <f>+D49+D50</f>
        <v>112781</v>
      </c>
    </row>
    <row r="49" spans="1:4" s="112" customFormat="1" ht="12" customHeight="1">
      <c r="A49" s="287"/>
      <c r="B49" s="174" t="s">
        <v>166</v>
      </c>
      <c r="C49" s="395" t="s">
        <v>216</v>
      </c>
      <c r="D49" s="506">
        <f>'Ö1'!H295</f>
        <v>108281</v>
      </c>
    </row>
    <row r="50" spans="1:4" s="112" customFormat="1" ht="12" customHeight="1" thickBot="1">
      <c r="A50" s="287"/>
      <c r="B50" s="174" t="s">
        <v>167</v>
      </c>
      <c r="C50" s="390" t="s">
        <v>4</v>
      </c>
      <c r="D50" s="506">
        <f>'Ö1'!E295</f>
        <v>4500</v>
      </c>
    </row>
    <row r="51" spans="1:4" s="112" customFormat="1" ht="12" customHeight="1" thickBot="1">
      <c r="A51" s="240" t="s">
        <v>81</v>
      </c>
      <c r="B51" s="285"/>
      <c r="C51" s="540" t="s">
        <v>1335</v>
      </c>
      <c r="D51" s="499">
        <f>+D52+D53+D55+D54</f>
        <v>877800</v>
      </c>
    </row>
    <row r="52" spans="1:4" s="112" customFormat="1" ht="12" customHeight="1">
      <c r="A52" s="295"/>
      <c r="B52" s="174" t="s">
        <v>293</v>
      </c>
      <c r="C52" s="395" t="s">
        <v>291</v>
      </c>
      <c r="D52" s="504">
        <f>'Ö1'!E104</f>
        <v>752000</v>
      </c>
    </row>
    <row r="53" spans="1:4" s="112" customFormat="1" ht="12" customHeight="1">
      <c r="A53" s="295"/>
      <c r="B53" s="174" t="s">
        <v>294</v>
      </c>
      <c r="C53" s="382" t="s">
        <v>292</v>
      </c>
      <c r="D53" s="504">
        <f>'Ö1'!E85</f>
        <v>43750</v>
      </c>
    </row>
    <row r="54" spans="1:4" s="112" customFormat="1" ht="12" customHeight="1">
      <c r="A54" s="295"/>
      <c r="B54" s="174" t="s">
        <v>439</v>
      </c>
      <c r="C54" s="397" t="s">
        <v>385</v>
      </c>
      <c r="D54" s="504">
        <f>'Ö1'!E114</f>
        <v>75691</v>
      </c>
    </row>
    <row r="55" spans="1:4" s="112" customFormat="1" ht="12" customHeight="1" thickBot="1">
      <c r="A55" s="287"/>
      <c r="B55" s="174" t="s">
        <v>1336</v>
      </c>
      <c r="C55" s="397" t="s">
        <v>1275</v>
      </c>
      <c r="D55" s="506">
        <f>'Ö1'!E94</f>
        <v>6359</v>
      </c>
    </row>
    <row r="56" spans="1:4" s="112" customFormat="1" ht="12" customHeight="1" thickBot="1">
      <c r="A56" s="248" t="s">
        <v>82</v>
      </c>
      <c r="B56" s="296"/>
      <c r="C56" s="381" t="s">
        <v>386</v>
      </c>
      <c r="D56" s="497">
        <f>'Ö1'!E313</f>
        <v>6000</v>
      </c>
    </row>
    <row r="57" spans="1:4" s="111" customFormat="1" ht="12" customHeight="1" thickBot="1">
      <c r="A57" s="297" t="s">
        <v>83</v>
      </c>
      <c r="B57" s="298"/>
      <c r="C57" s="381" t="s">
        <v>512</v>
      </c>
      <c r="D57" s="498">
        <f>+D9+D14+D23+D24+D35+D48+D51+D56</f>
        <v>7741899</v>
      </c>
    </row>
    <row r="58" spans="1:4" s="111" customFormat="1" ht="12" customHeight="1" thickBot="1">
      <c r="A58" s="240" t="s">
        <v>84</v>
      </c>
      <c r="B58" s="194"/>
      <c r="C58" s="381" t="s">
        <v>389</v>
      </c>
      <c r="D58" s="499">
        <f>+D59+D60</f>
        <v>0</v>
      </c>
    </row>
    <row r="59" spans="1:4" s="111" customFormat="1" ht="12" customHeight="1">
      <c r="A59" s="289"/>
      <c r="B59" s="192" t="s">
        <v>225</v>
      </c>
      <c r="C59" s="536" t="s">
        <v>5</v>
      </c>
      <c r="D59" s="500">
        <f>'Ö1'!H319</f>
        <v>0</v>
      </c>
    </row>
    <row r="60" spans="1:4" s="111" customFormat="1" ht="12" customHeight="1" thickBot="1">
      <c r="A60" s="294"/>
      <c r="B60" s="193" t="s">
        <v>226</v>
      </c>
      <c r="C60" s="537" t="s">
        <v>533</v>
      </c>
      <c r="D60" s="1167">
        <f>'Ö1'!E319</f>
        <v>0</v>
      </c>
    </row>
    <row r="61" spans="1:4" s="112" customFormat="1" ht="12" customHeight="1" thickBot="1">
      <c r="A61" s="299" t="s">
        <v>85</v>
      </c>
      <c r="B61" s="560"/>
      <c r="C61" s="542" t="s">
        <v>6</v>
      </c>
      <c r="D61" s="499">
        <f>+D57+D58</f>
        <v>7741899</v>
      </c>
    </row>
    <row r="62" spans="1:4" s="112" customFormat="1" ht="15" customHeight="1">
      <c r="A62" s="302"/>
      <c r="B62" s="302"/>
      <c r="C62" s="303"/>
      <c r="D62" s="501"/>
    </row>
    <row r="63" spans="1:4" ht="13.5" thickBot="1">
      <c r="A63" s="304"/>
      <c r="B63" s="305"/>
      <c r="C63" s="305"/>
      <c r="D63" s="502"/>
    </row>
    <row r="64" spans="1:4" s="67" customFormat="1" ht="16.5" customHeight="1" thickBot="1">
      <c r="A64" s="306"/>
      <c r="B64" s="307"/>
      <c r="C64" s="308" t="s">
        <v>119</v>
      </c>
      <c r="D64" s="503"/>
    </row>
    <row r="65" spans="1:4" s="113" customFormat="1" ht="12" customHeight="1" thickBot="1">
      <c r="A65" s="248" t="s">
        <v>74</v>
      </c>
      <c r="B65" s="24"/>
      <c r="C65" s="147" t="s">
        <v>22</v>
      </c>
      <c r="D65" s="440">
        <f>SUM(D66:D70)</f>
        <v>2982254</v>
      </c>
    </row>
    <row r="66" spans="1:4" ht="12" customHeight="1">
      <c r="A66" s="309"/>
      <c r="B66" s="191" t="s">
        <v>172</v>
      </c>
      <c r="C66" s="12" t="s">
        <v>105</v>
      </c>
      <c r="D66" s="504">
        <f>'Ö2'!D124</f>
        <v>167297</v>
      </c>
    </row>
    <row r="67" spans="1:4" ht="12" customHeight="1">
      <c r="A67" s="310"/>
      <c r="B67" s="174" t="s">
        <v>173</v>
      </c>
      <c r="C67" s="9" t="s">
        <v>298</v>
      </c>
      <c r="D67" s="505">
        <f>'Ö2'!G124</f>
        <v>37503</v>
      </c>
    </row>
    <row r="68" spans="1:4" ht="12" customHeight="1">
      <c r="A68" s="310"/>
      <c r="B68" s="174" t="s">
        <v>174</v>
      </c>
      <c r="C68" s="9" t="s">
        <v>215</v>
      </c>
      <c r="D68" s="506">
        <f>'Ö2'!J124</f>
        <v>2051678</v>
      </c>
    </row>
    <row r="69" spans="1:4" ht="12" customHeight="1">
      <c r="A69" s="310"/>
      <c r="B69" s="174" t="s">
        <v>175</v>
      </c>
      <c r="C69" s="9" t="s">
        <v>299</v>
      </c>
      <c r="D69" s="506">
        <f>'Ö2'!M124</f>
        <v>6000</v>
      </c>
    </row>
    <row r="70" spans="1:4" ht="12" customHeight="1">
      <c r="A70" s="310"/>
      <c r="B70" s="174" t="s">
        <v>186</v>
      </c>
      <c r="C70" s="9" t="s">
        <v>300</v>
      </c>
      <c r="D70" s="506">
        <f>'Ö2'!P108+'Ö2'!S108+'Ö2'!V108</f>
        <v>719776</v>
      </c>
    </row>
    <row r="71" spans="1:4" ht="12" customHeight="1">
      <c r="A71" s="310"/>
      <c r="B71" s="174" t="s">
        <v>176</v>
      </c>
      <c r="C71" s="9" t="s">
        <v>321</v>
      </c>
      <c r="D71" s="505">
        <v>0</v>
      </c>
    </row>
    <row r="72" spans="1:4" ht="12" customHeight="1">
      <c r="A72" s="310"/>
      <c r="B72" s="174" t="s">
        <v>177</v>
      </c>
      <c r="C72" s="1173" t="s">
        <v>1206</v>
      </c>
      <c r="D72" s="506">
        <f>'Ö2'!P108</f>
        <v>212200</v>
      </c>
    </row>
    <row r="73" spans="1:4" ht="12" customHeight="1">
      <c r="A73" s="310"/>
      <c r="B73" s="174" t="s">
        <v>187</v>
      </c>
      <c r="C73" s="1174" t="s">
        <v>513</v>
      </c>
      <c r="D73" s="506">
        <f>'Ö2'!S108</f>
        <v>237106</v>
      </c>
    </row>
    <row r="74" spans="1:4" ht="12" customHeight="1">
      <c r="A74" s="310"/>
      <c r="B74" s="174" t="s">
        <v>188</v>
      </c>
      <c r="C74" s="1174" t="s">
        <v>7</v>
      </c>
      <c r="D74" s="506">
        <f>'Ö2'!V108-'Ö2'!V61</f>
        <v>175640</v>
      </c>
    </row>
    <row r="75" spans="1:4" ht="12" customHeight="1">
      <c r="A75" s="310"/>
      <c r="B75" s="174" t="s">
        <v>189</v>
      </c>
      <c r="C75" s="1174" t="s">
        <v>514</v>
      </c>
      <c r="D75" s="506">
        <v>0</v>
      </c>
    </row>
    <row r="76" spans="1:4" ht="12" customHeight="1">
      <c r="A76" s="310"/>
      <c r="B76" s="174" t="s">
        <v>190</v>
      </c>
      <c r="C76" s="1175" t="s">
        <v>8</v>
      </c>
      <c r="D76" s="506">
        <f>'Ö2'!V61</f>
        <v>94830</v>
      </c>
    </row>
    <row r="77" spans="1:4" ht="12" customHeight="1">
      <c r="A77" s="310"/>
      <c r="B77" s="174" t="s">
        <v>192</v>
      </c>
      <c r="C77" s="168" t="s">
        <v>9</v>
      </c>
      <c r="D77" s="506">
        <v>0</v>
      </c>
    </row>
    <row r="78" spans="1:4" ht="12" customHeight="1" thickBot="1">
      <c r="A78" s="311"/>
      <c r="B78" s="195" t="s">
        <v>301</v>
      </c>
      <c r="C78" s="170" t="s">
        <v>10</v>
      </c>
      <c r="D78" s="507">
        <v>0</v>
      </c>
    </row>
    <row r="79" spans="1:4" ht="12" customHeight="1" thickBot="1">
      <c r="A79" s="248" t="s">
        <v>75</v>
      </c>
      <c r="B79" s="24"/>
      <c r="C79" s="147" t="s">
        <v>21</v>
      </c>
      <c r="D79" s="499">
        <f>SUM(D80:D82)</f>
        <v>2153836</v>
      </c>
    </row>
    <row r="80" spans="1:4" s="113" customFormat="1" ht="12" customHeight="1">
      <c r="A80" s="309"/>
      <c r="B80" s="191" t="s">
        <v>178</v>
      </c>
      <c r="C80" s="536" t="s">
        <v>11</v>
      </c>
      <c r="D80" s="1169">
        <f>6!B111</f>
        <v>1695625</v>
      </c>
    </row>
    <row r="81" spans="1:4" ht="12" customHeight="1">
      <c r="A81" s="310"/>
      <c r="B81" s="174" t="s">
        <v>179</v>
      </c>
      <c r="C81" s="382" t="s">
        <v>302</v>
      </c>
      <c r="D81" s="505">
        <f>7!B31</f>
        <v>458211</v>
      </c>
    </row>
    <row r="82" spans="1:4" ht="12" customHeight="1">
      <c r="A82" s="310"/>
      <c r="B82" s="174" t="s">
        <v>180</v>
      </c>
      <c r="C82" s="382" t="s">
        <v>441</v>
      </c>
      <c r="D82" s="505">
        <v>0</v>
      </c>
    </row>
    <row r="83" spans="1:4" ht="12" customHeight="1">
      <c r="A83" s="310"/>
      <c r="B83" s="174" t="s">
        <v>181</v>
      </c>
      <c r="C83" s="382" t="s">
        <v>1201</v>
      </c>
      <c r="D83" s="505"/>
    </row>
    <row r="84" spans="1:4" ht="12" customHeight="1">
      <c r="A84" s="310"/>
      <c r="B84" s="174" t="s">
        <v>182</v>
      </c>
      <c r="C84" s="1174" t="s">
        <v>1152</v>
      </c>
      <c r="D84" s="505">
        <f>7!B5+7!B8+7!B9+7!B11+7!B12+6!B5+6!B20+6!B37+6!B35</f>
        <v>538706</v>
      </c>
    </row>
    <row r="85" spans="1:4" ht="12" customHeight="1">
      <c r="A85" s="310"/>
      <c r="B85" s="174" t="s">
        <v>191</v>
      </c>
      <c r="C85" s="1174" t="s">
        <v>15</v>
      </c>
      <c r="D85" s="505">
        <v>0</v>
      </c>
    </row>
    <row r="86" spans="1:4" ht="12" customHeight="1">
      <c r="A86" s="310"/>
      <c r="B86" s="174" t="s">
        <v>193</v>
      </c>
      <c r="C86" s="1174" t="s">
        <v>14</v>
      </c>
      <c r="D86" s="505">
        <v>0</v>
      </c>
    </row>
    <row r="87" spans="1:4" s="113" customFormat="1" ht="12" customHeight="1">
      <c r="A87" s="310"/>
      <c r="B87" s="174" t="s">
        <v>303</v>
      </c>
      <c r="C87" s="1174" t="s">
        <v>13</v>
      </c>
      <c r="D87" s="505">
        <v>0</v>
      </c>
    </row>
    <row r="88" spans="1:8" ht="22.5">
      <c r="A88" s="310"/>
      <c r="B88" s="174" t="s">
        <v>304</v>
      </c>
      <c r="C88" s="1174" t="s">
        <v>12</v>
      </c>
      <c r="D88" s="505">
        <f>8!B6+8!B29+8!B51+8!B74+8!B125+173149</f>
        <v>610739</v>
      </c>
      <c r="H88" s="320"/>
    </row>
    <row r="89" spans="1:4" ht="23.25" thickBot="1">
      <c r="A89" s="310"/>
      <c r="B89" s="174" t="s">
        <v>305</v>
      </c>
      <c r="C89" s="1176" t="s">
        <v>1342</v>
      </c>
      <c r="D89" s="505">
        <f>8!B4+8!B27+8!B49+8!B72+8!B123</f>
        <v>54737</v>
      </c>
    </row>
    <row r="90" spans="1:4" ht="12" customHeight="1" thickBot="1">
      <c r="A90" s="488" t="s">
        <v>76</v>
      </c>
      <c r="B90" s="26"/>
      <c r="C90" s="1177" t="s">
        <v>16</v>
      </c>
      <c r="D90" s="523">
        <f>+D91+D92</f>
        <v>121718</v>
      </c>
    </row>
    <row r="91" spans="1:4" s="113" customFormat="1" ht="12" customHeight="1">
      <c r="A91" s="489"/>
      <c r="B91" s="192" t="s">
        <v>152</v>
      </c>
      <c r="C91" s="536" t="s">
        <v>121</v>
      </c>
      <c r="D91" s="1170">
        <f>'17'!C64</f>
        <v>121718</v>
      </c>
    </row>
    <row r="92" spans="1:4" s="113" customFormat="1" ht="12" customHeight="1" thickBot="1">
      <c r="A92" s="490"/>
      <c r="B92" s="193" t="s">
        <v>153</v>
      </c>
      <c r="C92" s="390" t="s">
        <v>122</v>
      </c>
      <c r="D92" s="1166">
        <f>'17'!G34</f>
        <v>0</v>
      </c>
    </row>
    <row r="93" spans="1:4" s="113" customFormat="1" ht="12" customHeight="1" thickBot="1">
      <c r="A93" s="491" t="s">
        <v>77</v>
      </c>
      <c r="B93" s="492"/>
      <c r="C93" s="540" t="s">
        <v>422</v>
      </c>
      <c r="D93" s="1171">
        <v>0</v>
      </c>
    </row>
    <row r="94" spans="1:6" s="113" customFormat="1" ht="12" customHeight="1" thickBot="1">
      <c r="A94" s="248" t="s">
        <v>78</v>
      </c>
      <c r="B94" s="208"/>
      <c r="C94" s="1178" t="s">
        <v>372</v>
      </c>
      <c r="D94" s="497">
        <f>'Ö2'!S115</f>
        <v>1916472</v>
      </c>
      <c r="E94" s="612"/>
      <c r="F94" s="612"/>
    </row>
    <row r="95" spans="1:4" s="113" customFormat="1" ht="12" customHeight="1" thickBot="1">
      <c r="A95" s="248" t="s">
        <v>79</v>
      </c>
      <c r="B95" s="24"/>
      <c r="C95" s="381" t="s">
        <v>17</v>
      </c>
      <c r="D95" s="1172">
        <f>+D65+D79+D90+D93+D94</f>
        <v>7174280</v>
      </c>
    </row>
    <row r="96" spans="1:4" s="113" customFormat="1" ht="12" customHeight="1" thickBot="1">
      <c r="A96" s="248" t="s">
        <v>80</v>
      </c>
      <c r="B96" s="24"/>
      <c r="C96" s="381" t="s">
        <v>20</v>
      </c>
      <c r="D96" s="499">
        <f>+D97+D98</f>
        <v>567619</v>
      </c>
    </row>
    <row r="97" spans="1:4" ht="12.75" customHeight="1">
      <c r="A97" s="309"/>
      <c r="B97" s="174" t="s">
        <v>371</v>
      </c>
      <c r="C97" s="536" t="s">
        <v>19</v>
      </c>
      <c r="D97" s="504">
        <v>0</v>
      </c>
    </row>
    <row r="98" spans="1:4" ht="12" customHeight="1" thickBot="1">
      <c r="A98" s="311"/>
      <c r="B98" s="195" t="s">
        <v>167</v>
      </c>
      <c r="C98" s="537" t="s">
        <v>18</v>
      </c>
      <c r="D98" s="507">
        <f>'Ö3'!D313</f>
        <v>567619</v>
      </c>
    </row>
    <row r="99" spans="1:5" ht="15" customHeight="1" thickBot="1">
      <c r="A99" s="248" t="s">
        <v>81</v>
      </c>
      <c r="B99" s="296"/>
      <c r="C99" s="381" t="s">
        <v>373</v>
      </c>
      <c r="D99" s="503">
        <f>+D95+D96</f>
        <v>7741899</v>
      </c>
      <c r="E99" s="613"/>
    </row>
    <row r="100" spans="1:4" ht="13.5" thickBot="1">
      <c r="A100" s="561"/>
      <c r="B100" s="562"/>
      <c r="C100" s="562"/>
      <c r="D100" s="563"/>
    </row>
    <row r="101" spans="1:4" ht="15" customHeight="1" thickBot="1">
      <c r="A101" s="315" t="s">
        <v>342</v>
      </c>
      <c r="B101" s="316"/>
      <c r="C101" s="317"/>
      <c r="D101" s="1160">
        <v>2</v>
      </c>
    </row>
    <row r="102" spans="1:4" ht="14.25" customHeight="1" thickBot="1">
      <c r="A102" s="315" t="s">
        <v>343</v>
      </c>
      <c r="B102" s="316"/>
      <c r="C102" s="317"/>
      <c r="D102" s="1160">
        <v>95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53"/>
  <sheetViews>
    <sheetView zoomScalePageLayoutView="0" workbookViewId="0" topLeftCell="A69">
      <selection activeCell="H295" sqref="H295"/>
    </sheetView>
  </sheetViews>
  <sheetFormatPr defaultColWidth="9.00390625" defaultRowHeight="12.75"/>
  <cols>
    <col min="1" max="1" width="3.125" style="624" customWidth="1"/>
    <col min="2" max="2" width="3.875" style="624" customWidth="1"/>
    <col min="3" max="3" width="49.625" style="624" customWidth="1"/>
    <col min="4" max="4" width="11.625" style="624" customWidth="1"/>
    <col min="5" max="5" width="11.125" style="624" customWidth="1"/>
    <col min="6" max="6" width="9.625" style="624" customWidth="1"/>
    <col min="7" max="8" width="12.00390625" style="624" bestFit="1" customWidth="1"/>
    <col min="9" max="9" width="9.50390625" style="624" customWidth="1"/>
    <col min="10" max="10" width="10.625" style="622" customWidth="1"/>
    <col min="11" max="11" width="10.125" style="622" bestFit="1" customWidth="1"/>
    <col min="12" max="16384" width="9.375" style="622" customWidth="1"/>
  </cols>
  <sheetData>
    <row r="1" spans="1:10" ht="15.75">
      <c r="A1" s="1327" t="s">
        <v>545</v>
      </c>
      <c r="B1" s="1327"/>
      <c r="C1" s="1327"/>
      <c r="D1" s="1327"/>
      <c r="E1" s="1327"/>
      <c r="F1" s="1327"/>
      <c r="G1" s="1327"/>
      <c r="H1" s="1327"/>
      <c r="I1" s="1327"/>
      <c r="J1" s="621"/>
    </row>
    <row r="2" spans="1:8" ht="6" customHeight="1">
      <c r="A2" s="623"/>
      <c r="B2" s="623"/>
      <c r="C2" s="623"/>
      <c r="D2" s="623"/>
      <c r="E2" s="623"/>
      <c r="F2" s="623"/>
      <c r="G2" s="623"/>
      <c r="H2" s="623"/>
    </row>
    <row r="3" spans="1:10" ht="15.75">
      <c r="A3" s="1328" t="s">
        <v>546</v>
      </c>
      <c r="B3" s="1328"/>
      <c r="C3" s="1328"/>
      <c r="D3" s="1328"/>
      <c r="E3" s="1328"/>
      <c r="F3" s="1328"/>
      <c r="G3" s="1328"/>
      <c r="H3" s="1328"/>
      <c r="I3" s="1328"/>
      <c r="J3" s="625"/>
    </row>
    <row r="4" spans="1:10" ht="15.75">
      <c r="A4" s="1328" t="str">
        <f>'[1]1'!A3:K3</f>
        <v>2013. ÉV</v>
      </c>
      <c r="B4" s="1283"/>
      <c r="C4" s="1283"/>
      <c r="D4" s="1283"/>
      <c r="E4" s="1283"/>
      <c r="F4" s="1283"/>
      <c r="G4" s="1283"/>
      <c r="H4" s="1283"/>
      <c r="I4" s="1283"/>
      <c r="J4" s="626"/>
    </row>
    <row r="5" spans="1:10" ht="12.75">
      <c r="A5" s="1329" t="s">
        <v>547</v>
      </c>
      <c r="B5" s="1329"/>
      <c r="C5" s="1329"/>
      <c r="D5" s="1329"/>
      <c r="E5" s="1329"/>
      <c r="F5" s="1329"/>
      <c r="G5" s="1329"/>
      <c r="H5" s="1329"/>
      <c r="I5" s="1329"/>
      <c r="J5" s="627"/>
    </row>
    <row r="6" spans="1:8" ht="12.75">
      <c r="A6" s="628"/>
      <c r="B6" s="628"/>
      <c r="C6" s="628"/>
      <c r="D6" s="628"/>
      <c r="E6" s="628"/>
      <c r="F6" s="629"/>
      <c r="G6" s="628"/>
      <c r="H6" s="628"/>
    </row>
    <row r="7" spans="1:10" s="632" customFormat="1" ht="12">
      <c r="A7" s="630"/>
      <c r="B7" s="630"/>
      <c r="C7" s="631"/>
      <c r="D7" s="1330" t="s">
        <v>548</v>
      </c>
      <c r="E7" s="1331"/>
      <c r="F7" s="1332"/>
      <c r="G7" s="1330" t="s">
        <v>549</v>
      </c>
      <c r="H7" s="1331"/>
      <c r="I7" s="1331"/>
      <c r="J7" s="630"/>
    </row>
    <row r="8" spans="1:10" s="632" customFormat="1" ht="12">
      <c r="A8" s="630"/>
      <c r="B8" s="630"/>
      <c r="C8" s="630"/>
      <c r="D8" s="633" t="s">
        <v>550</v>
      </c>
      <c r="E8" s="634" t="s">
        <v>551</v>
      </c>
      <c r="F8" s="1325" t="s">
        <v>552</v>
      </c>
      <c r="G8" s="635" t="str">
        <f>D8</f>
        <v>2012. évi</v>
      </c>
      <c r="H8" s="634" t="str">
        <f>E8</f>
        <v>2013. évi</v>
      </c>
      <c r="I8" s="1326" t="s">
        <v>552</v>
      </c>
      <c r="J8" s="636"/>
    </row>
    <row r="9" spans="1:10" s="632" customFormat="1" ht="12">
      <c r="A9" s="630"/>
      <c r="B9" s="630"/>
      <c r="C9" s="630"/>
      <c r="D9" s="633" t="s">
        <v>553</v>
      </c>
      <c r="E9" s="634" t="s">
        <v>553</v>
      </c>
      <c r="F9" s="1325"/>
      <c r="G9" s="635" t="s">
        <v>553</v>
      </c>
      <c r="H9" s="634" t="str">
        <f>E9</f>
        <v>terv</v>
      </c>
      <c r="I9" s="1326"/>
      <c r="J9" s="636"/>
    </row>
    <row r="10" spans="1:10" s="632" customFormat="1" ht="12">
      <c r="A10" s="637" t="s">
        <v>554</v>
      </c>
      <c r="B10" s="638" t="s">
        <v>369</v>
      </c>
      <c r="C10" s="638"/>
      <c r="D10" s="639"/>
      <c r="F10" s="640"/>
      <c r="G10" s="639"/>
      <c r="I10" s="641"/>
      <c r="J10" s="642"/>
    </row>
    <row r="11" spans="2:10" s="643" customFormat="1" ht="12">
      <c r="B11" s="644" t="s">
        <v>555</v>
      </c>
      <c r="C11" s="645" t="s">
        <v>556</v>
      </c>
      <c r="D11" s="646"/>
      <c r="F11" s="647"/>
      <c r="G11" s="646"/>
      <c r="I11" s="648"/>
      <c r="J11" s="649"/>
    </row>
    <row r="12" spans="3:10" s="632" customFormat="1" ht="12">
      <c r="C12" s="1204" t="s">
        <v>1273</v>
      </c>
      <c r="D12" s="651"/>
      <c r="E12" s="652"/>
      <c r="F12" s="653"/>
      <c r="G12" s="651"/>
      <c r="H12" s="1126">
        <v>1000</v>
      </c>
      <c r="I12" s="655"/>
      <c r="J12" s="1127" t="s">
        <v>1150</v>
      </c>
    </row>
    <row r="13" spans="3:10" s="632" customFormat="1" ht="12">
      <c r="C13" s="650"/>
      <c r="D13" s="651"/>
      <c r="E13" s="652"/>
      <c r="F13" s="653"/>
      <c r="G13" s="651"/>
      <c r="H13" s="654"/>
      <c r="I13" s="655"/>
      <c r="J13" s="642"/>
    </row>
    <row r="14" spans="3:10" s="632" customFormat="1" ht="12" hidden="1">
      <c r="C14" s="650"/>
      <c r="D14" s="651"/>
      <c r="E14" s="652"/>
      <c r="F14" s="653"/>
      <c r="G14" s="651"/>
      <c r="H14" s="654"/>
      <c r="I14" s="655"/>
      <c r="J14" s="642"/>
    </row>
    <row r="15" spans="3:10" s="632" customFormat="1" ht="12" hidden="1">
      <c r="C15" s="650"/>
      <c r="D15" s="651"/>
      <c r="E15" s="652"/>
      <c r="F15" s="653"/>
      <c r="G15" s="651"/>
      <c r="H15" s="654"/>
      <c r="I15" s="655"/>
      <c r="J15" s="642"/>
    </row>
    <row r="16" spans="3:10" s="632" customFormat="1" ht="12" hidden="1">
      <c r="C16" s="650"/>
      <c r="D16" s="651"/>
      <c r="E16" s="652"/>
      <c r="F16" s="653"/>
      <c r="G16" s="651"/>
      <c r="H16" s="652"/>
      <c r="I16" s="655"/>
      <c r="J16" s="642"/>
    </row>
    <row r="17" spans="3:10" s="632" customFormat="1" ht="12" hidden="1">
      <c r="C17" s="650"/>
      <c r="D17" s="651"/>
      <c r="E17" s="652"/>
      <c r="F17" s="653"/>
      <c r="G17" s="651"/>
      <c r="H17" s="652"/>
      <c r="I17" s="655"/>
      <c r="J17" s="642"/>
    </row>
    <row r="18" spans="3:10" s="632" customFormat="1" ht="12" hidden="1">
      <c r="C18" s="650"/>
      <c r="D18" s="651"/>
      <c r="E18" s="652"/>
      <c r="F18" s="653"/>
      <c r="G18" s="651"/>
      <c r="H18" s="652"/>
      <c r="I18" s="655"/>
      <c r="J18" s="642"/>
    </row>
    <row r="19" spans="3:10" s="632" customFormat="1" ht="12" hidden="1">
      <c r="C19" s="650"/>
      <c r="D19" s="651"/>
      <c r="E19" s="652"/>
      <c r="F19" s="653"/>
      <c r="G19" s="651"/>
      <c r="H19" s="652"/>
      <c r="I19" s="655"/>
      <c r="J19" s="642"/>
    </row>
    <row r="20" spans="3:10" s="632" customFormat="1" ht="12" hidden="1">
      <c r="C20" s="650"/>
      <c r="D20" s="651"/>
      <c r="E20" s="652"/>
      <c r="F20" s="653"/>
      <c r="G20" s="651"/>
      <c r="H20" s="652"/>
      <c r="I20" s="655"/>
      <c r="J20" s="642"/>
    </row>
    <row r="21" spans="3:10" s="632" customFormat="1" ht="12" hidden="1">
      <c r="C21" s="650"/>
      <c r="D21" s="651"/>
      <c r="E21" s="652"/>
      <c r="F21" s="653"/>
      <c r="G21" s="651"/>
      <c r="H21" s="652"/>
      <c r="I21" s="655"/>
      <c r="J21" s="642"/>
    </row>
    <row r="22" spans="3:10" s="632" customFormat="1" ht="12" hidden="1">
      <c r="C22" s="650"/>
      <c r="D22" s="651"/>
      <c r="E22" s="652"/>
      <c r="F22" s="653"/>
      <c r="G22" s="651"/>
      <c r="H22" s="652"/>
      <c r="I22" s="655"/>
      <c r="J22" s="642"/>
    </row>
    <row r="23" spans="3:10" s="632" customFormat="1" ht="12" hidden="1">
      <c r="C23" s="650"/>
      <c r="D23" s="651"/>
      <c r="E23" s="652"/>
      <c r="F23" s="653"/>
      <c r="G23" s="651"/>
      <c r="H23" s="652"/>
      <c r="I23" s="655"/>
      <c r="J23" s="642"/>
    </row>
    <row r="24" spans="3:10" s="632" customFormat="1" ht="12" hidden="1">
      <c r="C24" s="650"/>
      <c r="D24" s="651"/>
      <c r="E24" s="652"/>
      <c r="F24" s="653"/>
      <c r="G24" s="651"/>
      <c r="H24" s="652"/>
      <c r="I24" s="655"/>
      <c r="J24" s="642"/>
    </row>
    <row r="25" spans="3:10" s="632" customFormat="1" ht="12">
      <c r="C25" s="650"/>
      <c r="D25" s="651"/>
      <c r="E25" s="652"/>
      <c r="F25" s="653"/>
      <c r="G25" s="656">
        <f>SUM(G12:G24)</f>
        <v>0</v>
      </c>
      <c r="H25" s="843">
        <f>SUM(H12:H24)</f>
        <v>1000</v>
      </c>
      <c r="I25" s="658">
        <v>0</v>
      </c>
      <c r="J25" s="642"/>
    </row>
    <row r="26" spans="3:10" s="632" customFormat="1" ht="12" hidden="1">
      <c r="C26" s="650"/>
      <c r="D26" s="651"/>
      <c r="E26" s="652"/>
      <c r="F26" s="653"/>
      <c r="G26" s="656"/>
      <c r="H26" s="657"/>
      <c r="I26" s="658"/>
      <c r="J26" s="642"/>
    </row>
    <row r="27" spans="2:10" s="632" customFormat="1" ht="12">
      <c r="B27" s="644" t="s">
        <v>557</v>
      </c>
      <c r="C27" s="645" t="s">
        <v>558</v>
      </c>
      <c r="D27" s="646"/>
      <c r="E27" s="643"/>
      <c r="F27" s="647"/>
      <c r="G27" s="646"/>
      <c r="H27" s="643"/>
      <c r="I27" s="648"/>
      <c r="J27" s="642"/>
    </row>
    <row r="28" spans="3:10" s="632" customFormat="1" ht="12">
      <c r="C28" s="650" t="s">
        <v>559</v>
      </c>
      <c r="D28" s="651"/>
      <c r="E28" s="652"/>
      <c r="F28" s="653"/>
      <c r="G28" s="654">
        <v>8000</v>
      </c>
      <c r="H28" s="654">
        <v>7000</v>
      </c>
      <c r="I28" s="655">
        <f>H28/G28</f>
        <v>0.875</v>
      </c>
      <c r="J28" s="642" t="s">
        <v>1149</v>
      </c>
    </row>
    <row r="29" spans="3:10" s="632" customFormat="1" ht="12">
      <c r="C29" s="650" t="s">
        <v>560</v>
      </c>
      <c r="D29" s="651"/>
      <c r="E29" s="652"/>
      <c r="F29" s="653"/>
      <c r="G29" s="654">
        <v>2500</v>
      </c>
      <c r="H29" s="654">
        <v>2000</v>
      </c>
      <c r="I29" s="655">
        <f>H29/G29</f>
        <v>0.8</v>
      </c>
      <c r="J29" s="642" t="s">
        <v>1150</v>
      </c>
    </row>
    <row r="30" spans="3:10" s="632" customFormat="1" ht="12">
      <c r="C30" s="1204" t="s">
        <v>561</v>
      </c>
      <c r="D30" s="651"/>
      <c r="E30" s="652"/>
      <c r="F30" s="653"/>
      <c r="G30" s="654">
        <v>9000</v>
      </c>
      <c r="H30" s="1126">
        <f>20000+13000</f>
        <v>33000</v>
      </c>
      <c r="I30" s="655">
        <f>H30/G30</f>
        <v>3.6666666666666665</v>
      </c>
      <c r="J30" s="1127" t="s">
        <v>1150</v>
      </c>
    </row>
    <row r="31" spans="3:10" s="632" customFormat="1" ht="12">
      <c r="C31" s="1196" t="s">
        <v>1269</v>
      </c>
      <c r="D31" s="651"/>
      <c r="E31" s="652"/>
      <c r="F31" s="653"/>
      <c r="G31" s="651"/>
      <c r="H31" s="1191">
        <v>1270</v>
      </c>
      <c r="I31" s="655"/>
      <c r="J31" s="1197" t="s">
        <v>1150</v>
      </c>
    </row>
    <row r="32" spans="3:10" s="632" customFormat="1" ht="12">
      <c r="C32" s="1204" t="s">
        <v>1274</v>
      </c>
      <c r="D32" s="651"/>
      <c r="E32" s="652"/>
      <c r="F32" s="1016"/>
      <c r="G32" s="651">
        <v>0</v>
      </c>
      <c r="H32" s="1126">
        <v>4953</v>
      </c>
      <c r="I32" s="655"/>
      <c r="J32" s="1127"/>
    </row>
    <row r="33" spans="3:9" s="632" customFormat="1" ht="12" hidden="1">
      <c r="C33" s="659"/>
      <c r="D33" s="651"/>
      <c r="E33" s="652"/>
      <c r="F33" s="653"/>
      <c r="G33" s="651"/>
      <c r="H33" s="654"/>
      <c r="I33" s="655"/>
    </row>
    <row r="34" spans="3:10" s="632" customFormat="1" ht="12" hidden="1">
      <c r="C34" s="650"/>
      <c r="D34" s="651"/>
      <c r="E34" s="652"/>
      <c r="F34" s="653"/>
      <c r="G34" s="651"/>
      <c r="H34" s="654"/>
      <c r="I34" s="655"/>
      <c r="J34" s="642"/>
    </row>
    <row r="35" spans="3:10" s="632" customFormat="1" ht="12" hidden="1">
      <c r="C35" s="650"/>
      <c r="D35" s="651"/>
      <c r="E35" s="652"/>
      <c r="F35" s="653"/>
      <c r="G35" s="651"/>
      <c r="H35" s="654"/>
      <c r="I35" s="655"/>
      <c r="J35" s="642"/>
    </row>
    <row r="36" spans="3:10" s="632" customFormat="1" ht="12" hidden="1">
      <c r="C36" s="650"/>
      <c r="D36" s="651"/>
      <c r="E36" s="652"/>
      <c r="F36" s="653"/>
      <c r="G36" s="651"/>
      <c r="H36" s="654"/>
      <c r="I36" s="655"/>
      <c r="J36" s="642"/>
    </row>
    <row r="37" spans="3:10" s="632" customFormat="1" ht="12" hidden="1">
      <c r="C37" s="650"/>
      <c r="D37" s="651"/>
      <c r="E37" s="652"/>
      <c r="F37" s="653"/>
      <c r="G37" s="651"/>
      <c r="H37" s="654"/>
      <c r="I37" s="655" t="e">
        <f aca="true" t="shared" si="0" ref="I37:I61">H37/G37</f>
        <v>#DIV/0!</v>
      </c>
      <c r="J37" s="642"/>
    </row>
    <row r="38" spans="3:10" s="632" customFormat="1" ht="12" hidden="1">
      <c r="C38" s="650"/>
      <c r="D38" s="651"/>
      <c r="E38" s="652"/>
      <c r="F38" s="653"/>
      <c r="G38" s="651"/>
      <c r="H38" s="654"/>
      <c r="I38" s="655" t="e">
        <f t="shared" si="0"/>
        <v>#DIV/0!</v>
      </c>
      <c r="J38" s="642"/>
    </row>
    <row r="39" spans="3:10" s="632" customFormat="1" ht="12" hidden="1">
      <c r="C39" s="650"/>
      <c r="D39" s="651"/>
      <c r="E39" s="652"/>
      <c r="F39" s="653"/>
      <c r="G39" s="651"/>
      <c r="H39" s="654"/>
      <c r="I39" s="655" t="e">
        <f t="shared" si="0"/>
        <v>#DIV/0!</v>
      </c>
      <c r="J39" s="642"/>
    </row>
    <row r="40" spans="3:10" s="632" customFormat="1" ht="12" hidden="1">
      <c r="C40" s="650"/>
      <c r="D40" s="651"/>
      <c r="E40" s="652"/>
      <c r="F40" s="653"/>
      <c r="G40" s="651"/>
      <c r="H40" s="654"/>
      <c r="I40" s="655" t="e">
        <f t="shared" si="0"/>
        <v>#DIV/0!</v>
      </c>
      <c r="J40" s="642"/>
    </row>
    <row r="41" spans="3:10" s="632" customFormat="1" ht="12" hidden="1">
      <c r="C41" s="650"/>
      <c r="D41" s="651"/>
      <c r="E41" s="652"/>
      <c r="F41" s="653"/>
      <c r="G41" s="651"/>
      <c r="H41" s="654"/>
      <c r="I41" s="655" t="e">
        <f t="shared" si="0"/>
        <v>#DIV/0!</v>
      </c>
      <c r="J41" s="642"/>
    </row>
    <row r="42" spans="3:10" s="632" customFormat="1" ht="12" hidden="1">
      <c r="C42" s="650"/>
      <c r="D42" s="651"/>
      <c r="E42" s="652"/>
      <c r="F42" s="653"/>
      <c r="G42" s="651"/>
      <c r="H42" s="654"/>
      <c r="I42" s="655" t="e">
        <f t="shared" si="0"/>
        <v>#DIV/0!</v>
      </c>
      <c r="J42" s="642"/>
    </row>
    <row r="43" spans="3:10" s="632" customFormat="1" ht="12" hidden="1">
      <c r="C43" s="650"/>
      <c r="D43" s="651"/>
      <c r="E43" s="652"/>
      <c r="F43" s="653"/>
      <c r="G43" s="651"/>
      <c r="H43" s="654"/>
      <c r="I43" s="655" t="e">
        <f t="shared" si="0"/>
        <v>#DIV/0!</v>
      </c>
      <c r="J43" s="642"/>
    </row>
    <row r="44" spans="3:11" s="632" customFormat="1" ht="12">
      <c r="C44" s="660"/>
      <c r="D44" s="656"/>
      <c r="E44" s="652"/>
      <c r="F44" s="661"/>
      <c r="G44" s="656">
        <f>SUM(G28:G43)</f>
        <v>19500</v>
      </c>
      <c r="H44" s="843">
        <f>SUM(H28:H43)</f>
        <v>48223</v>
      </c>
      <c r="I44" s="658">
        <f t="shared" si="0"/>
        <v>2.472974358974359</v>
      </c>
      <c r="J44" s="642"/>
      <c r="K44" s="845" t="s">
        <v>769</v>
      </c>
    </row>
    <row r="45" spans="2:10" s="632" customFormat="1" ht="12">
      <c r="B45" s="644" t="s">
        <v>562</v>
      </c>
      <c r="C45" s="645" t="s">
        <v>563</v>
      </c>
      <c r="D45" s="646"/>
      <c r="E45" s="643"/>
      <c r="F45" s="647"/>
      <c r="G45" s="646"/>
      <c r="H45" s="643"/>
      <c r="I45" s="648"/>
      <c r="J45" s="642"/>
    </row>
    <row r="46" spans="3:10" s="632" customFormat="1" ht="12">
      <c r="C46" s="650" t="s">
        <v>564</v>
      </c>
      <c r="D46" s="651"/>
      <c r="E46" s="652"/>
      <c r="F46" s="653"/>
      <c r="G46" s="657">
        <v>150000</v>
      </c>
      <c r="H46" s="657">
        <f>150000+37717</f>
        <v>187717</v>
      </c>
      <c r="I46" s="658">
        <f t="shared" si="0"/>
        <v>1.2514466666666666</v>
      </c>
      <c r="J46" s="642" t="s">
        <v>1150</v>
      </c>
    </row>
    <row r="47" spans="3:11" s="632" customFormat="1" ht="12" hidden="1">
      <c r="C47" s="662" t="s">
        <v>564</v>
      </c>
      <c r="D47" s="651"/>
      <c r="E47" s="652"/>
      <c r="F47" s="653"/>
      <c r="G47" s="663">
        <v>84000</v>
      </c>
      <c r="H47" s="663"/>
      <c r="I47" s="664">
        <f t="shared" si="0"/>
        <v>0</v>
      </c>
      <c r="J47" s="642"/>
      <c r="K47" s="632" t="s">
        <v>565</v>
      </c>
    </row>
    <row r="48" spans="3:10" s="632" customFormat="1" ht="12" hidden="1">
      <c r="C48" s="662" t="s">
        <v>566</v>
      </c>
      <c r="D48" s="651"/>
      <c r="E48" s="652"/>
      <c r="F48" s="653"/>
      <c r="G48" s="663">
        <v>1000</v>
      </c>
      <c r="H48" s="663"/>
      <c r="I48" s="664">
        <f t="shared" si="0"/>
        <v>0</v>
      </c>
      <c r="J48" s="642"/>
    </row>
    <row r="49" spans="3:10" s="632" customFormat="1" ht="12" hidden="1">
      <c r="C49" s="662" t="s">
        <v>567</v>
      </c>
      <c r="D49" s="651"/>
      <c r="E49" s="652"/>
      <c r="F49" s="653"/>
      <c r="G49" s="663">
        <v>4900</v>
      </c>
      <c r="H49" s="663"/>
      <c r="I49" s="664">
        <f t="shared" si="0"/>
        <v>0</v>
      </c>
      <c r="J49" s="642"/>
    </row>
    <row r="50" spans="3:10" s="632" customFormat="1" ht="12" hidden="1">
      <c r="C50" s="662" t="s">
        <v>568</v>
      </c>
      <c r="D50" s="651"/>
      <c r="E50" s="652"/>
      <c r="F50" s="653"/>
      <c r="G50" s="663">
        <v>28300</v>
      </c>
      <c r="H50" s="663"/>
      <c r="I50" s="664">
        <f t="shared" si="0"/>
        <v>0</v>
      </c>
      <c r="J50" s="642"/>
    </row>
    <row r="51" spans="3:10" s="632" customFormat="1" ht="12">
      <c r="C51" s="650" t="s">
        <v>569</v>
      </c>
      <c r="D51" s="651"/>
      <c r="E51" s="652"/>
      <c r="F51" s="653"/>
      <c r="G51" s="654">
        <v>6500</v>
      </c>
      <c r="H51" s="654">
        <v>6500</v>
      </c>
      <c r="I51" s="655">
        <f t="shared" si="0"/>
        <v>1</v>
      </c>
      <c r="J51" s="642" t="s">
        <v>1150</v>
      </c>
    </row>
    <row r="52" spans="3:10" s="632" customFormat="1" ht="12">
      <c r="C52" s="650" t="s">
        <v>570</v>
      </c>
      <c r="D52" s="651"/>
      <c r="E52" s="652"/>
      <c r="F52" s="653"/>
      <c r="G52" s="654">
        <v>4900</v>
      </c>
      <c r="H52" s="654">
        <v>4500</v>
      </c>
      <c r="I52" s="655">
        <f t="shared" si="0"/>
        <v>0.9183673469387755</v>
      </c>
      <c r="J52" s="642" t="s">
        <v>1150</v>
      </c>
    </row>
    <row r="53" spans="3:10" s="632" customFormat="1" ht="12">
      <c r="C53" s="650" t="s">
        <v>571</v>
      </c>
      <c r="D53" s="651"/>
      <c r="E53" s="652"/>
      <c r="F53" s="653"/>
      <c r="G53" s="654">
        <v>14000</v>
      </c>
      <c r="H53" s="654">
        <v>14000</v>
      </c>
      <c r="I53" s="655">
        <f t="shared" si="0"/>
        <v>1</v>
      </c>
      <c r="J53" s="642" t="s">
        <v>1150</v>
      </c>
    </row>
    <row r="54" spans="3:10" s="632" customFormat="1" ht="12">
      <c r="C54" s="650" t="s">
        <v>572</v>
      </c>
      <c r="D54" s="651"/>
      <c r="E54" s="652"/>
      <c r="F54" s="665"/>
      <c r="G54" s="654">
        <v>3000</v>
      </c>
      <c r="H54" s="654">
        <v>3000</v>
      </c>
      <c r="I54" s="655">
        <f t="shared" si="0"/>
        <v>1</v>
      </c>
      <c r="J54" s="642" t="s">
        <v>1150</v>
      </c>
    </row>
    <row r="55" spans="3:10" s="632" customFormat="1" ht="12">
      <c r="C55" s="650" t="s">
        <v>573</v>
      </c>
      <c r="D55" s="651"/>
      <c r="E55" s="652"/>
      <c r="F55" s="665"/>
      <c r="G55" s="654">
        <v>1000</v>
      </c>
      <c r="H55" s="654">
        <v>2000</v>
      </c>
      <c r="I55" s="655">
        <f t="shared" si="0"/>
        <v>2</v>
      </c>
      <c r="J55" s="642" t="s">
        <v>1150</v>
      </c>
    </row>
    <row r="56" spans="3:10" s="632" customFormat="1" ht="12">
      <c r="C56" s="650" t="s">
        <v>574</v>
      </c>
      <c r="D56" s="651"/>
      <c r="E56" s="652"/>
      <c r="F56" s="665"/>
      <c r="G56" s="654">
        <v>23500</v>
      </c>
      <c r="H56" s="654">
        <v>20000</v>
      </c>
      <c r="I56" s="655">
        <f t="shared" si="0"/>
        <v>0.851063829787234</v>
      </c>
      <c r="J56" s="642" t="s">
        <v>1150</v>
      </c>
    </row>
    <row r="57" spans="3:10" s="632" customFormat="1" ht="12">
      <c r="C57" s="650" t="s">
        <v>575</v>
      </c>
      <c r="D57" s="651"/>
      <c r="E57" s="652"/>
      <c r="F57" s="665"/>
      <c r="G57" s="654">
        <v>10000</v>
      </c>
      <c r="H57" s="654">
        <v>10180</v>
      </c>
      <c r="I57" s="655">
        <f t="shared" si="0"/>
        <v>1.018</v>
      </c>
      <c r="J57" s="642" t="s">
        <v>1150</v>
      </c>
    </row>
    <row r="58" spans="3:10" s="632" customFormat="1" ht="12">
      <c r="C58" s="650" t="s">
        <v>576</v>
      </c>
      <c r="D58" s="651"/>
      <c r="E58" s="652"/>
      <c r="F58" s="665"/>
      <c r="G58" s="654">
        <v>5000</v>
      </c>
      <c r="H58" s="654">
        <v>2000</v>
      </c>
      <c r="I58" s="655">
        <f t="shared" si="0"/>
        <v>0.4</v>
      </c>
      <c r="J58" s="642" t="s">
        <v>1150</v>
      </c>
    </row>
    <row r="59" spans="3:10" s="632" customFormat="1" ht="12">
      <c r="C59" s="650" t="s">
        <v>577</v>
      </c>
      <c r="D59" s="651"/>
      <c r="E59" s="652"/>
      <c r="F59" s="665"/>
      <c r="G59" s="654">
        <v>1000</v>
      </c>
      <c r="H59" s="654">
        <v>1000</v>
      </c>
      <c r="I59" s="655">
        <f t="shared" si="0"/>
        <v>1</v>
      </c>
      <c r="J59" s="642" t="s">
        <v>1150</v>
      </c>
    </row>
    <row r="60" spans="3:10" s="632" customFormat="1" ht="12">
      <c r="C60" s="650" t="s">
        <v>578</v>
      </c>
      <c r="D60" s="651"/>
      <c r="E60" s="652"/>
      <c r="F60" s="665"/>
      <c r="G60" s="654">
        <v>10000</v>
      </c>
      <c r="H60" s="654">
        <v>10000</v>
      </c>
      <c r="I60" s="655">
        <f t="shared" si="0"/>
        <v>1</v>
      </c>
      <c r="J60" s="642" t="s">
        <v>1150</v>
      </c>
    </row>
    <row r="61" spans="3:10" s="632" customFormat="1" ht="12">
      <c r="C61" s="650" t="s">
        <v>579</v>
      </c>
      <c r="D61" s="651"/>
      <c r="E61" s="652"/>
      <c r="F61" s="665"/>
      <c r="G61" s="654">
        <v>2000</v>
      </c>
      <c r="H61" s="654">
        <v>2000</v>
      </c>
      <c r="I61" s="655">
        <f t="shared" si="0"/>
        <v>1</v>
      </c>
      <c r="J61" s="642" t="s">
        <v>1150</v>
      </c>
    </row>
    <row r="62" spans="3:10" s="632" customFormat="1" ht="12">
      <c r="C62" s="1243" t="s">
        <v>1354</v>
      </c>
      <c r="D62" s="651"/>
      <c r="E62" s="652"/>
      <c r="F62" s="665"/>
      <c r="G62" s="651"/>
      <c r="H62" s="1245">
        <v>285000</v>
      </c>
      <c r="I62" s="655"/>
      <c r="J62" s="642"/>
    </row>
    <row r="63" spans="3:10" s="637" customFormat="1" ht="12">
      <c r="C63" s="666" t="s">
        <v>580</v>
      </c>
      <c r="D63" s="656"/>
      <c r="E63" s="667"/>
      <c r="F63" s="668"/>
      <c r="G63" s="656">
        <f>SUM(G64:G67)</f>
        <v>0</v>
      </c>
      <c r="H63" s="656">
        <f>SUM(H64:H68)</f>
        <v>99203</v>
      </c>
      <c r="I63" s="658">
        <v>0</v>
      </c>
      <c r="J63" s="669" t="s">
        <v>1150</v>
      </c>
    </row>
    <row r="64" spans="3:10" s="632" customFormat="1" ht="12">
      <c r="C64" s="662" t="s">
        <v>581</v>
      </c>
      <c r="D64" s="651"/>
      <c r="E64" s="652"/>
      <c r="F64" s="665"/>
      <c r="G64" s="670">
        <v>0</v>
      </c>
      <c r="H64" s="860">
        <v>26235</v>
      </c>
      <c r="I64" s="655">
        <v>0</v>
      </c>
      <c r="J64" s="642" t="s">
        <v>1150</v>
      </c>
    </row>
    <row r="65" spans="3:10" s="632" customFormat="1" ht="12">
      <c r="C65" s="662" t="s">
        <v>582</v>
      </c>
      <c r="D65" s="651"/>
      <c r="E65" s="652"/>
      <c r="F65" s="665"/>
      <c r="G65" s="670">
        <v>0</v>
      </c>
      <c r="H65" s="860">
        <v>25825</v>
      </c>
      <c r="I65" s="655">
        <v>0</v>
      </c>
      <c r="J65" s="642" t="s">
        <v>1150</v>
      </c>
    </row>
    <row r="66" spans="3:10" s="632" customFormat="1" ht="12">
      <c r="C66" s="662" t="s">
        <v>583</v>
      </c>
      <c r="D66" s="651"/>
      <c r="E66" s="652"/>
      <c r="F66" s="665"/>
      <c r="G66" s="670">
        <v>0</v>
      </c>
      <c r="H66" s="860">
        <v>23148</v>
      </c>
      <c r="I66" s="655">
        <v>0</v>
      </c>
      <c r="J66" s="642" t="s">
        <v>1150</v>
      </c>
    </row>
    <row r="67" spans="3:10" s="632" customFormat="1" ht="12">
      <c r="C67" s="662" t="s">
        <v>584</v>
      </c>
      <c r="D67" s="651"/>
      <c r="E67" s="652"/>
      <c r="F67" s="665"/>
      <c r="G67" s="670">
        <v>0</v>
      </c>
      <c r="H67" s="860">
        <v>17449</v>
      </c>
      <c r="I67" s="655">
        <v>0</v>
      </c>
      <c r="J67" s="642" t="s">
        <v>1150</v>
      </c>
    </row>
    <row r="68" spans="3:10" s="632" customFormat="1" ht="12">
      <c r="C68" s="662" t="s">
        <v>979</v>
      </c>
      <c r="D68" s="651"/>
      <c r="E68" s="652"/>
      <c r="F68" s="665"/>
      <c r="G68" s="670">
        <v>0</v>
      </c>
      <c r="H68" s="860">
        <v>6546</v>
      </c>
      <c r="I68" s="655">
        <v>0</v>
      </c>
      <c r="J68" s="642" t="s">
        <v>1150</v>
      </c>
    </row>
    <row r="69" spans="3:11" s="637" customFormat="1" ht="12">
      <c r="C69" s="666"/>
      <c r="D69" s="656"/>
      <c r="E69" s="667"/>
      <c r="F69" s="668"/>
      <c r="G69" s="656">
        <f>SUM(G51:G63)+G46</f>
        <v>230900</v>
      </c>
      <c r="H69" s="843">
        <f>SUM(H51:H63)+H46</f>
        <v>647100</v>
      </c>
      <c r="I69" s="658">
        <f>H69/G69</f>
        <v>2.802511909917713</v>
      </c>
      <c r="J69" s="642"/>
      <c r="K69" s="845" t="s">
        <v>770</v>
      </c>
    </row>
    <row r="70" spans="2:10" s="637" customFormat="1" ht="12">
      <c r="B70" s="644" t="s">
        <v>585</v>
      </c>
      <c r="C70" s="645" t="s">
        <v>781</v>
      </c>
      <c r="D70" s="646"/>
      <c r="E70" s="643"/>
      <c r="F70" s="647"/>
      <c r="G70" s="646"/>
      <c r="H70" s="643"/>
      <c r="I70" s="648"/>
      <c r="J70" s="642"/>
    </row>
    <row r="71" spans="2:10" s="637" customFormat="1" ht="12">
      <c r="B71" s="632"/>
      <c r="C71" s="645" t="s">
        <v>292</v>
      </c>
      <c r="D71" s="646"/>
      <c r="E71" s="643"/>
      <c r="F71" s="647"/>
      <c r="G71" s="646"/>
      <c r="H71" s="643"/>
      <c r="I71" s="648"/>
      <c r="J71" s="642"/>
    </row>
    <row r="72" spans="3:10" s="637" customFormat="1" ht="12">
      <c r="C72" s="650" t="s">
        <v>586</v>
      </c>
      <c r="D72" s="654">
        <v>40000</v>
      </c>
      <c r="E72" s="654">
        <v>29250</v>
      </c>
      <c r="F72" s="665">
        <f>E72/D72</f>
        <v>0.73125</v>
      </c>
      <c r="G72" s="651"/>
      <c r="H72" s="654"/>
      <c r="I72" s="655"/>
      <c r="J72" s="642" t="s">
        <v>1150</v>
      </c>
    </row>
    <row r="73" spans="3:10" s="637" customFormat="1" ht="12">
      <c r="C73" s="650" t="s">
        <v>587</v>
      </c>
      <c r="D73" s="654">
        <v>1436</v>
      </c>
      <c r="E73" s="654">
        <v>0</v>
      </c>
      <c r="F73" s="665">
        <f>E73/D73</f>
        <v>0</v>
      </c>
      <c r="G73" s="656"/>
      <c r="H73" s="667"/>
      <c r="I73" s="655"/>
      <c r="J73" s="642"/>
    </row>
    <row r="74" spans="3:10" s="637" customFormat="1" ht="12">
      <c r="C74" s="650" t="s">
        <v>588</v>
      </c>
      <c r="D74" s="654">
        <v>13064</v>
      </c>
      <c r="E74" s="654">
        <v>14500</v>
      </c>
      <c r="F74" s="665">
        <f>E74/D74</f>
        <v>1.1099203919167178</v>
      </c>
      <c r="G74" s="656"/>
      <c r="H74" s="667"/>
      <c r="I74" s="655"/>
      <c r="J74" s="642" t="s">
        <v>1150</v>
      </c>
    </row>
    <row r="75" spans="3:10" s="637" customFormat="1" ht="12">
      <c r="C75" s="650"/>
      <c r="D75" s="654"/>
      <c r="E75" s="654"/>
      <c r="F75" s="665"/>
      <c r="G75" s="656"/>
      <c r="H75" s="667"/>
      <c r="I75" s="655"/>
      <c r="J75" s="642"/>
    </row>
    <row r="76" spans="3:10" s="637" customFormat="1" ht="12" hidden="1">
      <c r="C76" s="650"/>
      <c r="D76" s="651"/>
      <c r="E76" s="654"/>
      <c r="F76" s="665"/>
      <c r="G76" s="656"/>
      <c r="H76" s="667"/>
      <c r="I76" s="655"/>
      <c r="J76" s="642"/>
    </row>
    <row r="77" spans="3:10" s="637" customFormat="1" ht="12" hidden="1">
      <c r="C77" s="650"/>
      <c r="D77" s="651"/>
      <c r="E77" s="654"/>
      <c r="F77" s="665"/>
      <c r="G77" s="656"/>
      <c r="H77" s="667"/>
      <c r="I77" s="655"/>
      <c r="J77" s="642"/>
    </row>
    <row r="78" spans="3:10" s="637" customFormat="1" ht="12" hidden="1">
      <c r="C78" s="650"/>
      <c r="D78" s="651"/>
      <c r="E78" s="654"/>
      <c r="F78" s="665"/>
      <c r="G78" s="656"/>
      <c r="H78" s="667"/>
      <c r="I78" s="655"/>
      <c r="J78" s="642"/>
    </row>
    <row r="79" spans="3:10" s="637" customFormat="1" ht="12" hidden="1">
      <c r="C79" s="650"/>
      <c r="D79" s="651"/>
      <c r="E79" s="654"/>
      <c r="F79" s="665"/>
      <c r="G79" s="656"/>
      <c r="H79" s="667"/>
      <c r="I79" s="655"/>
      <c r="J79" s="642"/>
    </row>
    <row r="80" spans="3:10" s="637" customFormat="1" ht="12" hidden="1">
      <c r="C80" s="650"/>
      <c r="D80" s="651"/>
      <c r="E80" s="654"/>
      <c r="F80" s="665"/>
      <c r="G80" s="656"/>
      <c r="H80" s="667"/>
      <c r="I80" s="655"/>
      <c r="J80" s="642"/>
    </row>
    <row r="81" spans="3:10" s="637" customFormat="1" ht="12" hidden="1">
      <c r="C81" s="650"/>
      <c r="D81" s="651"/>
      <c r="E81" s="654"/>
      <c r="F81" s="665"/>
      <c r="G81" s="656"/>
      <c r="H81" s="667"/>
      <c r="I81" s="655"/>
      <c r="J81" s="642"/>
    </row>
    <row r="82" spans="3:10" s="637" customFormat="1" ht="12" hidden="1">
      <c r="C82" s="650"/>
      <c r="D82" s="651"/>
      <c r="E82" s="654"/>
      <c r="F82" s="665"/>
      <c r="G82" s="656"/>
      <c r="H82" s="667"/>
      <c r="I82" s="655"/>
      <c r="J82" s="642"/>
    </row>
    <row r="83" spans="3:10" s="637" customFormat="1" ht="12" hidden="1">
      <c r="C83" s="650"/>
      <c r="D83" s="651"/>
      <c r="E83" s="654"/>
      <c r="F83" s="665"/>
      <c r="G83" s="656"/>
      <c r="H83" s="667"/>
      <c r="I83" s="655"/>
      <c r="J83" s="642"/>
    </row>
    <row r="84" spans="3:10" s="637" customFormat="1" ht="12" hidden="1">
      <c r="C84" s="650"/>
      <c r="D84" s="651"/>
      <c r="E84" s="654"/>
      <c r="F84" s="665"/>
      <c r="G84" s="656"/>
      <c r="H84" s="667"/>
      <c r="I84" s="655"/>
      <c r="J84" s="642"/>
    </row>
    <row r="85" spans="3:11" s="637" customFormat="1" ht="12">
      <c r="C85" s="650"/>
      <c r="D85" s="656">
        <f>SUM(D72:D84)</f>
        <v>54500</v>
      </c>
      <c r="E85" s="843">
        <f>SUM(E72:E84)</f>
        <v>43750</v>
      </c>
      <c r="F85" s="668">
        <f>E85/D85</f>
        <v>0.8027522935779816</v>
      </c>
      <c r="G85" s="656"/>
      <c r="H85" s="667"/>
      <c r="I85" s="655"/>
      <c r="J85" s="642"/>
      <c r="K85" s="637" t="s">
        <v>784</v>
      </c>
    </row>
    <row r="86" spans="3:10" s="637" customFormat="1" ht="12" hidden="1">
      <c r="C86" s="650"/>
      <c r="D86" s="651"/>
      <c r="E86" s="667"/>
      <c r="F86" s="665"/>
      <c r="G86" s="656"/>
      <c r="H86" s="667"/>
      <c r="I86" s="655"/>
      <c r="J86" s="642"/>
    </row>
    <row r="87" spans="2:10" s="637" customFormat="1" ht="12">
      <c r="B87" s="644" t="s">
        <v>589</v>
      </c>
      <c r="C87" s="645" t="s">
        <v>1275</v>
      </c>
      <c r="D87" s="646"/>
      <c r="E87" s="643"/>
      <c r="F87" s="647"/>
      <c r="G87" s="646"/>
      <c r="H87" s="643"/>
      <c r="I87" s="648"/>
      <c r="J87" s="642"/>
    </row>
    <row r="88" spans="2:10" s="637" customFormat="1" ht="12">
      <c r="B88" s="632"/>
      <c r="C88" s="1204" t="s">
        <v>1270</v>
      </c>
      <c r="D88" s="1129">
        <v>0</v>
      </c>
      <c r="E88" s="1126">
        <v>6359</v>
      </c>
      <c r="F88" s="665"/>
      <c r="G88" s="651"/>
      <c r="H88" s="654"/>
      <c r="I88" s="655"/>
      <c r="J88" s="1127" t="s">
        <v>1150</v>
      </c>
    </row>
    <row r="89" spans="3:10" s="637" customFormat="1" ht="12" hidden="1">
      <c r="C89" s="650"/>
      <c r="D89" s="651"/>
      <c r="E89" s="667"/>
      <c r="F89" s="665"/>
      <c r="G89" s="656"/>
      <c r="H89" s="667"/>
      <c r="I89" s="655"/>
      <c r="J89" s="642"/>
    </row>
    <row r="90" spans="3:10" s="637" customFormat="1" ht="12" hidden="1">
      <c r="C90" s="650"/>
      <c r="D90" s="651"/>
      <c r="E90" s="667"/>
      <c r="F90" s="665"/>
      <c r="G90" s="656"/>
      <c r="H90" s="667"/>
      <c r="I90" s="655"/>
      <c r="J90" s="642"/>
    </row>
    <row r="91" spans="3:10" s="637" customFormat="1" ht="12" hidden="1">
      <c r="C91" s="650"/>
      <c r="D91" s="651"/>
      <c r="E91" s="667"/>
      <c r="F91" s="665"/>
      <c r="G91" s="656"/>
      <c r="H91" s="667"/>
      <c r="I91" s="655"/>
      <c r="J91" s="642"/>
    </row>
    <row r="92" spans="3:10" s="637" customFormat="1" ht="12" hidden="1">
      <c r="C92" s="650"/>
      <c r="D92" s="651"/>
      <c r="E92" s="667"/>
      <c r="F92" s="665"/>
      <c r="G92" s="656"/>
      <c r="H92" s="667"/>
      <c r="I92" s="655"/>
      <c r="J92" s="642"/>
    </row>
    <row r="93" spans="3:10" s="637" customFormat="1" ht="12" hidden="1">
      <c r="C93" s="650"/>
      <c r="D93" s="651"/>
      <c r="E93" s="667"/>
      <c r="F93" s="665"/>
      <c r="G93" s="656"/>
      <c r="H93" s="667"/>
      <c r="I93" s="655"/>
      <c r="J93" s="642"/>
    </row>
    <row r="94" spans="3:10" s="632" customFormat="1" ht="12">
      <c r="C94" s="650"/>
      <c r="D94" s="656">
        <f>SUM(D88:D93)</f>
        <v>0</v>
      </c>
      <c r="E94" s="657">
        <f>SUM(E88:E93)</f>
        <v>6359</v>
      </c>
      <c r="F94" s="668">
        <v>0</v>
      </c>
      <c r="G94" s="656"/>
      <c r="H94" s="652"/>
      <c r="I94" s="655"/>
      <c r="J94" s="642"/>
    </row>
    <row r="95" spans="3:10" s="632" customFormat="1" ht="12" hidden="1">
      <c r="C95" s="650"/>
      <c r="D95" s="656"/>
      <c r="E95" s="652"/>
      <c r="F95" s="665"/>
      <c r="G95" s="656"/>
      <c r="H95" s="652"/>
      <c r="I95" s="655"/>
      <c r="J95" s="642"/>
    </row>
    <row r="96" spans="2:10" s="632" customFormat="1" ht="12">
      <c r="B96" s="644" t="s">
        <v>591</v>
      </c>
      <c r="C96" s="645" t="s">
        <v>782</v>
      </c>
      <c r="D96" s="646"/>
      <c r="E96" s="643"/>
      <c r="F96" s="647"/>
      <c r="G96" s="646"/>
      <c r="H96" s="643"/>
      <c r="I96" s="648"/>
      <c r="J96" s="642"/>
    </row>
    <row r="97" spans="3:10" s="632" customFormat="1" ht="12.75" customHeight="1">
      <c r="C97" s="650" t="s">
        <v>592</v>
      </c>
      <c r="D97" s="651">
        <v>450000</v>
      </c>
      <c r="E97" s="654">
        <f>790000-38000</f>
        <v>752000</v>
      </c>
      <c r="F97" s="665">
        <f>E97/D97</f>
        <v>1.6711111111111112</v>
      </c>
      <c r="G97" s="651"/>
      <c r="H97" s="654"/>
      <c r="I97" s="655"/>
      <c r="J97" s="642" t="s">
        <v>1151</v>
      </c>
    </row>
    <row r="98" spans="3:10" s="632" customFormat="1" ht="12" hidden="1">
      <c r="C98" s="650"/>
      <c r="D98" s="651"/>
      <c r="E98" s="654"/>
      <c r="F98" s="665"/>
      <c r="G98" s="651"/>
      <c r="H98" s="652"/>
      <c r="I98" s="655"/>
      <c r="J98" s="642"/>
    </row>
    <row r="99" spans="3:10" s="632" customFormat="1" ht="12" hidden="1">
      <c r="C99" s="650"/>
      <c r="D99" s="651"/>
      <c r="E99" s="654"/>
      <c r="F99" s="665"/>
      <c r="G99" s="651"/>
      <c r="H99" s="652"/>
      <c r="I99" s="655"/>
      <c r="J99" s="642"/>
    </row>
    <row r="100" spans="3:10" s="632" customFormat="1" ht="12" hidden="1">
      <c r="C100" s="650"/>
      <c r="D100" s="651"/>
      <c r="E100" s="652"/>
      <c r="F100" s="665"/>
      <c r="G100" s="651"/>
      <c r="H100" s="652"/>
      <c r="I100" s="655"/>
      <c r="J100" s="642"/>
    </row>
    <row r="101" spans="3:10" s="632" customFormat="1" ht="12" hidden="1">
      <c r="C101" s="650"/>
      <c r="D101" s="651"/>
      <c r="E101" s="652"/>
      <c r="F101" s="665"/>
      <c r="G101" s="651"/>
      <c r="H101" s="652"/>
      <c r="I101" s="655"/>
      <c r="J101" s="642"/>
    </row>
    <row r="102" spans="3:10" s="632" customFormat="1" ht="12" hidden="1">
      <c r="C102" s="650"/>
      <c r="D102" s="651"/>
      <c r="E102" s="652"/>
      <c r="F102" s="665"/>
      <c r="G102" s="651"/>
      <c r="H102" s="652"/>
      <c r="I102" s="655"/>
      <c r="J102" s="642"/>
    </row>
    <row r="103" spans="3:10" s="632" customFormat="1" ht="12" hidden="1">
      <c r="C103" s="650"/>
      <c r="D103" s="651"/>
      <c r="E103" s="652"/>
      <c r="F103" s="665"/>
      <c r="G103" s="651"/>
      <c r="H103" s="652"/>
      <c r="I103" s="655"/>
      <c r="J103" s="642"/>
    </row>
    <row r="104" spans="3:11" s="637" customFormat="1" ht="12">
      <c r="C104" s="666"/>
      <c r="D104" s="656">
        <f>SUM(D97:D103)</f>
        <v>450000</v>
      </c>
      <c r="E104" s="843">
        <f>SUM(E97:E103)</f>
        <v>752000</v>
      </c>
      <c r="F104" s="668">
        <f>E104/D104</f>
        <v>1.6711111111111112</v>
      </c>
      <c r="G104" s="656"/>
      <c r="H104" s="667"/>
      <c r="I104" s="655"/>
      <c r="J104" s="642"/>
      <c r="K104" s="637" t="s">
        <v>783</v>
      </c>
    </row>
    <row r="105" spans="3:10" s="637" customFormat="1" ht="12" hidden="1">
      <c r="C105" s="638"/>
      <c r="D105" s="671"/>
      <c r="F105" s="641"/>
      <c r="G105" s="671"/>
      <c r="I105" s="641"/>
      <c r="J105" s="642"/>
    </row>
    <row r="106" spans="2:10" s="637" customFormat="1" ht="12">
      <c r="B106" s="644" t="s">
        <v>593</v>
      </c>
      <c r="C106" s="645" t="s">
        <v>594</v>
      </c>
      <c r="D106" s="646"/>
      <c r="E106" s="643"/>
      <c r="F106" s="647"/>
      <c r="G106" s="646"/>
      <c r="H106" s="643"/>
      <c r="I106" s="648"/>
      <c r="J106" s="642"/>
    </row>
    <row r="107" spans="2:10" s="637" customFormat="1" ht="12">
      <c r="B107" s="632"/>
      <c r="C107" s="650" t="s">
        <v>595</v>
      </c>
      <c r="D107" s="654">
        <v>25954</v>
      </c>
      <c r="E107" s="654">
        <v>45441</v>
      </c>
      <c r="F107" s="665">
        <f>E107/D107</f>
        <v>1.750828388687678</v>
      </c>
      <c r="G107" s="651"/>
      <c r="H107" s="654"/>
      <c r="I107" s="655"/>
      <c r="J107" s="642" t="s">
        <v>1150</v>
      </c>
    </row>
    <row r="108" spans="3:10" s="637" customFormat="1" ht="12">
      <c r="C108" s="650" t="s">
        <v>596</v>
      </c>
      <c r="D108" s="654">
        <v>25697</v>
      </c>
      <c r="E108" s="654">
        <v>30000</v>
      </c>
      <c r="F108" s="665">
        <f>E108/D108</f>
        <v>1.1674514534770595</v>
      </c>
      <c r="G108" s="656"/>
      <c r="H108" s="667"/>
      <c r="I108" s="655"/>
      <c r="J108" s="642" t="s">
        <v>1150</v>
      </c>
    </row>
    <row r="109" spans="3:10" s="637" customFormat="1" ht="12">
      <c r="C109" s="1204" t="s">
        <v>1276</v>
      </c>
      <c r="D109" s="1126">
        <v>0</v>
      </c>
      <c r="E109" s="1126">
        <v>250</v>
      </c>
      <c r="F109" s="665" t="e">
        <f>E109/D109</f>
        <v>#DIV/0!</v>
      </c>
      <c r="G109" s="656"/>
      <c r="H109" s="667"/>
      <c r="I109" s="655"/>
      <c r="J109" s="1127"/>
    </row>
    <row r="110" spans="3:10" s="637" customFormat="1" ht="12" hidden="1">
      <c r="C110" s="650"/>
      <c r="D110" s="651"/>
      <c r="E110" s="654"/>
      <c r="F110" s="665"/>
      <c r="G110" s="656"/>
      <c r="H110" s="667"/>
      <c r="I110" s="655"/>
      <c r="J110" s="642"/>
    </row>
    <row r="111" spans="3:10" s="637" customFormat="1" ht="12" hidden="1">
      <c r="C111" s="650"/>
      <c r="D111" s="651"/>
      <c r="E111" s="654"/>
      <c r="F111" s="665"/>
      <c r="G111" s="656"/>
      <c r="H111" s="667"/>
      <c r="I111" s="655"/>
      <c r="J111" s="642"/>
    </row>
    <row r="112" spans="3:10" s="637" customFormat="1" ht="12" hidden="1">
      <c r="C112" s="650"/>
      <c r="D112" s="651"/>
      <c r="E112" s="654"/>
      <c r="F112" s="665"/>
      <c r="G112" s="656"/>
      <c r="H112" s="667"/>
      <c r="I112" s="655"/>
      <c r="J112" s="642"/>
    </row>
    <row r="113" spans="3:10" s="637" customFormat="1" ht="12" hidden="1">
      <c r="C113" s="650"/>
      <c r="D113" s="651"/>
      <c r="E113" s="654"/>
      <c r="F113" s="665"/>
      <c r="G113" s="656"/>
      <c r="H113" s="667"/>
      <c r="I113" s="655"/>
      <c r="J113" s="642"/>
    </row>
    <row r="114" spans="3:11" s="637" customFormat="1" ht="12">
      <c r="C114" s="666"/>
      <c r="D114" s="656">
        <f>SUM(D107:D113)</f>
        <v>51651</v>
      </c>
      <c r="E114" s="843">
        <f>SUM(E107:E113)</f>
        <v>75691</v>
      </c>
      <c r="F114" s="668">
        <f>E114/D114</f>
        <v>1.465431453408453</v>
      </c>
      <c r="G114" s="656"/>
      <c r="H114" s="667"/>
      <c r="I114" s="655"/>
      <c r="J114" s="642"/>
      <c r="K114" s="637" t="s">
        <v>785</v>
      </c>
    </row>
    <row r="115" spans="3:10" s="637" customFormat="1" ht="12" hidden="1">
      <c r="C115" s="666"/>
      <c r="D115" s="656"/>
      <c r="E115" s="667"/>
      <c r="F115" s="665"/>
      <c r="G115" s="656"/>
      <c r="H115" s="667"/>
      <c r="I115" s="655"/>
      <c r="J115" s="642"/>
    </row>
    <row r="116" spans="2:10" s="632" customFormat="1" ht="12">
      <c r="B116" s="644" t="s">
        <v>597</v>
      </c>
      <c r="C116" s="645" t="s">
        <v>598</v>
      </c>
      <c r="D116" s="646"/>
      <c r="E116" s="643"/>
      <c r="F116" s="647"/>
      <c r="G116" s="646"/>
      <c r="H116" s="643"/>
      <c r="I116" s="648"/>
      <c r="J116" s="642"/>
    </row>
    <row r="117" spans="3:10" s="632" customFormat="1" ht="12">
      <c r="C117" s="650" t="s">
        <v>599</v>
      </c>
      <c r="D117" s="651"/>
      <c r="E117" s="652"/>
      <c r="F117" s="653"/>
      <c r="G117" s="651">
        <v>2000</v>
      </c>
      <c r="H117" s="654">
        <v>6000</v>
      </c>
      <c r="I117" s="655">
        <f>H117/G117</f>
        <v>3</v>
      </c>
      <c r="J117" s="642" t="s">
        <v>1150</v>
      </c>
    </row>
    <row r="118" spans="3:10" s="632" customFormat="1" ht="12" hidden="1">
      <c r="C118" s="650"/>
      <c r="D118" s="651"/>
      <c r="E118" s="654"/>
      <c r="F118" s="665"/>
      <c r="G118" s="651"/>
      <c r="H118" s="654"/>
      <c r="I118" s="655"/>
      <c r="J118" s="642"/>
    </row>
    <row r="119" spans="3:10" s="632" customFormat="1" ht="12" hidden="1">
      <c r="C119" s="650"/>
      <c r="D119" s="651"/>
      <c r="E119" s="654"/>
      <c r="F119" s="665"/>
      <c r="G119" s="651"/>
      <c r="H119" s="654"/>
      <c r="I119" s="655"/>
      <c r="J119" s="642"/>
    </row>
    <row r="120" spans="3:10" s="632" customFormat="1" ht="12" hidden="1">
      <c r="C120" s="650"/>
      <c r="D120" s="651"/>
      <c r="E120" s="654"/>
      <c r="F120" s="665"/>
      <c r="G120" s="651"/>
      <c r="H120" s="654"/>
      <c r="I120" s="655"/>
      <c r="J120" s="642"/>
    </row>
    <row r="121" spans="3:10" s="632" customFormat="1" ht="12" hidden="1">
      <c r="C121" s="650"/>
      <c r="D121" s="651"/>
      <c r="E121" s="654"/>
      <c r="F121" s="665"/>
      <c r="G121" s="651"/>
      <c r="H121" s="654"/>
      <c r="I121" s="655"/>
      <c r="J121" s="642"/>
    </row>
    <row r="122" spans="3:10" s="632" customFormat="1" ht="12" hidden="1">
      <c r="C122" s="650"/>
      <c r="D122" s="651"/>
      <c r="E122" s="654"/>
      <c r="F122" s="665"/>
      <c r="G122" s="651"/>
      <c r="H122" s="654"/>
      <c r="I122" s="655"/>
      <c r="J122" s="642"/>
    </row>
    <row r="123" spans="3:10" s="632" customFormat="1" ht="12">
      <c r="C123" s="650" t="s">
        <v>600</v>
      </c>
      <c r="D123" s="651">
        <v>2000</v>
      </c>
      <c r="E123" s="654">
        <v>0</v>
      </c>
      <c r="F123" s="665">
        <f>E123/D123</f>
        <v>0</v>
      </c>
      <c r="G123" s="651"/>
      <c r="H123" s="654"/>
      <c r="I123" s="655"/>
      <c r="J123" s="642"/>
    </row>
    <row r="124" spans="3:10" s="632" customFormat="1" ht="12" hidden="1">
      <c r="C124" s="650"/>
      <c r="D124" s="651"/>
      <c r="E124" s="654"/>
      <c r="F124" s="665"/>
      <c r="G124" s="651"/>
      <c r="H124" s="654"/>
      <c r="I124" s="655"/>
      <c r="J124" s="642"/>
    </row>
    <row r="125" spans="3:10" s="632" customFormat="1" ht="11.25" customHeight="1" hidden="1">
      <c r="C125" s="650"/>
      <c r="D125" s="651"/>
      <c r="E125" s="654"/>
      <c r="F125" s="665"/>
      <c r="G125" s="651"/>
      <c r="H125" s="654"/>
      <c r="I125" s="655"/>
      <c r="J125" s="642"/>
    </row>
    <row r="126" spans="3:10" s="632" customFormat="1" ht="12" hidden="1">
      <c r="C126" s="650"/>
      <c r="D126" s="651"/>
      <c r="E126" s="654"/>
      <c r="F126" s="665"/>
      <c r="G126" s="651"/>
      <c r="H126" s="654"/>
      <c r="I126" s="655"/>
      <c r="J126" s="642"/>
    </row>
    <row r="127" spans="3:10" s="632" customFormat="1" ht="12" hidden="1">
      <c r="C127" s="650"/>
      <c r="D127" s="651"/>
      <c r="E127" s="654"/>
      <c r="F127" s="665"/>
      <c r="G127" s="651"/>
      <c r="H127" s="654"/>
      <c r="I127" s="655"/>
      <c r="J127" s="642"/>
    </row>
    <row r="128" spans="3:10" s="632" customFormat="1" ht="12" hidden="1">
      <c r="C128" s="650"/>
      <c r="D128" s="651"/>
      <c r="E128" s="652"/>
      <c r="F128" s="665"/>
      <c r="G128" s="651"/>
      <c r="H128" s="654"/>
      <c r="I128" s="655"/>
      <c r="J128" s="642"/>
    </row>
    <row r="129" spans="3:10" s="632" customFormat="1" ht="12" hidden="1">
      <c r="C129" s="650"/>
      <c r="D129" s="651"/>
      <c r="E129" s="652"/>
      <c r="F129" s="665"/>
      <c r="G129" s="651"/>
      <c r="H129" s="652"/>
      <c r="I129" s="655"/>
      <c r="J129" s="642"/>
    </row>
    <row r="130" spans="3:11" s="637" customFormat="1" ht="12">
      <c r="C130" s="666"/>
      <c r="D130" s="656">
        <f>SUM(D117:D129)</f>
        <v>2000</v>
      </c>
      <c r="E130" s="656">
        <f>SUM(E117:E129)</f>
        <v>0</v>
      </c>
      <c r="F130" s="668">
        <f>E130/D130</f>
        <v>0</v>
      </c>
      <c r="G130" s="656">
        <f>SUM(G117:G129)</f>
        <v>2000</v>
      </c>
      <c r="H130" s="843">
        <f>SUM(H117:H129)</f>
        <v>6000</v>
      </c>
      <c r="I130" s="658">
        <f>H130/G130</f>
        <v>3</v>
      </c>
      <c r="J130" s="642"/>
      <c r="K130" s="637" t="s">
        <v>771</v>
      </c>
    </row>
    <row r="131" spans="3:10" s="637" customFormat="1" ht="12" hidden="1">
      <c r="C131" s="666"/>
      <c r="D131" s="656"/>
      <c r="E131" s="667"/>
      <c r="F131" s="665"/>
      <c r="G131" s="656"/>
      <c r="H131" s="667"/>
      <c r="I131" s="655"/>
      <c r="J131" s="642"/>
    </row>
    <row r="132" spans="2:10" s="632" customFormat="1" ht="12">
      <c r="B132" s="644" t="s">
        <v>601</v>
      </c>
      <c r="C132" s="645" t="s">
        <v>602</v>
      </c>
      <c r="D132" s="646"/>
      <c r="E132" s="643"/>
      <c r="F132" s="647"/>
      <c r="G132" s="646"/>
      <c r="H132" s="643"/>
      <c r="I132" s="648"/>
      <c r="J132" s="642"/>
    </row>
    <row r="133" spans="3:11" s="632" customFormat="1" ht="12">
      <c r="C133" s="650" t="s">
        <v>603</v>
      </c>
      <c r="D133" s="654">
        <f>122715+13500</f>
        <v>136215</v>
      </c>
      <c r="E133" s="654">
        <v>52313</v>
      </c>
      <c r="F133" s="665">
        <f>E133/D133</f>
        <v>0.3840472781999046</v>
      </c>
      <c r="G133" s="654">
        <v>67608</v>
      </c>
      <c r="H133" s="1244">
        <f>78224+42000</f>
        <v>120224</v>
      </c>
      <c r="I133" s="655">
        <f>H133/G133</f>
        <v>1.7782510945450243</v>
      </c>
      <c r="J133" s="642" t="s">
        <v>1150</v>
      </c>
      <c r="K133" s="639"/>
    </row>
    <row r="134" spans="3:13" s="632" customFormat="1" ht="12">
      <c r="C134" s="650" t="s">
        <v>604</v>
      </c>
      <c r="D134" s="654">
        <f>1566+9636+500</f>
        <v>11702</v>
      </c>
      <c r="E134" s="654">
        <v>5996</v>
      </c>
      <c r="F134" s="665">
        <f>E134/D134</f>
        <v>0.5123910442659374</v>
      </c>
      <c r="G134" s="654">
        <f>8717+982</f>
        <v>9699</v>
      </c>
      <c r="H134" s="1244">
        <f>76950+9009</f>
        <v>85959</v>
      </c>
      <c r="I134" s="655">
        <f>H134/G134</f>
        <v>8.862666254253016</v>
      </c>
      <c r="J134" s="632" t="s">
        <v>1150</v>
      </c>
      <c r="K134" s="642" t="s">
        <v>756</v>
      </c>
      <c r="M134" s="632" t="s">
        <v>757</v>
      </c>
    </row>
    <row r="135" spans="3:10" s="632" customFormat="1" ht="12">
      <c r="C135" s="650" t="s">
        <v>605</v>
      </c>
      <c r="D135" s="654">
        <v>331567</v>
      </c>
      <c r="E135" s="654">
        <v>0</v>
      </c>
      <c r="F135" s="665">
        <f>E135/D135</f>
        <v>0</v>
      </c>
      <c r="G135" s="651"/>
      <c r="H135" s="654"/>
      <c r="I135" s="655"/>
      <c r="J135" s="642" t="s">
        <v>1150</v>
      </c>
    </row>
    <row r="136" spans="3:12" s="637" customFormat="1" ht="12">
      <c r="C136" s="666"/>
      <c r="D136" s="656">
        <f>SUM(D133:D135)</f>
        <v>479484</v>
      </c>
      <c r="E136" s="843">
        <f>SUM(E133:E135)</f>
        <v>58309</v>
      </c>
      <c r="F136" s="668">
        <f>E136/D136</f>
        <v>0.1216078117309441</v>
      </c>
      <c r="G136" s="656">
        <f>SUM(G133:G135)</f>
        <v>77307</v>
      </c>
      <c r="H136" s="843">
        <f>SUM(H133:H135)</f>
        <v>206183</v>
      </c>
      <c r="I136" s="658">
        <f>H136/G136</f>
        <v>2.6670676652825747</v>
      </c>
      <c r="J136" s="642"/>
      <c r="K136" s="845" t="s">
        <v>766</v>
      </c>
      <c r="L136" s="671">
        <f>E136+H136</f>
        <v>264492</v>
      </c>
    </row>
    <row r="137" spans="2:10" s="672" customFormat="1" ht="12">
      <c r="B137" s="637"/>
      <c r="C137" s="842" t="s">
        <v>606</v>
      </c>
      <c r="D137" s="673">
        <f>D85+D94+D104+D114+D130+D136</f>
        <v>1037635</v>
      </c>
      <c r="E137" s="673">
        <f>E85+E94+E104+E114+E130+E136</f>
        <v>936109</v>
      </c>
      <c r="F137" s="674">
        <f>E137/D137</f>
        <v>0.9021563459212536</v>
      </c>
      <c r="G137" s="647"/>
      <c r="H137" s="647"/>
      <c r="I137" s="648"/>
      <c r="J137" s="641"/>
    </row>
    <row r="138" spans="2:10" s="632" customFormat="1" ht="12">
      <c r="B138" s="644" t="s">
        <v>607</v>
      </c>
      <c r="C138" s="645" t="s">
        <v>117</v>
      </c>
      <c r="D138" s="646"/>
      <c r="E138" s="643"/>
      <c r="F138" s="647"/>
      <c r="G138" s="646"/>
      <c r="H138" s="643"/>
      <c r="I138" s="648"/>
      <c r="J138" s="642"/>
    </row>
    <row r="139" spans="3:10" s="632" customFormat="1" ht="12">
      <c r="C139" s="650" t="s">
        <v>608</v>
      </c>
      <c r="D139" s="651"/>
      <c r="E139" s="652"/>
      <c r="F139" s="653"/>
      <c r="G139" s="654">
        <v>1105000</v>
      </c>
      <c r="H139" s="654">
        <v>1180000</v>
      </c>
      <c r="I139" s="655">
        <f>H139/G139</f>
        <v>1.0678733031674208</v>
      </c>
      <c r="J139" s="642" t="s">
        <v>1150</v>
      </c>
    </row>
    <row r="140" spans="3:10" s="632" customFormat="1" ht="12" hidden="1">
      <c r="C140" s="650" t="s">
        <v>609</v>
      </c>
      <c r="D140" s="651"/>
      <c r="E140" s="652"/>
      <c r="F140" s="665"/>
      <c r="G140" s="654"/>
      <c r="H140" s="654"/>
      <c r="I140" s="655">
        <v>0</v>
      </c>
      <c r="J140" s="642"/>
    </row>
    <row r="141" spans="3:10" s="632" customFormat="1" ht="12">
      <c r="C141" s="650" t="s">
        <v>610</v>
      </c>
      <c r="D141" s="651"/>
      <c r="E141" s="652"/>
      <c r="F141" s="665"/>
      <c r="G141" s="654"/>
      <c r="H141" s="654"/>
      <c r="I141" s="655"/>
      <c r="J141" s="642" t="s">
        <v>1150</v>
      </c>
    </row>
    <row r="142" spans="3:10" s="632" customFormat="1" ht="12" hidden="1">
      <c r="C142" s="650" t="s">
        <v>611</v>
      </c>
      <c r="D142" s="651"/>
      <c r="E142" s="652"/>
      <c r="F142" s="665"/>
      <c r="G142" s="654"/>
      <c r="H142" s="654"/>
      <c r="I142" s="655">
        <v>0</v>
      </c>
      <c r="J142" s="642"/>
    </row>
    <row r="143" spans="3:10" s="632" customFormat="1" ht="12">
      <c r="C143" s="650" t="s">
        <v>612</v>
      </c>
      <c r="D143" s="651"/>
      <c r="E143" s="652"/>
      <c r="F143" s="665"/>
      <c r="G143" s="654">
        <v>255000</v>
      </c>
      <c r="H143" s="654">
        <v>270000</v>
      </c>
      <c r="I143" s="655">
        <f aca="true" t="shared" si="1" ref="I143:I148">H143/G143</f>
        <v>1.0588235294117647</v>
      </c>
      <c r="J143" s="642" t="s">
        <v>1150</v>
      </c>
    </row>
    <row r="144" spans="3:10" s="632" customFormat="1" ht="12">
      <c r="C144" s="650" t="s">
        <v>613</v>
      </c>
      <c r="D144" s="651"/>
      <c r="E144" s="652"/>
      <c r="F144" s="665"/>
      <c r="G144" s="654">
        <v>1350000</v>
      </c>
      <c r="H144" s="654">
        <v>1260000</v>
      </c>
      <c r="I144" s="655">
        <f t="shared" si="1"/>
        <v>0.9333333333333333</v>
      </c>
      <c r="J144" s="642" t="s">
        <v>1150</v>
      </c>
    </row>
    <row r="145" spans="3:10" s="632" customFormat="1" ht="12">
      <c r="C145" s="650"/>
      <c r="D145" s="651"/>
      <c r="E145" s="667"/>
      <c r="F145" s="665"/>
      <c r="G145" s="651"/>
      <c r="H145" s="654"/>
      <c r="I145" s="655" t="e">
        <f t="shared" si="1"/>
        <v>#DIV/0!</v>
      </c>
      <c r="J145" s="642"/>
    </row>
    <row r="146" spans="3:10" s="632" customFormat="1" ht="12" hidden="1">
      <c r="C146" s="650"/>
      <c r="D146" s="651"/>
      <c r="E146" s="652"/>
      <c r="F146" s="665"/>
      <c r="G146" s="651"/>
      <c r="H146" s="654"/>
      <c r="I146" s="655" t="e">
        <f t="shared" si="1"/>
        <v>#DIV/0!</v>
      </c>
      <c r="J146" s="642"/>
    </row>
    <row r="147" spans="3:10" s="632" customFormat="1" ht="12" hidden="1">
      <c r="C147" s="650"/>
      <c r="D147" s="651"/>
      <c r="E147" s="652"/>
      <c r="F147" s="665"/>
      <c r="G147" s="651"/>
      <c r="H147" s="654"/>
      <c r="I147" s="655" t="e">
        <f t="shared" si="1"/>
        <v>#DIV/0!</v>
      </c>
      <c r="J147" s="642"/>
    </row>
    <row r="148" spans="3:11" s="637" customFormat="1" ht="12">
      <c r="C148" s="666"/>
      <c r="D148" s="656"/>
      <c r="E148" s="667"/>
      <c r="F148" s="665"/>
      <c r="G148" s="656">
        <f>SUM(G139:G147)</f>
        <v>2710000</v>
      </c>
      <c r="H148" s="843">
        <f>SUM(H139:H147)</f>
        <v>2710000</v>
      </c>
      <c r="I148" s="658">
        <f t="shared" si="1"/>
        <v>1</v>
      </c>
      <c r="J148" s="642"/>
      <c r="K148" s="845" t="s">
        <v>767</v>
      </c>
    </row>
    <row r="149" spans="3:10" s="637" customFormat="1" ht="12" hidden="1">
      <c r="C149" s="666"/>
      <c r="D149" s="656"/>
      <c r="E149" s="667"/>
      <c r="F149" s="665"/>
      <c r="G149" s="656"/>
      <c r="H149" s="667"/>
      <c r="I149" s="655"/>
      <c r="J149" s="642"/>
    </row>
    <row r="150" spans="2:10" s="637" customFormat="1" ht="11.25" customHeight="1">
      <c r="B150" s="644" t="s">
        <v>614</v>
      </c>
      <c r="C150" s="645" t="s">
        <v>118</v>
      </c>
      <c r="D150" s="646"/>
      <c r="E150" s="643"/>
      <c r="F150" s="647"/>
      <c r="G150" s="646"/>
      <c r="H150" s="643"/>
      <c r="I150" s="648"/>
      <c r="J150" s="642"/>
    </row>
    <row r="151" spans="2:10" s="637" customFormat="1" ht="11.25" customHeight="1">
      <c r="B151" s="632"/>
      <c r="C151" s="650" t="s">
        <v>615</v>
      </c>
      <c r="D151" s="651"/>
      <c r="E151" s="652"/>
      <c r="F151" s="653"/>
      <c r="G151" s="657">
        <v>327141</v>
      </c>
      <c r="H151" s="657">
        <v>0</v>
      </c>
      <c r="I151" s="658">
        <f>H151/G151</f>
        <v>0</v>
      </c>
      <c r="J151" s="642"/>
    </row>
    <row r="152" spans="3:10" s="637" customFormat="1" ht="11.25" customHeight="1">
      <c r="C152" s="650" t="s">
        <v>616</v>
      </c>
      <c r="D152" s="656"/>
      <c r="E152" s="667"/>
      <c r="F152" s="665"/>
      <c r="G152" s="657">
        <v>-33263</v>
      </c>
      <c r="H152" s="657">
        <v>0</v>
      </c>
      <c r="I152" s="658">
        <f>H152/G152</f>
        <v>0</v>
      </c>
      <c r="J152" s="642"/>
    </row>
    <row r="153" spans="3:10" s="637" customFormat="1" ht="11.25" customHeight="1">
      <c r="C153" s="650" t="s">
        <v>617</v>
      </c>
      <c r="D153" s="656"/>
      <c r="E153" s="667"/>
      <c r="F153" s="665"/>
      <c r="G153" s="654">
        <v>243000</v>
      </c>
      <c r="H153" s="654">
        <v>95000</v>
      </c>
      <c r="I153" s="655">
        <f>H153/G153</f>
        <v>0.39094650205761317</v>
      </c>
      <c r="J153" s="642" t="s">
        <v>1150</v>
      </c>
    </row>
    <row r="154" spans="3:11" s="637" customFormat="1" ht="11.25" customHeight="1">
      <c r="C154" s="666"/>
      <c r="D154" s="656"/>
      <c r="E154" s="667"/>
      <c r="F154" s="665"/>
      <c r="G154" s="656">
        <f>SUM(G151:G153)</f>
        <v>536878</v>
      </c>
      <c r="H154" s="844">
        <f>SUM(H151:H153)</f>
        <v>95000</v>
      </c>
      <c r="I154" s="658">
        <f>H154/G154</f>
        <v>0.1769489530209843</v>
      </c>
      <c r="J154" s="642"/>
      <c r="K154" s="845" t="s">
        <v>772</v>
      </c>
    </row>
    <row r="155" spans="2:10" s="637" customFormat="1" ht="11.25" customHeight="1">
      <c r="B155" s="644" t="s">
        <v>618</v>
      </c>
      <c r="C155" s="645" t="s">
        <v>779</v>
      </c>
      <c r="D155" s="646"/>
      <c r="E155" s="643"/>
      <c r="F155" s="647"/>
      <c r="G155" s="646"/>
      <c r="H155" s="643"/>
      <c r="I155" s="648"/>
      <c r="J155" s="642"/>
    </row>
    <row r="156" spans="2:16" s="637" customFormat="1" ht="11.25" customHeight="1">
      <c r="B156" s="632"/>
      <c r="C156" s="650" t="s">
        <v>619</v>
      </c>
      <c r="D156" s="651"/>
      <c r="E156" s="652"/>
      <c r="F156" s="653"/>
      <c r="G156" s="654">
        <f>1376980-360000</f>
        <v>1016980</v>
      </c>
      <c r="H156" s="846">
        <f>130272+39168+69856+19584+29556+15894+58906+19675+7197+5075+1308+4122+38540+14987+28392+19469</f>
        <v>502001</v>
      </c>
      <c r="I156" s="1246">
        <f>H156/G156</f>
        <v>0.4936193435465791</v>
      </c>
      <c r="J156" s="637" t="s">
        <v>1150</v>
      </c>
      <c r="K156" s="654">
        <v>28392</v>
      </c>
      <c r="L156" s="632" t="s">
        <v>620</v>
      </c>
      <c r="P156" s="845" t="s">
        <v>773</v>
      </c>
    </row>
    <row r="157" spans="2:16" s="637" customFormat="1" ht="11.25" customHeight="1">
      <c r="B157" s="632"/>
      <c r="C157" s="650" t="s">
        <v>283</v>
      </c>
      <c r="D157" s="651"/>
      <c r="E157" s="652"/>
      <c r="F157" s="653"/>
      <c r="G157" s="654">
        <v>107611</v>
      </c>
      <c r="H157" s="846">
        <f>45773+126990+1326+67757+24973</f>
        <v>266819</v>
      </c>
      <c r="I157" s="655">
        <f>H157/G157</f>
        <v>2.4794770051388797</v>
      </c>
      <c r="J157" s="1128" t="s">
        <v>1150</v>
      </c>
      <c r="K157" s="654">
        <v>45773</v>
      </c>
      <c r="L157" s="675" t="s">
        <v>621</v>
      </c>
      <c r="P157" s="845" t="s">
        <v>774</v>
      </c>
    </row>
    <row r="158" spans="3:16" s="637" customFormat="1" ht="11.25" customHeight="1">
      <c r="C158" s="650" t="s">
        <v>622</v>
      </c>
      <c r="D158" s="651"/>
      <c r="E158" s="667"/>
      <c r="F158" s="665"/>
      <c r="G158" s="654">
        <v>0</v>
      </c>
      <c r="H158" s="846">
        <f>110484+67243+11117</f>
        <v>188844</v>
      </c>
      <c r="I158" s="655">
        <v>0</v>
      </c>
      <c r="J158" s="642" t="s">
        <v>1150</v>
      </c>
      <c r="P158" s="845" t="s">
        <v>775</v>
      </c>
    </row>
    <row r="159" spans="3:16" s="637" customFormat="1" ht="11.25" customHeight="1">
      <c r="C159" s="650" t="s">
        <v>623</v>
      </c>
      <c r="D159" s="651"/>
      <c r="E159" s="667"/>
      <c r="F159" s="665"/>
      <c r="G159" s="654">
        <v>4590</v>
      </c>
      <c r="H159" s="846">
        <v>0</v>
      </c>
      <c r="I159" s="655">
        <f>H159/G159</f>
        <v>0</v>
      </c>
      <c r="J159" s="642" t="s">
        <v>1150</v>
      </c>
      <c r="P159" s="845" t="s">
        <v>776</v>
      </c>
    </row>
    <row r="160" spans="3:16" s="637" customFormat="1" ht="11.25" customHeight="1">
      <c r="C160" s="650" t="s">
        <v>777</v>
      </c>
      <c r="D160" s="651"/>
      <c r="E160" s="667"/>
      <c r="F160" s="665"/>
      <c r="G160" s="654">
        <v>360000</v>
      </c>
      <c r="H160" s="846">
        <v>343299</v>
      </c>
      <c r="I160" s="655">
        <f>H160/G160</f>
        <v>0.9536083333333333</v>
      </c>
      <c r="J160" s="642" t="s">
        <v>1150</v>
      </c>
      <c r="P160" s="845" t="s">
        <v>776</v>
      </c>
    </row>
    <row r="161" spans="3:16" s="637" customFormat="1" ht="11.25" customHeight="1">
      <c r="C161" s="650" t="s">
        <v>1203</v>
      </c>
      <c r="D161" s="651"/>
      <c r="E161" s="667"/>
      <c r="F161" s="665"/>
      <c r="G161" s="654"/>
      <c r="H161" s="846">
        <v>251</v>
      </c>
      <c r="I161" s="655"/>
      <c r="J161" s="642" t="s">
        <v>1150</v>
      </c>
      <c r="P161" s="845"/>
    </row>
    <row r="162" spans="3:16" s="637" customFormat="1" ht="11.25" customHeight="1">
      <c r="C162" s="1204" t="s">
        <v>1277</v>
      </c>
      <c r="D162" s="651"/>
      <c r="E162" s="667"/>
      <c r="F162" s="665"/>
      <c r="G162" s="654"/>
      <c r="H162" s="846">
        <v>750</v>
      </c>
      <c r="I162" s="655"/>
      <c r="J162" s="1127"/>
      <c r="P162" s="845"/>
    </row>
    <row r="163" spans="3:16" s="637" customFormat="1" ht="11.25" customHeight="1">
      <c r="C163" s="1243" t="s">
        <v>1344</v>
      </c>
      <c r="D163" s="651"/>
      <c r="E163" s="667"/>
      <c r="F163" s="665"/>
      <c r="G163" s="654"/>
      <c r="H163" s="1244">
        <v>1547</v>
      </c>
      <c r="I163" s="655"/>
      <c r="J163" s="642"/>
      <c r="P163" s="845"/>
    </row>
    <row r="164" spans="3:16" s="637" customFormat="1" ht="11.25" customHeight="1">
      <c r="C164" s="650" t="s">
        <v>778</v>
      </c>
      <c r="D164" s="651"/>
      <c r="E164" s="667"/>
      <c r="F164" s="665"/>
      <c r="G164" s="654">
        <v>182400</v>
      </c>
      <c r="H164" s="846">
        <f>157950-95618</f>
        <v>62332</v>
      </c>
      <c r="I164" s="655">
        <f>H164/G164</f>
        <v>0.34173245614035086</v>
      </c>
      <c r="J164" s="642" t="s">
        <v>1150</v>
      </c>
      <c r="P164" s="845" t="s">
        <v>1241</v>
      </c>
    </row>
    <row r="165" spans="3:16" s="637" customFormat="1" ht="11.25" customHeight="1">
      <c r="C165" s="650" t="s">
        <v>1204</v>
      </c>
      <c r="D165" s="651">
        <v>0</v>
      </c>
      <c r="E165" s="846">
        <f>76+24</f>
        <v>100</v>
      </c>
      <c r="F165" s="665"/>
      <c r="G165" s="651"/>
      <c r="H165" s="846"/>
      <c r="I165" s="655"/>
      <c r="J165" s="642" t="s">
        <v>1150</v>
      </c>
      <c r="P165" s="845"/>
    </row>
    <row r="166" spans="3:16" s="637" customFormat="1" ht="11.25" customHeight="1">
      <c r="C166" s="650" t="s">
        <v>627</v>
      </c>
      <c r="D166" s="651"/>
      <c r="E166" s="667"/>
      <c r="F166" s="665"/>
      <c r="G166" s="651">
        <v>39037</v>
      </c>
      <c r="H166" s="654">
        <v>0</v>
      </c>
      <c r="I166" s="655">
        <f>H166/G166</f>
        <v>0</v>
      </c>
      <c r="J166" s="642" t="s">
        <v>1150</v>
      </c>
      <c r="P166" s="845"/>
    </row>
    <row r="167" spans="3:16" s="637" customFormat="1" ht="11.25" customHeight="1">
      <c r="C167" s="650" t="s">
        <v>1239</v>
      </c>
      <c r="D167" s="651"/>
      <c r="E167" s="667"/>
      <c r="F167" s="665"/>
      <c r="G167" s="1245"/>
      <c r="H167" s="846">
        <f>18014+19729</f>
        <v>37743</v>
      </c>
      <c r="I167" s="655"/>
      <c r="J167" s="642" t="s">
        <v>1150</v>
      </c>
      <c r="P167" s="845" t="s">
        <v>1242</v>
      </c>
    </row>
    <row r="168" spans="3:16" s="637" customFormat="1" ht="11.25" customHeight="1">
      <c r="C168" s="1204" t="s">
        <v>1278</v>
      </c>
      <c r="D168" s="651"/>
      <c r="E168" s="667"/>
      <c r="F168" s="665"/>
      <c r="G168" s="651"/>
      <c r="H168" s="846">
        <v>21144</v>
      </c>
      <c r="I168" s="655"/>
      <c r="J168" s="1127"/>
      <c r="P168" s="845"/>
    </row>
    <row r="169" spans="3:16" s="637" customFormat="1" ht="11.25" customHeight="1">
      <c r="C169" s="1204" t="s">
        <v>1279</v>
      </c>
      <c r="D169" s="651"/>
      <c r="E169" s="1205">
        <v>233356</v>
      </c>
      <c r="F169" s="665"/>
      <c r="G169" s="651"/>
      <c r="H169" s="654"/>
      <c r="I169" s="655"/>
      <c r="J169" s="1127"/>
      <c r="P169" s="845"/>
    </row>
    <row r="170" spans="3:16" s="637" customFormat="1" ht="11.25" customHeight="1" hidden="1">
      <c r="C170" s="650"/>
      <c r="D170" s="651"/>
      <c r="E170" s="667"/>
      <c r="F170" s="665"/>
      <c r="G170" s="651"/>
      <c r="H170" s="654"/>
      <c r="I170" s="655"/>
      <c r="J170" s="642"/>
      <c r="P170" s="845"/>
    </row>
    <row r="171" spans="3:16" s="637" customFormat="1" ht="11.25" customHeight="1" hidden="1">
      <c r="C171" s="650"/>
      <c r="D171" s="651"/>
      <c r="E171" s="667"/>
      <c r="F171" s="665"/>
      <c r="G171" s="651"/>
      <c r="H171" s="654"/>
      <c r="I171" s="655"/>
      <c r="J171" s="642"/>
      <c r="P171" s="845"/>
    </row>
    <row r="172" spans="3:16" s="637" customFormat="1" ht="11.25" customHeight="1" hidden="1">
      <c r="C172" s="650"/>
      <c r="D172" s="651"/>
      <c r="E172" s="667"/>
      <c r="F172" s="665"/>
      <c r="G172" s="651"/>
      <c r="H172" s="654"/>
      <c r="I172" s="655"/>
      <c r="J172" s="642"/>
      <c r="P172" s="845"/>
    </row>
    <row r="173" spans="3:16" s="637" customFormat="1" ht="11.25" customHeight="1" hidden="1">
      <c r="C173" s="650"/>
      <c r="D173" s="651"/>
      <c r="E173" s="667"/>
      <c r="F173" s="665"/>
      <c r="G173" s="651"/>
      <c r="H173" s="654"/>
      <c r="I173" s="655"/>
      <c r="J173" s="642"/>
      <c r="P173" s="845"/>
    </row>
    <row r="174" spans="3:16" s="637" customFormat="1" ht="11.25" customHeight="1" hidden="1">
      <c r="C174" s="650"/>
      <c r="D174" s="651"/>
      <c r="E174" s="667"/>
      <c r="F174" s="665"/>
      <c r="G174" s="651"/>
      <c r="H174" s="654"/>
      <c r="I174" s="655"/>
      <c r="J174" s="642"/>
      <c r="P174" s="845"/>
    </row>
    <row r="175" spans="3:16" s="637" customFormat="1" ht="11.25" customHeight="1">
      <c r="C175" s="650"/>
      <c r="D175" s="651"/>
      <c r="E175" s="657">
        <f>E156+E157+E158+E159+E160+E161+E164+E165+E166+E167+E169</f>
        <v>233456</v>
      </c>
      <c r="F175" s="665"/>
      <c r="G175" s="656">
        <f>SUM(G156:G174)</f>
        <v>1710618</v>
      </c>
      <c r="H175" s="656">
        <f>SUM(H156:H174)</f>
        <v>1424730</v>
      </c>
      <c r="I175" s="658">
        <f>H175/G175</f>
        <v>0.8328744348533688</v>
      </c>
      <c r="J175" s="642"/>
      <c r="K175" s="637" t="s">
        <v>791</v>
      </c>
      <c r="P175" s="845"/>
    </row>
    <row r="176" spans="2:10" s="637" customFormat="1" ht="11.25" customHeight="1">
      <c r="B176" s="644" t="s">
        <v>628</v>
      </c>
      <c r="C176" s="645" t="s">
        <v>629</v>
      </c>
      <c r="D176" s="646"/>
      <c r="E176" s="643"/>
      <c r="F176" s="647"/>
      <c r="G176" s="646"/>
      <c r="H176" s="643"/>
      <c r="I176" s="648"/>
      <c r="J176" s="642"/>
    </row>
    <row r="177" spans="2:10" s="637" customFormat="1" ht="11.25" customHeight="1">
      <c r="B177" s="632"/>
      <c r="C177" s="650" t="s">
        <v>631</v>
      </c>
      <c r="D177" s="651"/>
      <c r="E177" s="667"/>
      <c r="F177" s="665"/>
      <c r="G177" s="651">
        <v>2000</v>
      </c>
      <c r="H177" s="654">
        <v>3000</v>
      </c>
      <c r="I177" s="655">
        <f>H177/G177</f>
        <v>1.5</v>
      </c>
      <c r="J177" s="642" t="s">
        <v>1150</v>
      </c>
    </row>
    <row r="178" spans="3:10" s="637" customFormat="1" ht="11.25" customHeight="1">
      <c r="C178" s="650" t="s">
        <v>630</v>
      </c>
      <c r="D178" s="651"/>
      <c r="E178" s="652"/>
      <c r="F178" s="653"/>
      <c r="G178" s="651">
        <v>20000</v>
      </c>
      <c r="H178" s="654">
        <v>20000</v>
      </c>
      <c r="I178" s="655"/>
      <c r="J178" s="642" t="s">
        <v>1150</v>
      </c>
    </row>
    <row r="179" spans="3:10" s="637" customFormat="1" ht="11.25" customHeight="1" hidden="1">
      <c r="C179" s="650"/>
      <c r="D179" s="651"/>
      <c r="E179" s="667"/>
      <c r="F179" s="665" t="e">
        <f>E179/D179</f>
        <v>#DIV/0!</v>
      </c>
      <c r="G179" s="651"/>
      <c r="H179" s="654"/>
      <c r="I179" s="655" t="e">
        <f>H179/G179</f>
        <v>#DIV/0!</v>
      </c>
      <c r="J179" s="642"/>
    </row>
    <row r="180" spans="3:10" s="637" customFormat="1" ht="11.25" customHeight="1" hidden="1">
      <c r="C180" s="650"/>
      <c r="D180" s="651"/>
      <c r="E180" s="667"/>
      <c r="F180" s="665" t="e">
        <f>E180/D180</f>
        <v>#DIV/0!</v>
      </c>
      <c r="G180" s="651"/>
      <c r="H180" s="654"/>
      <c r="I180" s="655" t="e">
        <f>H180/G180</f>
        <v>#DIV/0!</v>
      </c>
      <c r="J180" s="642"/>
    </row>
    <row r="181" spans="3:10" s="637" customFormat="1" ht="11.25" customHeight="1" hidden="1">
      <c r="C181" s="650"/>
      <c r="D181" s="651"/>
      <c r="E181" s="667"/>
      <c r="F181" s="665" t="e">
        <f>E181/D181</f>
        <v>#DIV/0!</v>
      </c>
      <c r="G181" s="651"/>
      <c r="H181" s="654"/>
      <c r="I181" s="655" t="e">
        <f>H181/G181</f>
        <v>#DIV/0!</v>
      </c>
      <c r="J181" s="642"/>
    </row>
    <row r="182" spans="3:11" s="637" customFormat="1" ht="11.25" customHeight="1">
      <c r="C182" s="650"/>
      <c r="D182" s="656"/>
      <c r="E182" s="667"/>
      <c r="F182" s="665"/>
      <c r="G182" s="656">
        <f>SUM(G177:G181)</f>
        <v>22000</v>
      </c>
      <c r="H182" s="844">
        <f>SUM(H177:H181)</f>
        <v>23000</v>
      </c>
      <c r="I182" s="658">
        <f>H182/G182</f>
        <v>1.0454545454545454</v>
      </c>
      <c r="J182" s="642"/>
      <c r="K182" s="845" t="s">
        <v>768</v>
      </c>
    </row>
    <row r="183" spans="3:10" s="637" customFormat="1" ht="11.25" customHeight="1" hidden="1">
      <c r="C183" s="666"/>
      <c r="D183" s="676"/>
      <c r="E183" s="667"/>
      <c r="F183" s="665"/>
      <c r="G183" s="677"/>
      <c r="H183" s="667"/>
      <c r="I183" s="655"/>
      <c r="J183" s="642"/>
    </row>
    <row r="184" spans="2:10" s="637" customFormat="1" ht="11.25" customHeight="1">
      <c r="B184" s="644" t="s">
        <v>632</v>
      </c>
      <c r="C184" s="645" t="s">
        <v>633</v>
      </c>
      <c r="D184" s="646"/>
      <c r="E184" s="643"/>
      <c r="F184" s="647"/>
      <c r="G184" s="646"/>
      <c r="H184" s="643"/>
      <c r="I184" s="648"/>
      <c r="J184" s="642"/>
    </row>
    <row r="185" spans="2:10" s="637" customFormat="1" ht="11.25" customHeight="1">
      <c r="B185" s="632"/>
      <c r="C185" s="645" t="s">
        <v>634</v>
      </c>
      <c r="D185" s="646"/>
      <c r="E185" s="643"/>
      <c r="F185" s="647"/>
      <c r="G185" s="646"/>
      <c r="H185" s="643"/>
      <c r="I185" s="648"/>
      <c r="J185" s="642"/>
    </row>
    <row r="186" spans="3:10" s="637" customFormat="1" ht="11.25" customHeight="1">
      <c r="C186" s="650" t="s">
        <v>635</v>
      </c>
      <c r="D186" s="651"/>
      <c r="E186" s="652"/>
      <c r="F186" s="653"/>
      <c r="G186" s="654">
        <v>410132</v>
      </c>
      <c r="H186" s="654">
        <v>0</v>
      </c>
      <c r="I186" s="655">
        <f>H186/G186</f>
        <v>0</v>
      </c>
      <c r="J186" s="642" t="s">
        <v>1150</v>
      </c>
    </row>
    <row r="187" spans="3:10" s="637" customFormat="1" ht="11.25" customHeight="1">
      <c r="C187" s="650" t="s">
        <v>787</v>
      </c>
      <c r="D187" s="651"/>
      <c r="E187" s="652"/>
      <c r="F187" s="653"/>
      <c r="G187" s="654">
        <v>0</v>
      </c>
      <c r="H187" s="654">
        <v>54674</v>
      </c>
      <c r="I187" s="655">
        <v>0</v>
      </c>
      <c r="J187" s="642" t="s">
        <v>1150</v>
      </c>
    </row>
    <row r="188" spans="3:10" s="637" customFormat="1" ht="11.25" customHeight="1">
      <c r="C188" s="659" t="s">
        <v>788</v>
      </c>
      <c r="D188" s="651"/>
      <c r="E188" s="654"/>
      <c r="F188" s="665"/>
      <c r="G188" s="654">
        <v>0</v>
      </c>
      <c r="H188" s="654">
        <v>21358</v>
      </c>
      <c r="I188" s="655">
        <v>0</v>
      </c>
      <c r="J188" s="642" t="s">
        <v>1150</v>
      </c>
    </row>
    <row r="189" spans="3:10" s="637" customFormat="1" ht="11.25" customHeight="1">
      <c r="C189" s="659" t="s">
        <v>789</v>
      </c>
      <c r="D189" s="651"/>
      <c r="E189" s="654"/>
      <c r="F189" s="665"/>
      <c r="G189" s="654">
        <v>0</v>
      </c>
      <c r="H189" s="654">
        <v>11280</v>
      </c>
      <c r="I189" s="655">
        <v>0</v>
      </c>
      <c r="J189" s="642" t="s">
        <v>1150</v>
      </c>
    </row>
    <row r="190" spans="3:10" s="637" customFormat="1" ht="11.25" customHeight="1">
      <c r="C190" s="659" t="s">
        <v>790</v>
      </c>
      <c r="D190" s="651"/>
      <c r="E190" s="654"/>
      <c r="F190" s="665"/>
      <c r="G190" s="654">
        <v>0</v>
      </c>
      <c r="H190" s="654">
        <v>14902</v>
      </c>
      <c r="I190" s="655">
        <v>0</v>
      </c>
      <c r="J190" s="642" t="s">
        <v>1150</v>
      </c>
    </row>
    <row r="191" spans="3:10" s="637" customFormat="1" ht="11.25" customHeight="1">
      <c r="C191" s="659" t="s">
        <v>758</v>
      </c>
      <c r="D191" s="651"/>
      <c r="E191" s="654"/>
      <c r="F191" s="665"/>
      <c r="G191" s="654">
        <v>0</v>
      </c>
      <c r="H191" s="654">
        <v>978</v>
      </c>
      <c r="I191" s="655">
        <v>0</v>
      </c>
      <c r="J191" s="642" t="s">
        <v>1150</v>
      </c>
    </row>
    <row r="192" spans="3:10" s="637" customFormat="1" ht="11.25" customHeight="1">
      <c r="C192" s="650" t="s">
        <v>636</v>
      </c>
      <c r="D192" s="651"/>
      <c r="E192" s="654"/>
      <c r="F192" s="665"/>
      <c r="G192" s="654">
        <v>5189</v>
      </c>
      <c r="H192" s="654">
        <v>1800</v>
      </c>
      <c r="I192" s="655">
        <f aca="true" t="shared" si="2" ref="I192:I197">H192/G192</f>
        <v>0.34688764694546154</v>
      </c>
      <c r="J192" s="642" t="s">
        <v>1150</v>
      </c>
    </row>
    <row r="193" spans="3:10" s="637" customFormat="1" ht="11.25" customHeight="1">
      <c r="C193" s="1206" t="s">
        <v>1280</v>
      </c>
      <c r="D193" s="651"/>
      <c r="E193" s="654"/>
      <c r="F193" s="665"/>
      <c r="G193" s="654"/>
      <c r="H193" s="1126">
        <v>1519</v>
      </c>
      <c r="I193" s="655" t="e">
        <f t="shared" si="2"/>
        <v>#DIV/0!</v>
      </c>
      <c r="J193" s="1127"/>
    </row>
    <row r="194" spans="3:10" s="637" customFormat="1" ht="11.25" customHeight="1">
      <c r="C194" s="1204" t="s">
        <v>1281</v>
      </c>
      <c r="D194" s="651"/>
      <c r="E194" s="654"/>
      <c r="F194" s="665"/>
      <c r="G194" s="654"/>
      <c r="H194" s="1126">
        <v>1060</v>
      </c>
      <c r="I194" s="655" t="e">
        <f t="shared" si="2"/>
        <v>#DIV/0!</v>
      </c>
      <c r="J194" s="1127"/>
    </row>
    <row r="195" spans="3:10" s="637" customFormat="1" ht="11.25" customHeight="1">
      <c r="C195" s="1204" t="s">
        <v>1282</v>
      </c>
      <c r="D195" s="651"/>
      <c r="E195" s="654"/>
      <c r="F195" s="665"/>
      <c r="G195" s="654"/>
      <c r="H195" s="1126">
        <v>3685</v>
      </c>
      <c r="I195" s="655" t="e">
        <f t="shared" si="2"/>
        <v>#DIV/0!</v>
      </c>
      <c r="J195" s="1127"/>
    </row>
    <row r="196" spans="3:10" s="637" customFormat="1" ht="11.25" customHeight="1">
      <c r="C196" s="1204" t="s">
        <v>1283</v>
      </c>
      <c r="D196" s="651"/>
      <c r="E196" s="654"/>
      <c r="F196" s="665"/>
      <c r="G196" s="654"/>
      <c r="H196" s="1126">
        <v>686</v>
      </c>
      <c r="I196" s="655" t="e">
        <f t="shared" si="2"/>
        <v>#DIV/0!</v>
      </c>
      <c r="J196" s="1127"/>
    </row>
    <row r="197" spans="3:10" s="637" customFormat="1" ht="11.25" customHeight="1">
      <c r="C197" s="1216" t="s">
        <v>1284</v>
      </c>
      <c r="D197" s="651"/>
      <c r="E197" s="654"/>
      <c r="F197" s="665"/>
      <c r="G197" s="654"/>
      <c r="H197" s="1126">
        <v>4715</v>
      </c>
      <c r="I197" s="655" t="e">
        <f t="shared" si="2"/>
        <v>#DIV/0!</v>
      </c>
      <c r="J197" s="1127"/>
    </row>
    <row r="198" spans="3:10" s="637" customFormat="1" ht="11.25" customHeight="1">
      <c r="C198" s="650" t="s">
        <v>627</v>
      </c>
      <c r="D198" s="651"/>
      <c r="E198" s="654"/>
      <c r="F198" s="665"/>
      <c r="G198" s="651">
        <v>0</v>
      </c>
      <c r="H198" s="654">
        <v>44555</v>
      </c>
      <c r="I198" s="655">
        <v>0</v>
      </c>
      <c r="J198" s="637" t="s">
        <v>1150</v>
      </c>
    </row>
    <row r="199" spans="3:11" s="637" customFormat="1" ht="11.25" customHeight="1">
      <c r="C199" s="682" t="s">
        <v>742</v>
      </c>
      <c r="D199" s="651"/>
      <c r="E199" s="654"/>
      <c r="F199" s="665"/>
      <c r="G199" s="651"/>
      <c r="H199" s="1207">
        <v>15448</v>
      </c>
      <c r="I199" s="1208" t="e">
        <f aca="true" t="shared" si="3" ref="I199:I208">H199/G199</f>
        <v>#DIV/0!</v>
      </c>
      <c r="J199" s="1209" t="s">
        <v>1150</v>
      </c>
      <c r="K199" s="1210"/>
    </row>
    <row r="200" spans="3:10" s="637" customFormat="1" ht="11.25" customHeight="1">
      <c r="C200" s="675" t="s">
        <v>733</v>
      </c>
      <c r="D200" s="651"/>
      <c r="E200" s="654"/>
      <c r="F200" s="665"/>
      <c r="G200" s="651"/>
      <c r="H200" s="846">
        <v>95618</v>
      </c>
      <c r="I200" s="655" t="e">
        <f t="shared" si="3"/>
        <v>#DIV/0!</v>
      </c>
      <c r="J200" s="642" t="s">
        <v>1150</v>
      </c>
    </row>
    <row r="201" spans="3:10" s="637" customFormat="1" ht="11.25" customHeight="1" hidden="1">
      <c r="C201" s="675"/>
      <c r="D201" s="651"/>
      <c r="E201" s="654"/>
      <c r="F201" s="665"/>
      <c r="G201" s="651"/>
      <c r="H201" s="654"/>
      <c r="I201" s="655" t="e">
        <f t="shared" si="3"/>
        <v>#DIV/0!</v>
      </c>
      <c r="J201" s="642"/>
    </row>
    <row r="202" spans="3:10" s="637" customFormat="1" ht="11.25" customHeight="1" hidden="1">
      <c r="C202" s="675"/>
      <c r="D202" s="651"/>
      <c r="E202" s="654"/>
      <c r="F202" s="665"/>
      <c r="G202" s="651"/>
      <c r="H202" s="667"/>
      <c r="I202" s="655" t="e">
        <f t="shared" si="3"/>
        <v>#DIV/0!</v>
      </c>
      <c r="J202" s="642"/>
    </row>
    <row r="203" spans="3:10" s="637" customFormat="1" ht="11.25" customHeight="1" hidden="1">
      <c r="C203" s="675"/>
      <c r="D203" s="651"/>
      <c r="E203" s="654"/>
      <c r="F203" s="665"/>
      <c r="G203" s="651"/>
      <c r="H203" s="667"/>
      <c r="I203" s="655" t="e">
        <f t="shared" si="3"/>
        <v>#DIV/0!</v>
      </c>
      <c r="J203" s="642"/>
    </row>
    <row r="204" spans="3:10" s="637" customFormat="1" ht="11.25" customHeight="1" hidden="1">
      <c r="C204" s="675"/>
      <c r="D204" s="651"/>
      <c r="E204" s="654"/>
      <c r="F204" s="665"/>
      <c r="G204" s="651"/>
      <c r="H204" s="667"/>
      <c r="I204" s="655" t="e">
        <f t="shared" si="3"/>
        <v>#DIV/0!</v>
      </c>
      <c r="J204" s="642"/>
    </row>
    <row r="205" spans="3:10" s="637" customFormat="1" ht="11.25" customHeight="1" hidden="1">
      <c r="C205" s="675"/>
      <c r="D205" s="651"/>
      <c r="E205" s="654"/>
      <c r="F205" s="665"/>
      <c r="G205" s="651"/>
      <c r="H205" s="667"/>
      <c r="I205" s="655" t="e">
        <f t="shared" si="3"/>
        <v>#DIV/0!</v>
      </c>
      <c r="J205" s="642"/>
    </row>
    <row r="206" spans="3:10" s="637" customFormat="1" ht="11.25" customHeight="1" hidden="1">
      <c r="C206" s="675"/>
      <c r="D206" s="651"/>
      <c r="E206" s="654"/>
      <c r="F206" s="665"/>
      <c r="G206" s="651"/>
      <c r="H206" s="667"/>
      <c r="I206" s="655" t="e">
        <f t="shared" si="3"/>
        <v>#DIV/0!</v>
      </c>
      <c r="J206" s="642"/>
    </row>
    <row r="207" spans="3:10" s="637" customFormat="1" ht="11.25" customHeight="1" hidden="1">
      <c r="C207" s="675"/>
      <c r="D207" s="651"/>
      <c r="E207" s="654"/>
      <c r="F207" s="665"/>
      <c r="G207" s="651"/>
      <c r="H207" s="667"/>
      <c r="I207" s="655" t="e">
        <f t="shared" si="3"/>
        <v>#DIV/0!</v>
      </c>
      <c r="J207" s="642"/>
    </row>
    <row r="208" spans="3:10" s="637" customFormat="1" ht="11.25" customHeight="1" hidden="1">
      <c r="C208" s="675"/>
      <c r="D208" s="651"/>
      <c r="E208" s="654"/>
      <c r="F208" s="665"/>
      <c r="G208" s="651"/>
      <c r="H208" s="667"/>
      <c r="I208" s="655" t="e">
        <f t="shared" si="3"/>
        <v>#DIV/0!</v>
      </c>
      <c r="J208" s="642"/>
    </row>
    <row r="209" spans="3:10" s="637" customFormat="1" ht="11.25" customHeight="1" hidden="1">
      <c r="C209" s="675"/>
      <c r="D209" s="654"/>
      <c r="E209" s="654"/>
      <c r="F209" s="665"/>
      <c r="G209" s="651"/>
      <c r="H209" s="667"/>
      <c r="I209" s="655"/>
      <c r="J209" s="642"/>
    </row>
    <row r="210" spans="3:10" s="637" customFormat="1" ht="11.25" customHeight="1" hidden="1">
      <c r="C210" s="675"/>
      <c r="D210" s="654"/>
      <c r="E210" s="654"/>
      <c r="F210" s="665"/>
      <c r="G210" s="651"/>
      <c r="H210" s="667"/>
      <c r="I210" s="655"/>
      <c r="J210" s="642"/>
    </row>
    <row r="211" spans="3:10" s="637" customFormat="1" ht="11.25" customHeight="1" hidden="1">
      <c r="C211" s="650" t="s">
        <v>638</v>
      </c>
      <c r="D211" s="654">
        <v>8700</v>
      </c>
      <c r="E211" s="654">
        <v>0</v>
      </c>
      <c r="F211" s="665">
        <f aca="true" t="shared" si="4" ref="F211:F223">E211/D211</f>
        <v>0</v>
      </c>
      <c r="G211" s="651"/>
      <c r="H211" s="667"/>
      <c r="I211" s="655"/>
      <c r="J211" s="642" t="s">
        <v>1150</v>
      </c>
    </row>
    <row r="212" spans="3:10" s="637" customFormat="1" ht="11.25" customHeight="1" hidden="1">
      <c r="C212" s="650" t="s">
        <v>639</v>
      </c>
      <c r="D212" s="654">
        <f>90000+84683</f>
        <v>174683</v>
      </c>
      <c r="E212" s="654">
        <v>0</v>
      </c>
      <c r="F212" s="665">
        <f t="shared" si="4"/>
        <v>0</v>
      </c>
      <c r="G212" s="651"/>
      <c r="H212" s="667"/>
      <c r="I212" s="655"/>
      <c r="J212" s="642" t="s">
        <v>1150</v>
      </c>
    </row>
    <row r="213" spans="3:10" s="637" customFormat="1" ht="11.25" customHeight="1" hidden="1">
      <c r="C213" s="650" t="s">
        <v>640</v>
      </c>
      <c r="D213" s="654">
        <v>45000</v>
      </c>
      <c r="E213" s="654">
        <v>0</v>
      </c>
      <c r="F213" s="665">
        <f t="shared" si="4"/>
        <v>0</v>
      </c>
      <c r="G213" s="651"/>
      <c r="H213" s="667"/>
      <c r="I213" s="655"/>
      <c r="J213" s="642" t="s">
        <v>1150</v>
      </c>
    </row>
    <row r="214" spans="3:10" s="637" customFormat="1" ht="11.25" customHeight="1" hidden="1">
      <c r="C214" s="650" t="s">
        <v>641</v>
      </c>
      <c r="D214" s="654">
        <v>46429</v>
      </c>
      <c r="E214" s="654">
        <v>0</v>
      </c>
      <c r="F214" s="665">
        <f t="shared" si="4"/>
        <v>0</v>
      </c>
      <c r="G214" s="651"/>
      <c r="H214" s="667"/>
      <c r="I214" s="655"/>
      <c r="J214" s="642" t="s">
        <v>1150</v>
      </c>
    </row>
    <row r="215" spans="3:10" s="637" customFormat="1" ht="11.25" customHeight="1" hidden="1">
      <c r="C215" s="650" t="s">
        <v>642</v>
      </c>
      <c r="D215" s="654">
        <v>192000</v>
      </c>
      <c r="E215" s="654">
        <v>0</v>
      </c>
      <c r="F215" s="665">
        <f t="shared" si="4"/>
        <v>0</v>
      </c>
      <c r="G215" s="651"/>
      <c r="H215" s="667"/>
      <c r="I215" s="655"/>
      <c r="J215" s="642" t="s">
        <v>1150</v>
      </c>
    </row>
    <row r="216" spans="3:10" s="637" customFormat="1" ht="11.25" customHeight="1" hidden="1">
      <c r="C216" s="650" t="s">
        <v>643</v>
      </c>
      <c r="D216" s="654">
        <v>2800</v>
      </c>
      <c r="E216" s="654">
        <v>0</v>
      </c>
      <c r="F216" s="665">
        <f t="shared" si="4"/>
        <v>0</v>
      </c>
      <c r="G216" s="651"/>
      <c r="H216" s="667"/>
      <c r="I216" s="655"/>
      <c r="J216" s="642" t="s">
        <v>1150</v>
      </c>
    </row>
    <row r="217" spans="3:10" s="637" customFormat="1" ht="11.25" customHeight="1" hidden="1">
      <c r="C217" s="650" t="s">
        <v>644</v>
      </c>
      <c r="D217" s="654">
        <v>134</v>
      </c>
      <c r="E217" s="654">
        <v>0</v>
      </c>
      <c r="F217" s="665">
        <f t="shared" si="4"/>
        <v>0</v>
      </c>
      <c r="G217" s="651"/>
      <c r="H217" s="667"/>
      <c r="I217" s="655"/>
      <c r="J217" s="642" t="s">
        <v>1150</v>
      </c>
    </row>
    <row r="218" spans="3:10" s="637" customFormat="1" ht="11.25" customHeight="1" hidden="1">
      <c r="C218" s="650" t="s">
        <v>645</v>
      </c>
      <c r="D218" s="654">
        <v>39010</v>
      </c>
      <c r="E218" s="654">
        <v>0</v>
      </c>
      <c r="F218" s="665">
        <f t="shared" si="4"/>
        <v>0</v>
      </c>
      <c r="G218" s="651"/>
      <c r="H218" s="667"/>
      <c r="I218" s="655"/>
      <c r="J218" s="642" t="s">
        <v>1150</v>
      </c>
    </row>
    <row r="219" spans="3:10" s="637" customFormat="1" ht="11.25" customHeight="1">
      <c r="C219" s="650" t="s">
        <v>646</v>
      </c>
      <c r="D219" s="654">
        <v>87500</v>
      </c>
      <c r="E219" s="654">
        <v>77500</v>
      </c>
      <c r="F219" s="665">
        <f t="shared" si="4"/>
        <v>0.8857142857142857</v>
      </c>
      <c r="G219" s="651"/>
      <c r="H219" s="667"/>
      <c r="I219" s="655"/>
      <c r="J219" s="642" t="s">
        <v>1150</v>
      </c>
    </row>
    <row r="220" spans="3:10" s="637" customFormat="1" ht="11.25" customHeight="1">
      <c r="C220" s="650" t="s">
        <v>647</v>
      </c>
      <c r="D220" s="654">
        <v>156940</v>
      </c>
      <c r="E220" s="654">
        <v>155466</v>
      </c>
      <c r="F220" s="665">
        <f t="shared" si="4"/>
        <v>0.9906078756212565</v>
      </c>
      <c r="G220" s="651"/>
      <c r="H220" s="667"/>
      <c r="I220" s="655"/>
      <c r="J220" s="642" t="s">
        <v>1150</v>
      </c>
    </row>
    <row r="221" spans="3:10" s="637" customFormat="1" ht="11.25" customHeight="1">
      <c r="C221" s="650" t="s">
        <v>648</v>
      </c>
      <c r="D221" s="654">
        <v>391185</v>
      </c>
      <c r="E221" s="654">
        <v>0</v>
      </c>
      <c r="F221" s="665">
        <f t="shared" si="4"/>
        <v>0</v>
      </c>
      <c r="G221" s="651"/>
      <c r="H221" s="667"/>
      <c r="I221" s="655"/>
      <c r="J221" s="642" t="s">
        <v>1150</v>
      </c>
    </row>
    <row r="222" spans="3:10" s="637" customFormat="1" ht="11.25" customHeight="1">
      <c r="C222" s="650" t="s">
        <v>649</v>
      </c>
      <c r="D222" s="654">
        <v>100000</v>
      </c>
      <c r="E222" s="654">
        <v>100000</v>
      </c>
      <c r="F222" s="665">
        <f t="shared" si="4"/>
        <v>1</v>
      </c>
      <c r="G222" s="651"/>
      <c r="H222" s="667"/>
      <c r="I222" s="655"/>
      <c r="J222" s="642" t="s">
        <v>1150</v>
      </c>
    </row>
    <row r="223" spans="3:10" s="637" customFormat="1" ht="11.25" customHeight="1">
      <c r="C223" s="650" t="s">
        <v>650</v>
      </c>
      <c r="D223" s="654">
        <v>183315</v>
      </c>
      <c r="E223" s="654">
        <v>143621</v>
      </c>
      <c r="F223" s="665">
        <f t="shared" si="4"/>
        <v>0.7834656192892017</v>
      </c>
      <c r="G223" s="651"/>
      <c r="H223" s="667"/>
      <c r="I223" s="655"/>
      <c r="J223" s="642" t="s">
        <v>1150</v>
      </c>
    </row>
    <row r="224" spans="3:10" s="637" customFormat="1" ht="24">
      <c r="C224" s="678" t="str">
        <f>'[1]3'!B63</f>
        <v>Energetikai korszerűsítés a Siófoki Csárdaréti úti Pillangó Óvodában </v>
      </c>
      <c r="D224" s="679">
        <v>0</v>
      </c>
      <c r="E224" s="680">
        <v>0</v>
      </c>
      <c r="F224" s="681">
        <v>0</v>
      </c>
      <c r="G224" s="651"/>
      <c r="H224" s="667"/>
      <c r="I224" s="655"/>
      <c r="J224" s="642" t="s">
        <v>1150</v>
      </c>
    </row>
    <row r="225" spans="3:10" s="637" customFormat="1" ht="11.25" customHeight="1">
      <c r="C225" s="650" t="str">
        <f>'[1]3'!B65</f>
        <v>Galérius fürdő - KEOP-4.2.0/A/11-2011-0515</v>
      </c>
      <c r="D225" s="651">
        <v>0</v>
      </c>
      <c r="E225" s="654">
        <v>0</v>
      </c>
      <c r="F225" s="665">
        <v>0</v>
      </c>
      <c r="G225" s="654"/>
      <c r="H225" s="667"/>
      <c r="I225" s="655"/>
      <c r="J225" s="642" t="s">
        <v>1150</v>
      </c>
    </row>
    <row r="226" spans="3:10" s="637" customFormat="1" ht="12" customHeight="1">
      <c r="C226" s="682" t="str">
        <f>'[1]3'!B67</f>
        <v>Siófok-Ságvár kerékpár út </v>
      </c>
      <c r="D226" s="679">
        <v>0</v>
      </c>
      <c r="E226" s="680">
        <v>0</v>
      </c>
      <c r="F226" s="681">
        <v>0</v>
      </c>
      <c r="G226" s="651"/>
      <c r="H226" s="667"/>
      <c r="I226" s="655"/>
      <c r="J226" s="642" t="s">
        <v>1150</v>
      </c>
    </row>
    <row r="227" spans="3:10" s="637" customFormat="1" ht="11.25" customHeight="1">
      <c r="C227" s="650" t="s">
        <v>651</v>
      </c>
      <c r="D227" s="651">
        <v>0</v>
      </c>
      <c r="E227" s="654">
        <v>89745</v>
      </c>
      <c r="F227" s="665">
        <v>0</v>
      </c>
      <c r="G227" s="651"/>
      <c r="H227" s="667"/>
      <c r="I227" s="655"/>
      <c r="J227" s="642" t="s">
        <v>1150</v>
      </c>
    </row>
    <row r="228" spans="3:10" s="637" customFormat="1" ht="11.25" customHeight="1">
      <c r="C228" s="675" t="s">
        <v>759</v>
      </c>
      <c r="D228" s="651">
        <v>0</v>
      </c>
      <c r="E228" s="654">
        <v>17009</v>
      </c>
      <c r="F228" s="665">
        <v>0</v>
      </c>
      <c r="G228" s="651"/>
      <c r="H228" s="667"/>
      <c r="I228" s="655"/>
      <c r="J228" s="642" t="s">
        <v>1150</v>
      </c>
    </row>
    <row r="229" spans="3:10" s="637" customFormat="1" ht="11.25" customHeight="1">
      <c r="C229" s="675" t="s">
        <v>998</v>
      </c>
      <c r="D229" s="651">
        <v>0</v>
      </c>
      <c r="E229" s="654">
        <v>11142</v>
      </c>
      <c r="F229" s="665">
        <v>0</v>
      </c>
      <c r="G229" s="651"/>
      <c r="H229" s="667"/>
      <c r="I229" s="655"/>
      <c r="J229" s="642" t="s">
        <v>1150</v>
      </c>
    </row>
    <row r="230" spans="3:11" s="632" customFormat="1" ht="11.25" customHeight="1">
      <c r="C230" s="682" t="s">
        <v>1205</v>
      </c>
      <c r="D230" s="651">
        <v>0</v>
      </c>
      <c r="E230" s="1207">
        <v>23745</v>
      </c>
      <c r="F230" s="1211"/>
      <c r="G230" s="1212"/>
      <c r="H230" s="1213"/>
      <c r="I230" s="1214"/>
      <c r="J230" s="1215" t="s">
        <v>1150</v>
      </c>
      <c r="K230" s="1215"/>
    </row>
    <row r="231" spans="3:10" s="637" customFormat="1" ht="11.25" customHeight="1">
      <c r="C231" s="1198" t="s">
        <v>1261</v>
      </c>
      <c r="D231" s="1199"/>
      <c r="E231" s="1191">
        <v>311635</v>
      </c>
      <c r="F231" s="665">
        <v>0</v>
      </c>
      <c r="G231" s="651"/>
      <c r="H231" s="667"/>
      <c r="I231" s="684"/>
      <c r="J231" s="637" t="s">
        <v>1150</v>
      </c>
    </row>
    <row r="232" spans="3:9" s="637" customFormat="1" ht="11.25" customHeight="1" hidden="1">
      <c r="C232" s="683"/>
      <c r="D232" s="651"/>
      <c r="E232" s="654"/>
      <c r="F232" s="665">
        <v>0</v>
      </c>
      <c r="G232" s="651"/>
      <c r="H232" s="667"/>
      <c r="I232" s="684"/>
    </row>
    <row r="233" spans="3:9" s="637" customFormat="1" ht="11.25" customHeight="1" hidden="1">
      <c r="C233" s="683"/>
      <c r="D233" s="651"/>
      <c r="E233" s="654"/>
      <c r="F233" s="665">
        <v>0</v>
      </c>
      <c r="G233" s="651"/>
      <c r="H233" s="667"/>
      <c r="I233" s="684"/>
    </row>
    <row r="234" spans="3:9" s="637" customFormat="1" ht="11.25" customHeight="1" hidden="1">
      <c r="C234" s="683"/>
      <c r="D234" s="651"/>
      <c r="E234" s="667"/>
      <c r="F234" s="665">
        <v>0</v>
      </c>
      <c r="G234" s="651"/>
      <c r="H234" s="667"/>
      <c r="I234" s="684"/>
    </row>
    <row r="235" spans="3:10" s="637" customFormat="1" ht="11.25" customHeight="1" hidden="1">
      <c r="C235" s="650"/>
      <c r="D235" s="651"/>
      <c r="E235" s="654"/>
      <c r="F235" s="665">
        <v>0</v>
      </c>
      <c r="G235" s="651"/>
      <c r="H235" s="667"/>
      <c r="I235" s="655">
        <v>0</v>
      </c>
      <c r="J235" s="642"/>
    </row>
    <row r="236" spans="3:10" s="637" customFormat="1" ht="11.25" customHeight="1" hidden="1">
      <c r="C236" s="650"/>
      <c r="D236" s="651"/>
      <c r="E236" s="654"/>
      <c r="F236" s="665">
        <v>0</v>
      </c>
      <c r="G236" s="651"/>
      <c r="H236" s="667"/>
      <c r="I236" s="655">
        <v>0</v>
      </c>
      <c r="J236" s="642"/>
    </row>
    <row r="237" spans="3:10" s="637" customFormat="1" ht="11.25" customHeight="1" hidden="1">
      <c r="C237" s="650"/>
      <c r="D237" s="651"/>
      <c r="E237" s="654"/>
      <c r="F237" s="665">
        <v>0</v>
      </c>
      <c r="G237" s="651"/>
      <c r="H237" s="667"/>
      <c r="I237" s="655">
        <v>0</v>
      </c>
      <c r="J237" s="642"/>
    </row>
    <row r="238" spans="3:10" s="637" customFormat="1" ht="11.25" customHeight="1" hidden="1">
      <c r="C238" s="650"/>
      <c r="D238" s="651"/>
      <c r="E238" s="654"/>
      <c r="F238" s="665">
        <v>0</v>
      </c>
      <c r="G238" s="651"/>
      <c r="H238" s="667"/>
      <c r="I238" s="655">
        <v>0</v>
      </c>
      <c r="J238" s="642"/>
    </row>
    <row r="239" spans="3:11" s="637" customFormat="1" ht="11.25" customHeight="1">
      <c r="C239" s="650"/>
      <c r="D239" s="656">
        <f>SUM(D186:D238)</f>
        <v>1427696</v>
      </c>
      <c r="E239" s="843">
        <f>SUM(E186:E238)</f>
        <v>929863</v>
      </c>
      <c r="F239" s="668">
        <f>E239/D239</f>
        <v>0.6513032186123656</v>
      </c>
      <c r="G239" s="657">
        <f>SUM(G186:G238)</f>
        <v>415321</v>
      </c>
      <c r="H239" s="843">
        <f>SUM(H186:H238)</f>
        <v>272278</v>
      </c>
      <c r="I239" s="658">
        <f>H239/G239</f>
        <v>0.6555844756224704</v>
      </c>
      <c r="J239" s="845" t="s">
        <v>792</v>
      </c>
      <c r="K239" s="845" t="s">
        <v>786</v>
      </c>
    </row>
    <row r="240" spans="2:10" s="672" customFormat="1" ht="12">
      <c r="B240" s="637"/>
      <c r="C240" s="842" t="s">
        <v>652</v>
      </c>
      <c r="D240" s="673">
        <f>D239</f>
        <v>1427696</v>
      </c>
      <c r="E240" s="673">
        <f>E239</f>
        <v>929863</v>
      </c>
      <c r="F240" s="674">
        <f>E240/D240</f>
        <v>0.6513032186123656</v>
      </c>
      <c r="G240" s="647"/>
      <c r="H240" s="647"/>
      <c r="I240" s="648"/>
      <c r="J240" s="641"/>
    </row>
    <row r="241" spans="3:10" s="643" customFormat="1" ht="12" customHeight="1">
      <c r="C241" s="644" t="s">
        <v>653</v>
      </c>
      <c r="D241" s="685"/>
      <c r="F241" s="648"/>
      <c r="G241" s="685"/>
      <c r="I241" s="648"/>
      <c r="J241" s="649"/>
    </row>
    <row r="242" spans="3:10" s="632" customFormat="1" ht="25.5" customHeight="1">
      <c r="C242" s="678" t="s">
        <v>654</v>
      </c>
      <c r="D242" s="651"/>
      <c r="E242" s="652"/>
      <c r="F242" s="665"/>
      <c r="G242" s="680">
        <v>6191</v>
      </c>
      <c r="H242" s="680">
        <v>14879</v>
      </c>
      <c r="I242" s="686">
        <f>H242/G242</f>
        <v>2.403327410757551</v>
      </c>
      <c r="J242" s="642" t="s">
        <v>1149</v>
      </c>
    </row>
    <row r="243" spans="3:10" s="632" customFormat="1" ht="12.75" customHeight="1" hidden="1">
      <c r="C243" s="650"/>
      <c r="D243" s="651"/>
      <c r="E243" s="652"/>
      <c r="F243" s="665"/>
      <c r="G243" s="654"/>
      <c r="H243" s="654"/>
      <c r="I243" s="655"/>
      <c r="J243" s="642"/>
    </row>
    <row r="244" spans="3:10" s="632" customFormat="1" ht="12.75" customHeight="1" hidden="1">
      <c r="C244" s="650"/>
      <c r="D244" s="651"/>
      <c r="E244" s="652"/>
      <c r="F244" s="665"/>
      <c r="G244" s="652"/>
      <c r="H244" s="652"/>
      <c r="I244" s="655"/>
      <c r="J244" s="642"/>
    </row>
    <row r="245" spans="3:10" s="632" customFormat="1" ht="12.75" customHeight="1" hidden="1">
      <c r="C245" s="650"/>
      <c r="D245" s="651"/>
      <c r="E245" s="652"/>
      <c r="F245" s="665"/>
      <c r="G245" s="654"/>
      <c r="H245" s="654"/>
      <c r="I245" s="655"/>
      <c r="J245" s="642"/>
    </row>
    <row r="246" spans="3:10" s="632" customFormat="1" ht="13.5" customHeight="1" hidden="1">
      <c r="C246" s="678"/>
      <c r="D246" s="651"/>
      <c r="E246" s="652"/>
      <c r="F246" s="665"/>
      <c r="G246" s="680"/>
      <c r="H246" s="680"/>
      <c r="I246" s="686"/>
      <c r="J246" s="642"/>
    </row>
    <row r="247" spans="3:10" s="632" customFormat="1" ht="12.75" customHeight="1" hidden="1">
      <c r="C247" s="650"/>
      <c r="D247" s="651"/>
      <c r="E247" s="652"/>
      <c r="F247" s="665"/>
      <c r="G247" s="651"/>
      <c r="H247" s="654"/>
      <c r="I247" s="655"/>
      <c r="J247" s="642"/>
    </row>
    <row r="248" spans="3:10" s="632" customFormat="1" ht="12.75" customHeight="1" hidden="1">
      <c r="C248" s="650"/>
      <c r="D248" s="651"/>
      <c r="E248" s="652"/>
      <c r="F248" s="665"/>
      <c r="G248" s="651"/>
      <c r="H248" s="654"/>
      <c r="I248" s="655"/>
      <c r="J248" s="642"/>
    </row>
    <row r="249" spans="3:10" s="632" customFormat="1" ht="12" hidden="1">
      <c r="C249" s="650"/>
      <c r="D249" s="651"/>
      <c r="E249" s="652"/>
      <c r="F249" s="665"/>
      <c r="G249" s="651"/>
      <c r="H249" s="654"/>
      <c r="I249" s="655"/>
      <c r="J249" s="642"/>
    </row>
    <row r="250" spans="3:10" s="632" customFormat="1" ht="12" hidden="1">
      <c r="C250" s="650"/>
      <c r="D250" s="651"/>
      <c r="E250" s="652"/>
      <c r="F250" s="665"/>
      <c r="G250" s="651"/>
      <c r="H250" s="654"/>
      <c r="I250" s="655"/>
      <c r="J250" s="642"/>
    </row>
    <row r="251" spans="3:10" s="632" customFormat="1" ht="12" hidden="1">
      <c r="C251" s="650"/>
      <c r="D251" s="651"/>
      <c r="E251" s="652"/>
      <c r="F251" s="665"/>
      <c r="G251" s="651"/>
      <c r="H251" s="654"/>
      <c r="I251" s="655"/>
      <c r="J251" s="642"/>
    </row>
    <row r="252" spans="3:10" s="632" customFormat="1" ht="12" hidden="1">
      <c r="C252" s="650"/>
      <c r="D252" s="651"/>
      <c r="E252" s="652"/>
      <c r="F252" s="665"/>
      <c r="G252" s="651"/>
      <c r="H252" s="654"/>
      <c r="I252" s="655"/>
      <c r="J252" s="642"/>
    </row>
    <row r="253" spans="3:10" s="632" customFormat="1" ht="12" hidden="1">
      <c r="C253" s="650"/>
      <c r="D253" s="651"/>
      <c r="E253" s="652"/>
      <c r="F253" s="665"/>
      <c r="G253" s="651"/>
      <c r="H253" s="654"/>
      <c r="I253" s="655"/>
      <c r="J253" s="642"/>
    </row>
    <row r="254" spans="3:10" s="632" customFormat="1" ht="12" hidden="1">
      <c r="C254" s="650"/>
      <c r="D254" s="651"/>
      <c r="E254" s="652"/>
      <c r="F254" s="665"/>
      <c r="G254" s="651"/>
      <c r="H254" s="654"/>
      <c r="I254" s="655"/>
      <c r="J254" s="642"/>
    </row>
    <row r="255" spans="3:10" s="632" customFormat="1" ht="12" hidden="1">
      <c r="C255" s="650"/>
      <c r="D255" s="651"/>
      <c r="E255" s="652"/>
      <c r="F255" s="665"/>
      <c r="G255" s="651"/>
      <c r="H255" s="654"/>
      <c r="I255" s="655"/>
      <c r="J255" s="642"/>
    </row>
    <row r="256" spans="3:11" s="632" customFormat="1" ht="12">
      <c r="C256" s="666"/>
      <c r="D256" s="651"/>
      <c r="E256" s="652"/>
      <c r="F256" s="665"/>
      <c r="G256" s="656">
        <f>SUM(G242:G255)</f>
        <v>6191</v>
      </c>
      <c r="H256" s="843">
        <f>SUM(H242:H255)</f>
        <v>14879</v>
      </c>
      <c r="I256" s="658">
        <f>H256/G256</f>
        <v>2.403327410757551</v>
      </c>
      <c r="J256" s="642"/>
      <c r="K256" s="845" t="s">
        <v>786</v>
      </c>
    </row>
    <row r="257" spans="3:11" s="632" customFormat="1" ht="12" hidden="1">
      <c r="C257" s="666"/>
      <c r="D257" s="651"/>
      <c r="E257" s="652"/>
      <c r="F257" s="665"/>
      <c r="G257" s="651"/>
      <c r="H257" s="652"/>
      <c r="I257" s="655"/>
      <c r="J257" s="642"/>
      <c r="K257" s="845"/>
    </row>
    <row r="258" spans="3:11" s="632" customFormat="1" ht="12">
      <c r="C258" s="644" t="s">
        <v>655</v>
      </c>
      <c r="D258" s="685"/>
      <c r="E258" s="643"/>
      <c r="F258" s="648"/>
      <c r="G258" s="685"/>
      <c r="H258" s="643"/>
      <c r="I258" s="648"/>
      <c r="J258" s="642"/>
      <c r="K258" s="845"/>
    </row>
    <row r="259" spans="3:11" s="632" customFormat="1" ht="12">
      <c r="C259" s="1204" t="s">
        <v>656</v>
      </c>
      <c r="D259" s="651"/>
      <c r="E259" s="652"/>
      <c r="F259" s="665"/>
      <c r="G259" s="651">
        <v>94302</v>
      </c>
      <c r="H259" s="1126">
        <v>6158</v>
      </c>
      <c r="I259" s="655">
        <f>H259/G259</f>
        <v>0.06530084197577994</v>
      </c>
      <c r="J259" s="1127" t="s">
        <v>1150</v>
      </c>
      <c r="K259" s="845"/>
    </row>
    <row r="260" spans="3:11" s="632" customFormat="1" ht="12">
      <c r="C260" s="1196" t="s">
        <v>1270</v>
      </c>
      <c r="D260" s="651"/>
      <c r="E260" s="652"/>
      <c r="F260" s="665"/>
      <c r="G260" s="651">
        <v>0</v>
      </c>
      <c r="H260" s="1126">
        <v>0</v>
      </c>
      <c r="I260" s="655"/>
      <c r="J260" s="1197" t="s">
        <v>1150</v>
      </c>
      <c r="K260" s="845"/>
    </row>
    <row r="261" spans="3:11" s="632" customFormat="1" ht="12">
      <c r="C261" s="1204" t="s">
        <v>1285</v>
      </c>
      <c r="D261" s="1129"/>
      <c r="E261" s="1130"/>
      <c r="F261" s="1217"/>
      <c r="G261" s="1129">
        <v>0</v>
      </c>
      <c r="H261" s="1126">
        <v>7183</v>
      </c>
      <c r="I261" s="655"/>
      <c r="J261" s="1127"/>
      <c r="K261" s="845"/>
    </row>
    <row r="262" spans="3:11" s="632" customFormat="1" ht="12" hidden="1">
      <c r="C262" s="650"/>
      <c r="D262" s="651"/>
      <c r="E262" s="652"/>
      <c r="F262" s="665"/>
      <c r="G262" s="651"/>
      <c r="H262" s="654"/>
      <c r="I262" s="655"/>
      <c r="J262" s="642"/>
      <c r="K262" s="845"/>
    </row>
    <row r="263" spans="3:11" s="632" customFormat="1" ht="12" hidden="1">
      <c r="C263" s="650"/>
      <c r="D263" s="651"/>
      <c r="E263" s="652"/>
      <c r="F263" s="665"/>
      <c r="G263" s="651"/>
      <c r="H263" s="654"/>
      <c r="I263" s="655"/>
      <c r="J263" s="642"/>
      <c r="K263" s="845"/>
    </row>
    <row r="264" spans="3:11" s="632" customFormat="1" ht="12" hidden="1">
      <c r="C264" s="650"/>
      <c r="D264" s="651"/>
      <c r="E264" s="652"/>
      <c r="F264" s="665"/>
      <c r="G264" s="651"/>
      <c r="H264" s="654"/>
      <c r="I264" s="655"/>
      <c r="J264" s="642"/>
      <c r="K264" s="845"/>
    </row>
    <row r="265" spans="3:11" s="632" customFormat="1" ht="12">
      <c r="C265" s="666"/>
      <c r="D265" s="651"/>
      <c r="E265" s="652"/>
      <c r="F265" s="665"/>
      <c r="G265" s="656">
        <f>SUM(G259:G264)</f>
        <v>94302</v>
      </c>
      <c r="H265" s="843">
        <f>SUM(H259:H264)</f>
        <v>13341</v>
      </c>
      <c r="I265" s="658">
        <f>H265/G265</f>
        <v>0.14147101864223452</v>
      </c>
      <c r="J265" s="642"/>
      <c r="K265" s="845" t="s">
        <v>1144</v>
      </c>
    </row>
    <row r="266" spans="3:11" s="632" customFormat="1" ht="12" hidden="1">
      <c r="C266" s="666"/>
      <c r="D266" s="651"/>
      <c r="E266" s="652"/>
      <c r="F266" s="665"/>
      <c r="G266" s="651"/>
      <c r="H266" s="652"/>
      <c r="I266" s="655"/>
      <c r="J266" s="642"/>
      <c r="K266" s="845"/>
    </row>
    <row r="267" spans="3:11" s="632" customFormat="1" ht="12">
      <c r="C267" s="644" t="s">
        <v>657</v>
      </c>
      <c r="D267" s="685"/>
      <c r="E267" s="643"/>
      <c r="F267" s="648"/>
      <c r="G267" s="685"/>
      <c r="H267" s="643"/>
      <c r="I267" s="648"/>
      <c r="J267" s="642"/>
      <c r="K267" s="845"/>
    </row>
    <row r="268" spans="3:11" s="632" customFormat="1" ht="12">
      <c r="C268" s="650" t="s">
        <v>1286</v>
      </c>
      <c r="D268" s="651"/>
      <c r="E268" s="652"/>
      <c r="F268" s="665"/>
      <c r="G268" s="651">
        <v>110549</v>
      </c>
      <c r="H268" s="1126">
        <v>668</v>
      </c>
      <c r="I268" s="655">
        <f>H268/G268</f>
        <v>0.006042569358384065</v>
      </c>
      <c r="J268" s="1127"/>
      <c r="K268" s="845"/>
    </row>
    <row r="269" spans="3:11" s="632" customFormat="1" ht="12">
      <c r="C269" s="650" t="s">
        <v>658</v>
      </c>
      <c r="D269" s="651"/>
      <c r="E269" s="652"/>
      <c r="F269" s="665"/>
      <c r="G269" s="651">
        <v>3377</v>
      </c>
      <c r="H269" s="654">
        <v>0</v>
      </c>
      <c r="I269" s="655">
        <f>H269/G269</f>
        <v>0</v>
      </c>
      <c r="J269" s="642"/>
      <c r="K269" s="845"/>
    </row>
    <row r="270" spans="3:11" s="632" customFormat="1" ht="12">
      <c r="C270" s="650" t="s">
        <v>760</v>
      </c>
      <c r="D270" s="651"/>
      <c r="E270" s="652"/>
      <c r="F270" s="665"/>
      <c r="G270" s="651">
        <v>0</v>
      </c>
      <c r="H270" s="1126">
        <f>2733-2733</f>
        <v>0</v>
      </c>
      <c r="I270" s="655">
        <v>0</v>
      </c>
      <c r="J270" s="1218" t="s">
        <v>1150</v>
      </c>
      <c r="K270" s="845"/>
    </row>
    <row r="271" spans="3:11" s="632" customFormat="1" ht="12">
      <c r="C271" s="650" t="s">
        <v>624</v>
      </c>
      <c r="D271" s="651"/>
      <c r="E271" s="667"/>
      <c r="F271" s="665"/>
      <c r="G271" s="654">
        <v>3042</v>
      </c>
      <c r="H271" s="654">
        <v>5369</v>
      </c>
      <c r="I271" s="655">
        <f>H271/G271</f>
        <v>1.764957264957265</v>
      </c>
      <c r="J271" s="642" t="s">
        <v>1150</v>
      </c>
      <c r="K271" s="845"/>
    </row>
    <row r="272" spans="3:11" s="632" customFormat="1" ht="12">
      <c r="C272" s="650" t="s">
        <v>625</v>
      </c>
      <c r="D272" s="651"/>
      <c r="E272" s="667"/>
      <c r="F272" s="665"/>
      <c r="G272" s="651">
        <v>0</v>
      </c>
      <c r="H272" s="654">
        <v>1800</v>
      </c>
      <c r="I272" s="655">
        <v>0</v>
      </c>
      <c r="J272" s="642" t="s">
        <v>1150</v>
      </c>
      <c r="K272" s="845"/>
    </row>
    <row r="273" spans="3:11" s="632" customFormat="1" ht="12">
      <c r="C273" s="1200" t="s">
        <v>626</v>
      </c>
      <c r="D273" s="651"/>
      <c r="E273" s="654"/>
      <c r="F273" s="665"/>
      <c r="G273" s="651">
        <v>0</v>
      </c>
      <c r="H273" s="1191">
        <f>21313+3085</f>
        <v>24398</v>
      </c>
      <c r="I273" s="655">
        <v>0</v>
      </c>
      <c r="J273" s="642" t="s">
        <v>1150</v>
      </c>
      <c r="K273" s="845"/>
    </row>
    <row r="274" spans="3:11" s="632" customFormat="1" ht="12">
      <c r="C274" s="650" t="s">
        <v>981</v>
      </c>
      <c r="D274" s="651"/>
      <c r="E274" s="652"/>
      <c r="F274" s="665"/>
      <c r="G274" s="651">
        <v>0</v>
      </c>
      <c r="H274" s="654">
        <v>19992</v>
      </c>
      <c r="I274" s="655">
        <v>0</v>
      </c>
      <c r="J274" s="642" t="s">
        <v>1150</v>
      </c>
      <c r="K274" s="845"/>
    </row>
    <row r="275" spans="3:11" s="632" customFormat="1" ht="12">
      <c r="C275" s="1243" t="s">
        <v>1360</v>
      </c>
      <c r="D275" s="651"/>
      <c r="E275" s="652"/>
      <c r="F275" s="665"/>
      <c r="G275" s="651"/>
      <c r="H275" s="1244">
        <v>3050</v>
      </c>
      <c r="I275" s="655"/>
      <c r="J275" s="642"/>
      <c r="K275" s="845"/>
    </row>
    <row r="276" spans="3:11" s="632" customFormat="1" ht="12">
      <c r="C276" s="1243" t="s">
        <v>1361</v>
      </c>
      <c r="D276" s="651"/>
      <c r="E276" s="652"/>
      <c r="F276" s="665"/>
      <c r="G276" s="651"/>
      <c r="H276" s="1244">
        <v>4025</v>
      </c>
      <c r="I276" s="655"/>
      <c r="J276" s="642"/>
      <c r="K276" s="845"/>
    </row>
    <row r="277" spans="3:11" s="632" customFormat="1" ht="12">
      <c r="C277" s="1196" t="s">
        <v>1259</v>
      </c>
      <c r="D277" s="651"/>
      <c r="E277" s="652"/>
      <c r="F277" s="665"/>
      <c r="G277" s="651"/>
      <c r="H277" s="1191">
        <v>2654</v>
      </c>
      <c r="I277" s="655"/>
      <c r="J277" s="1197" t="s">
        <v>1150</v>
      </c>
      <c r="K277" s="845"/>
    </row>
    <row r="278" spans="3:11" s="632" customFormat="1" ht="12">
      <c r="C278" s="666"/>
      <c r="D278" s="651"/>
      <c r="E278" s="652"/>
      <c r="F278" s="665"/>
      <c r="G278" s="656">
        <f>SUM(G268:G274)</f>
        <v>116968</v>
      </c>
      <c r="H278" s="843">
        <f>SUM(H268:H277)</f>
        <v>61956</v>
      </c>
      <c r="I278" s="658">
        <f>H278/G278</f>
        <v>0.5296833321934205</v>
      </c>
      <c r="J278" s="642"/>
      <c r="K278" s="845" t="s">
        <v>1145</v>
      </c>
    </row>
    <row r="279" spans="2:11" s="632" customFormat="1" ht="12">
      <c r="B279" s="644" t="s">
        <v>659</v>
      </c>
      <c r="C279" s="645" t="s">
        <v>780</v>
      </c>
      <c r="D279" s="646"/>
      <c r="E279" s="643"/>
      <c r="F279" s="647"/>
      <c r="G279" s="646"/>
      <c r="H279" s="643"/>
      <c r="I279" s="648"/>
      <c r="J279" s="642"/>
      <c r="K279" s="845"/>
    </row>
    <row r="280" spans="3:11" s="632" customFormat="1" ht="12" hidden="1">
      <c r="C280" s="645"/>
      <c r="D280" s="646"/>
      <c r="E280" s="643"/>
      <c r="F280" s="647"/>
      <c r="G280" s="646"/>
      <c r="H280" s="643"/>
      <c r="I280" s="648"/>
      <c r="J280" s="642"/>
      <c r="K280" s="845"/>
    </row>
    <row r="281" spans="2:11" s="632" customFormat="1" ht="12">
      <c r="B281" s="637"/>
      <c r="C281" s="650" t="s">
        <v>661</v>
      </c>
      <c r="D281" s="654">
        <v>1000</v>
      </c>
      <c r="E281" s="654">
        <v>1000</v>
      </c>
      <c r="F281" s="665">
        <f aca="true" t="shared" si="5" ref="F281:F286">E281/D281</f>
        <v>1</v>
      </c>
      <c r="G281" s="651"/>
      <c r="H281" s="654"/>
      <c r="I281" s="655"/>
      <c r="J281" s="642" t="s">
        <v>1150</v>
      </c>
      <c r="K281" s="845"/>
    </row>
    <row r="282" spans="3:11" s="632" customFormat="1" ht="12">
      <c r="C282" s="650" t="s">
        <v>662</v>
      </c>
      <c r="D282" s="654">
        <v>2500</v>
      </c>
      <c r="E282" s="654">
        <v>2500</v>
      </c>
      <c r="F282" s="665">
        <f t="shared" si="5"/>
        <v>1</v>
      </c>
      <c r="G282" s="651"/>
      <c r="H282" s="654"/>
      <c r="I282" s="655"/>
      <c r="J282" s="642" t="s">
        <v>1150</v>
      </c>
      <c r="K282" s="845"/>
    </row>
    <row r="283" spans="3:11" s="632" customFormat="1" ht="12">
      <c r="C283" s="659" t="s">
        <v>663</v>
      </c>
      <c r="D283" s="654">
        <v>2000</v>
      </c>
      <c r="E283" s="654">
        <v>0</v>
      </c>
      <c r="F283" s="665">
        <f t="shared" si="5"/>
        <v>0</v>
      </c>
      <c r="G283" s="651"/>
      <c r="H283" s="654"/>
      <c r="I283" s="655"/>
      <c r="J283" s="642"/>
      <c r="K283" s="845"/>
    </row>
    <row r="284" spans="3:11" s="632" customFormat="1" ht="12">
      <c r="C284" s="659" t="s">
        <v>664</v>
      </c>
      <c r="D284" s="654">
        <v>370240</v>
      </c>
      <c r="E284" s="654">
        <v>0</v>
      </c>
      <c r="F284" s="665">
        <f t="shared" si="5"/>
        <v>0</v>
      </c>
      <c r="G284" s="651"/>
      <c r="H284" s="654"/>
      <c r="I284" s="655"/>
      <c r="J284" s="642"/>
      <c r="K284" s="845"/>
    </row>
    <row r="285" spans="3:11" s="632" customFormat="1" ht="12">
      <c r="C285" s="650" t="s">
        <v>665</v>
      </c>
      <c r="D285" s="654">
        <v>1000</v>
      </c>
      <c r="E285" s="654">
        <v>1000</v>
      </c>
      <c r="F285" s="665">
        <f t="shared" si="5"/>
        <v>1</v>
      </c>
      <c r="G285" s="651"/>
      <c r="H285" s="654"/>
      <c r="I285" s="655"/>
      <c r="J285" s="642" t="s">
        <v>1149</v>
      </c>
      <c r="K285" s="845"/>
    </row>
    <row r="286" spans="3:11" s="632" customFormat="1" ht="12">
      <c r="C286" s="659" t="s">
        <v>666</v>
      </c>
      <c r="D286" s="654">
        <v>14212</v>
      </c>
      <c r="E286" s="654">
        <v>0</v>
      </c>
      <c r="F286" s="665">
        <f t="shared" si="5"/>
        <v>0</v>
      </c>
      <c r="G286" s="651"/>
      <c r="H286" s="654"/>
      <c r="I286" s="655"/>
      <c r="J286" s="642"/>
      <c r="K286" s="845"/>
    </row>
    <row r="287" spans="3:11" s="632" customFormat="1" ht="12" hidden="1">
      <c r="C287" s="659"/>
      <c r="D287" s="651"/>
      <c r="E287" s="654"/>
      <c r="F287" s="665"/>
      <c r="G287" s="651"/>
      <c r="H287" s="654"/>
      <c r="I287" s="655"/>
      <c r="J287" s="642"/>
      <c r="K287" s="845"/>
    </row>
    <row r="288" spans="3:11" s="632" customFormat="1" ht="12" hidden="1">
      <c r="C288" s="659"/>
      <c r="D288" s="651"/>
      <c r="E288" s="654"/>
      <c r="F288" s="665"/>
      <c r="G288" s="651"/>
      <c r="H288" s="654"/>
      <c r="I288" s="655"/>
      <c r="J288" s="642"/>
      <c r="K288" s="845"/>
    </row>
    <row r="289" spans="3:11" s="632" customFormat="1" ht="12">
      <c r="C289" s="650"/>
      <c r="D289" s="651"/>
      <c r="E289" s="654"/>
      <c r="F289" s="665"/>
      <c r="G289" s="654"/>
      <c r="H289" s="654"/>
      <c r="I289" s="655"/>
      <c r="J289" s="642"/>
      <c r="K289" s="845"/>
    </row>
    <row r="290" spans="3:11" s="632" customFormat="1" ht="12">
      <c r="C290" s="650" t="s">
        <v>667</v>
      </c>
      <c r="D290" s="651"/>
      <c r="E290" s="654"/>
      <c r="F290" s="665"/>
      <c r="G290" s="654">
        <v>1000</v>
      </c>
      <c r="H290" s="1126">
        <f>1000-1000</f>
        <v>0</v>
      </c>
      <c r="I290" s="655">
        <f>H290/G290</f>
        <v>0</v>
      </c>
      <c r="J290" s="1127" t="s">
        <v>1150</v>
      </c>
      <c r="K290" s="845"/>
    </row>
    <row r="291" spans="3:11" s="632" customFormat="1" ht="12">
      <c r="C291" s="650" t="s">
        <v>668</v>
      </c>
      <c r="D291" s="651"/>
      <c r="E291" s="654"/>
      <c r="F291" s="665"/>
      <c r="G291" s="654">
        <v>97452</v>
      </c>
      <c r="H291" s="654">
        <v>0</v>
      </c>
      <c r="I291" s="655">
        <f>H291/G291</f>
        <v>0</v>
      </c>
      <c r="J291" s="642"/>
      <c r="K291" s="845"/>
    </row>
    <row r="292" spans="3:11" s="632" customFormat="1" ht="12.75" thickBot="1">
      <c r="C292" s="650" t="s">
        <v>669</v>
      </c>
      <c r="D292" s="651"/>
      <c r="E292" s="654"/>
      <c r="F292" s="665"/>
      <c r="G292" s="651">
        <v>0</v>
      </c>
      <c r="H292" s="654">
        <v>94830</v>
      </c>
      <c r="I292" s="655">
        <v>0</v>
      </c>
      <c r="J292" s="642" t="s">
        <v>1150</v>
      </c>
      <c r="K292" s="845"/>
    </row>
    <row r="293" spans="3:11" s="632" customFormat="1" ht="12.75" thickBot="1">
      <c r="C293" s="1196" t="s">
        <v>1257</v>
      </c>
      <c r="D293" s="651"/>
      <c r="E293" s="654"/>
      <c r="F293" s="665"/>
      <c r="G293" s="651"/>
      <c r="H293" s="1126">
        <f>119+254</f>
        <v>373</v>
      </c>
      <c r="I293" s="1201"/>
      <c r="J293" s="1202" t="s">
        <v>1150</v>
      </c>
      <c r="K293" s="845"/>
    </row>
    <row r="294" spans="3:11" s="632" customFormat="1" ht="12">
      <c r="C294" s="1243" t="s">
        <v>1352</v>
      </c>
      <c r="D294" s="651"/>
      <c r="E294" s="654"/>
      <c r="F294" s="665"/>
      <c r="G294" s="651"/>
      <c r="H294" s="1244">
        <v>13078</v>
      </c>
      <c r="I294" s="1201"/>
      <c r="J294" s="1254"/>
      <c r="K294" s="845"/>
    </row>
    <row r="295" spans="3:11" s="637" customFormat="1" ht="12">
      <c r="C295" s="666"/>
      <c r="D295" s="656">
        <f>SUM(D281:D292)</f>
        <v>390952</v>
      </c>
      <c r="E295" s="843">
        <f>SUM(E281:E292)</f>
        <v>4500</v>
      </c>
      <c r="F295" s="668">
        <f>E295/D295</f>
        <v>0.011510364443716876</v>
      </c>
      <c r="G295" s="656">
        <f>SUM(G281:G292)</f>
        <v>98452</v>
      </c>
      <c r="H295" s="843">
        <f>SUM(H281:H294)</f>
        <v>108281</v>
      </c>
      <c r="I295" s="658">
        <f>H295/G295</f>
        <v>1.099835452809491</v>
      </c>
      <c r="J295" s="669" t="s">
        <v>1146</v>
      </c>
      <c r="K295" s="845" t="s">
        <v>1147</v>
      </c>
    </row>
    <row r="296" spans="2:11" s="672" customFormat="1" ht="12">
      <c r="B296" s="637"/>
      <c r="C296" s="842" t="s">
        <v>660</v>
      </c>
      <c r="D296" s="673">
        <f>D295</f>
        <v>390952</v>
      </c>
      <c r="E296" s="673">
        <f>E295</f>
        <v>4500</v>
      </c>
      <c r="F296" s="674">
        <f>E296/D296</f>
        <v>0.011510364443716876</v>
      </c>
      <c r="G296" s="647"/>
      <c r="H296" s="647"/>
      <c r="I296" s="648"/>
      <c r="J296" s="641"/>
      <c r="K296" s="845"/>
    </row>
    <row r="297" spans="2:11" s="672" customFormat="1" ht="12" hidden="1">
      <c r="B297" s="637"/>
      <c r="C297" s="688"/>
      <c r="D297" s="689"/>
      <c r="E297" s="689"/>
      <c r="F297" s="690"/>
      <c r="G297" s="647"/>
      <c r="H297" s="647"/>
      <c r="I297" s="648"/>
      <c r="J297" s="641"/>
      <c r="K297" s="845"/>
    </row>
    <row r="298" spans="2:11" s="637" customFormat="1" ht="12">
      <c r="B298" s="644" t="s">
        <v>670</v>
      </c>
      <c r="C298" s="645" t="s">
        <v>671</v>
      </c>
      <c r="D298" s="646"/>
      <c r="E298" s="643"/>
      <c r="F298" s="647"/>
      <c r="G298" s="646"/>
      <c r="H298" s="643"/>
      <c r="I298" s="648"/>
      <c r="J298" s="642"/>
      <c r="K298" s="845"/>
    </row>
    <row r="299" spans="2:11" s="637" customFormat="1" ht="12">
      <c r="B299" s="632"/>
      <c r="C299" s="650" t="s">
        <v>672</v>
      </c>
      <c r="D299" s="651">
        <v>6000</v>
      </c>
      <c r="E299" s="654">
        <v>4000</v>
      </c>
      <c r="F299" s="665">
        <f>E299/D299</f>
        <v>0.6666666666666666</v>
      </c>
      <c r="G299" s="651"/>
      <c r="H299" s="654"/>
      <c r="I299" s="655"/>
      <c r="J299" s="642" t="s">
        <v>1149</v>
      </c>
      <c r="K299" s="845"/>
    </row>
    <row r="300" spans="3:11" s="632" customFormat="1" ht="12">
      <c r="C300" s="650" t="s">
        <v>673</v>
      </c>
      <c r="D300" s="651">
        <v>2000</v>
      </c>
      <c r="E300" s="654">
        <v>2000</v>
      </c>
      <c r="F300" s="665">
        <f>E300/D300</f>
        <v>1</v>
      </c>
      <c r="G300" s="656"/>
      <c r="H300" s="652"/>
      <c r="I300" s="655"/>
      <c r="J300" s="642" t="s">
        <v>1149</v>
      </c>
      <c r="K300" s="845"/>
    </row>
    <row r="301" spans="3:11" s="632" customFormat="1" ht="12">
      <c r="C301" s="650" t="s">
        <v>674</v>
      </c>
      <c r="D301" s="651">
        <v>542753</v>
      </c>
      <c r="E301" s="654">
        <v>0</v>
      </c>
      <c r="F301" s="665">
        <f>E301/D301</f>
        <v>0</v>
      </c>
      <c r="G301" s="656"/>
      <c r="H301" s="652"/>
      <c r="I301" s="655"/>
      <c r="J301" s="642"/>
      <c r="K301" s="845"/>
    </row>
    <row r="302" spans="3:11" s="632" customFormat="1" ht="12" hidden="1">
      <c r="C302" s="650"/>
      <c r="D302" s="651"/>
      <c r="E302" s="654"/>
      <c r="F302" s="665"/>
      <c r="G302" s="656"/>
      <c r="H302" s="652"/>
      <c r="I302" s="655"/>
      <c r="J302" s="642"/>
      <c r="K302" s="845"/>
    </row>
    <row r="303" spans="3:11" s="632" customFormat="1" ht="12" hidden="1">
      <c r="C303" s="650"/>
      <c r="D303" s="651"/>
      <c r="E303" s="654"/>
      <c r="F303" s="665"/>
      <c r="G303" s="656"/>
      <c r="H303" s="652"/>
      <c r="I303" s="655"/>
      <c r="J303" s="642"/>
      <c r="K303" s="845"/>
    </row>
    <row r="304" spans="3:11" s="632" customFormat="1" ht="12" hidden="1">
      <c r="C304" s="650"/>
      <c r="D304" s="651"/>
      <c r="E304" s="654"/>
      <c r="F304" s="665"/>
      <c r="G304" s="656"/>
      <c r="H304" s="652"/>
      <c r="I304" s="655"/>
      <c r="J304" s="642"/>
      <c r="K304" s="845"/>
    </row>
    <row r="305" spans="3:11" s="632" customFormat="1" ht="12" hidden="1">
      <c r="C305" s="650"/>
      <c r="D305" s="651"/>
      <c r="E305" s="654"/>
      <c r="F305" s="665"/>
      <c r="G305" s="656"/>
      <c r="H305" s="652"/>
      <c r="I305" s="655"/>
      <c r="J305" s="642"/>
      <c r="K305" s="845"/>
    </row>
    <row r="306" spans="3:11" s="632" customFormat="1" ht="12" hidden="1">
      <c r="C306" s="650"/>
      <c r="D306" s="651"/>
      <c r="E306" s="654"/>
      <c r="F306" s="665"/>
      <c r="G306" s="656"/>
      <c r="H306" s="652"/>
      <c r="I306" s="655"/>
      <c r="J306" s="642"/>
      <c r="K306" s="845"/>
    </row>
    <row r="307" spans="3:11" s="632" customFormat="1" ht="12">
      <c r="C307" s="650"/>
      <c r="D307" s="651"/>
      <c r="E307" s="654"/>
      <c r="F307" s="665"/>
      <c r="G307" s="651"/>
      <c r="H307" s="654"/>
      <c r="I307" s="655"/>
      <c r="J307" s="642"/>
      <c r="K307" s="845"/>
    </row>
    <row r="308" spans="3:11" s="632" customFormat="1" ht="12" hidden="1">
      <c r="C308" s="650"/>
      <c r="D308" s="651"/>
      <c r="E308" s="654"/>
      <c r="F308" s="665"/>
      <c r="G308" s="651"/>
      <c r="H308" s="652"/>
      <c r="I308" s="655"/>
      <c r="J308" s="642"/>
      <c r="K308" s="845"/>
    </row>
    <row r="309" spans="3:11" s="632" customFormat="1" ht="12" hidden="1">
      <c r="C309" s="650"/>
      <c r="D309" s="651"/>
      <c r="E309" s="654"/>
      <c r="F309" s="665"/>
      <c r="G309" s="651"/>
      <c r="H309" s="652"/>
      <c r="I309" s="655"/>
      <c r="J309" s="642"/>
      <c r="K309" s="845"/>
    </row>
    <row r="310" spans="3:11" s="632" customFormat="1" ht="12" hidden="1">
      <c r="C310" s="650"/>
      <c r="D310" s="651"/>
      <c r="E310" s="654"/>
      <c r="F310" s="665"/>
      <c r="G310" s="651"/>
      <c r="H310" s="652"/>
      <c r="I310" s="655"/>
      <c r="J310" s="642"/>
      <c r="K310" s="845"/>
    </row>
    <row r="311" spans="3:11" s="632" customFormat="1" ht="12" hidden="1">
      <c r="C311" s="650"/>
      <c r="D311" s="651"/>
      <c r="E311" s="652"/>
      <c r="F311" s="665"/>
      <c r="G311" s="651"/>
      <c r="H311" s="652"/>
      <c r="I311" s="655"/>
      <c r="J311" s="642"/>
      <c r="K311" s="845"/>
    </row>
    <row r="312" spans="3:11" s="632" customFormat="1" ht="12" hidden="1">
      <c r="C312" s="650"/>
      <c r="D312" s="651"/>
      <c r="E312" s="652"/>
      <c r="F312" s="665"/>
      <c r="G312" s="651"/>
      <c r="H312" s="652"/>
      <c r="I312" s="655"/>
      <c r="J312" s="642"/>
      <c r="K312" s="845"/>
    </row>
    <row r="313" spans="3:11" s="632" customFormat="1" ht="12">
      <c r="C313" s="650"/>
      <c r="D313" s="656">
        <f>SUM(D299:D312)</f>
        <v>550753</v>
      </c>
      <c r="E313" s="843">
        <f>SUM(E299:E312)</f>
        <v>6000</v>
      </c>
      <c r="F313" s="668">
        <f>E313/D313</f>
        <v>0.010894175792051972</v>
      </c>
      <c r="G313" s="656">
        <f>SUM(G299:G312)</f>
        <v>0</v>
      </c>
      <c r="H313" s="657">
        <f>SUM(H299:H312)</f>
        <v>0</v>
      </c>
      <c r="I313" s="658">
        <v>0</v>
      </c>
      <c r="J313" s="669" t="s">
        <v>1148</v>
      </c>
      <c r="K313" s="845"/>
    </row>
    <row r="314" spans="2:11" s="672" customFormat="1" ht="12">
      <c r="B314" s="637"/>
      <c r="C314" s="842" t="s">
        <v>675</v>
      </c>
      <c r="D314" s="673">
        <f>D313</f>
        <v>550753</v>
      </c>
      <c r="E314" s="673">
        <f>E313</f>
        <v>6000</v>
      </c>
      <c r="F314" s="674">
        <f>E314/D314</f>
        <v>0.010894175792051972</v>
      </c>
      <c r="G314" s="647"/>
      <c r="H314" s="647"/>
      <c r="I314" s="648"/>
      <c r="J314" s="641"/>
      <c r="K314" s="845"/>
    </row>
    <row r="315" spans="2:10" s="672" customFormat="1" ht="12.75" thickBot="1">
      <c r="B315" s="637"/>
      <c r="C315" s="688"/>
      <c r="D315" s="689"/>
      <c r="E315" s="689"/>
      <c r="F315" s="690"/>
      <c r="G315" s="647"/>
      <c r="H315" s="647"/>
      <c r="I315" s="648"/>
      <c r="J315" s="641"/>
    </row>
    <row r="316" spans="3:11" s="632" customFormat="1" ht="12.75" thickBot="1">
      <c r="C316" s="691" t="s">
        <v>676</v>
      </c>
      <c r="D316" s="692">
        <f>D313+D295+D239+D136+D130+D114+D104+D94+D85</f>
        <v>3407036</v>
      </c>
      <c r="E316" s="692">
        <f>E313+E295+E239+E136+E130+E114+E104+E94+E85+E175</f>
        <v>2109928</v>
      </c>
      <c r="F316" s="693">
        <f>E316/D316</f>
        <v>0.6192855021197311</v>
      </c>
      <c r="G316" s="692">
        <f>G318+G313+G295+G278+G265+G256+G239+G182+G175+G154+G148+G136+G130+G69+G44+G25</f>
        <v>6040437</v>
      </c>
      <c r="H316" s="692">
        <f>H318+H313+H295+H278+H265+H256+H239+H182+H175+H154+H148+H136+H130+H69+H44+H25</f>
        <v>5631971</v>
      </c>
      <c r="I316" s="693">
        <f>H316/G316</f>
        <v>0.932378071321661</v>
      </c>
      <c r="J316" s="642"/>
      <c r="K316" s="639">
        <f>E316+H316</f>
        <v>7741899</v>
      </c>
    </row>
    <row r="317" spans="2:10" s="672" customFormat="1" ht="12">
      <c r="B317" s="637"/>
      <c r="C317" s="688"/>
      <c r="D317" s="689"/>
      <c r="E317" s="689"/>
      <c r="F317" s="690"/>
      <c r="G317" s="647"/>
      <c r="H317" s="647"/>
      <c r="I317" s="648"/>
      <c r="J317" s="641"/>
    </row>
    <row r="318" spans="3:10" s="637" customFormat="1" ht="12">
      <c r="C318" s="683" t="s">
        <v>677</v>
      </c>
      <c r="D318" s="657">
        <v>250246</v>
      </c>
      <c r="E318" s="657">
        <v>0</v>
      </c>
      <c r="F318" s="665">
        <f>E318/D318</f>
        <v>0</v>
      </c>
      <c r="G318" s="656"/>
      <c r="H318" s="657"/>
      <c r="I318" s="655"/>
      <c r="J318" s="642"/>
    </row>
    <row r="319" spans="3:10" s="637" customFormat="1" ht="12">
      <c r="C319" s="694" t="s">
        <v>678</v>
      </c>
      <c r="D319" s="657">
        <v>179114</v>
      </c>
      <c r="E319" s="843">
        <v>0</v>
      </c>
      <c r="F319" s="665">
        <f>E319/D319</f>
        <v>0</v>
      </c>
      <c r="G319" s="656"/>
      <c r="H319" s="847"/>
      <c r="I319" s="655"/>
      <c r="J319" s="642"/>
    </row>
    <row r="320" spans="3:10" s="637" customFormat="1" ht="12.75" thickBot="1">
      <c r="C320" s="694"/>
      <c r="D320" s="657"/>
      <c r="E320" s="657"/>
      <c r="F320" s="665"/>
      <c r="G320" s="656"/>
      <c r="H320" s="667"/>
      <c r="I320" s="655"/>
      <c r="J320" s="642"/>
    </row>
    <row r="321" spans="3:10" s="632" customFormat="1" ht="12.75" hidden="1" thickBot="1">
      <c r="C321" s="666"/>
      <c r="D321" s="656"/>
      <c r="E321" s="652"/>
      <c r="F321" s="665"/>
      <c r="G321" s="656"/>
      <c r="H321" s="652"/>
      <c r="I321" s="658"/>
      <c r="J321" s="642"/>
    </row>
    <row r="322" spans="3:10" s="637" customFormat="1" ht="12.75" hidden="1" thickBot="1">
      <c r="C322" s="694" t="s">
        <v>679</v>
      </c>
      <c r="D322" s="656"/>
      <c r="E322" s="652"/>
      <c r="F322" s="665"/>
      <c r="G322" s="656"/>
      <c r="H322" s="652"/>
      <c r="I322" s="658"/>
      <c r="J322" s="642"/>
    </row>
    <row r="323" spans="3:10" s="632" customFormat="1" ht="12.75" hidden="1" thickBot="1">
      <c r="C323" s="666"/>
      <c r="D323" s="656"/>
      <c r="E323" s="652"/>
      <c r="F323" s="665"/>
      <c r="G323" s="656"/>
      <c r="H323" s="652"/>
      <c r="I323" s="655"/>
      <c r="J323" s="642"/>
    </row>
    <row r="324" spans="3:10" s="637" customFormat="1" ht="12.75" hidden="1" thickBot="1">
      <c r="C324" s="694" t="s">
        <v>680</v>
      </c>
      <c r="D324" s="656" t="e">
        <f>#REF!+D332</f>
        <v>#REF!</v>
      </c>
      <c r="E324" s="657" t="e">
        <f>#REF!+E332</f>
        <v>#REF!</v>
      </c>
      <c r="F324" s="668" t="e">
        <f>E324/D324</f>
        <v>#REF!</v>
      </c>
      <c r="G324" s="656" t="e">
        <f>#REF!+G332</f>
        <v>#REF!</v>
      </c>
      <c r="H324" s="657" t="e">
        <f>#REF!+H332</f>
        <v>#REF!</v>
      </c>
      <c r="I324" s="658" t="e">
        <f>H324/G324</f>
        <v>#REF!</v>
      </c>
      <c r="J324" s="642"/>
    </row>
    <row r="325" spans="3:10" s="632" customFormat="1" ht="12.75" hidden="1" thickBot="1">
      <c r="C325" s="694" t="s">
        <v>681</v>
      </c>
      <c r="D325" s="656"/>
      <c r="E325" s="652"/>
      <c r="F325" s="665"/>
      <c r="G325" s="656"/>
      <c r="H325" s="652"/>
      <c r="I325" s="655"/>
      <c r="J325" s="642"/>
    </row>
    <row r="326" spans="3:10" s="632" customFormat="1" ht="12.75" hidden="1" thickBot="1">
      <c r="C326" s="666" t="s">
        <v>682</v>
      </c>
      <c r="D326" s="656"/>
      <c r="E326" s="652"/>
      <c r="F326" s="665"/>
      <c r="G326" s="656"/>
      <c r="H326" s="652"/>
      <c r="I326" s="655"/>
      <c r="J326" s="642"/>
    </row>
    <row r="327" spans="3:10" s="632" customFormat="1" ht="12.75" hidden="1" thickBot="1">
      <c r="C327" s="666" t="s">
        <v>683</v>
      </c>
      <c r="D327" s="656"/>
      <c r="E327" s="652"/>
      <c r="F327" s="665"/>
      <c r="G327" s="656"/>
      <c r="H327" s="652"/>
      <c r="I327" s="655"/>
      <c r="J327" s="642"/>
    </row>
    <row r="328" spans="3:10" s="632" customFormat="1" ht="12.75" hidden="1" thickBot="1">
      <c r="C328" s="666"/>
      <c r="D328" s="656"/>
      <c r="E328" s="652"/>
      <c r="F328" s="665"/>
      <c r="G328" s="656"/>
      <c r="H328" s="652"/>
      <c r="I328" s="655"/>
      <c r="J328" s="642"/>
    </row>
    <row r="329" spans="3:10" s="632" customFormat="1" ht="12.75" hidden="1" thickBot="1">
      <c r="C329" s="666" t="s">
        <v>684</v>
      </c>
      <c r="D329" s="656" t="e">
        <f>SUM(D324:D328)</f>
        <v>#REF!</v>
      </c>
      <c r="E329" s="657" t="e">
        <f>SUM(E324:E328)</f>
        <v>#REF!</v>
      </c>
      <c r="F329" s="665" t="e">
        <f>E329/D329</f>
        <v>#REF!</v>
      </c>
      <c r="G329" s="656" t="e">
        <f>SUM(G324:G328)</f>
        <v>#REF!</v>
      </c>
      <c r="H329" s="657" t="e">
        <f>SUM(H324:H328)</f>
        <v>#REF!</v>
      </c>
      <c r="I329" s="655" t="e">
        <f>H329/G329</f>
        <v>#REF!</v>
      </c>
      <c r="J329" s="642"/>
    </row>
    <row r="330" spans="3:10" s="632" customFormat="1" ht="12.75" hidden="1" thickBot="1">
      <c r="C330" s="666"/>
      <c r="D330" s="656"/>
      <c r="E330" s="657"/>
      <c r="F330" s="665"/>
      <c r="G330" s="656"/>
      <c r="H330" s="657"/>
      <c r="I330" s="655"/>
      <c r="J330" s="642"/>
    </row>
    <row r="331" spans="3:10" s="632" customFormat="1" ht="12.75" hidden="1" thickBot="1">
      <c r="C331" s="695"/>
      <c r="D331" s="696"/>
      <c r="E331" s="697"/>
      <c r="F331" s="698"/>
      <c r="G331" s="699"/>
      <c r="H331" s="697"/>
      <c r="I331" s="700"/>
      <c r="J331" s="649"/>
    </row>
    <row r="332" spans="3:10" s="632" customFormat="1" ht="12.75" thickBot="1">
      <c r="C332" s="691" t="s">
        <v>685</v>
      </c>
      <c r="D332" s="692">
        <f>D313+D295+D239+D136+D130+D114+D104+D94+D85+D318+D319+D320</f>
        <v>3836396</v>
      </c>
      <c r="E332" s="692">
        <f>E313+E295+E239+E136+E130+E114+E104+E94+E85+E318+E319+E320+E175</f>
        <v>2109928</v>
      </c>
      <c r="F332" s="693">
        <f>E332/D332</f>
        <v>0.5499765926145268</v>
      </c>
      <c r="G332" s="692">
        <f>G318+G313+G295+G278+G265+G256+G239+G182+G175+G154+G148+G136+G130+G69+G44+G25</f>
        <v>6040437</v>
      </c>
      <c r="H332" s="692">
        <f>H318+H313+H295+H278+H265+H256+H239+H182+H175+H154+H148+H136+H130+H69+H44+H25</f>
        <v>5631971</v>
      </c>
      <c r="I332" s="693">
        <f>H332/G332</f>
        <v>0.932378071321661</v>
      </c>
      <c r="J332" s="642"/>
    </row>
    <row r="333" spans="2:10" s="632" customFormat="1" ht="12">
      <c r="B333" s="645"/>
      <c r="C333" s="645"/>
      <c r="D333" s="646"/>
      <c r="E333" s="701"/>
      <c r="F333" s="702"/>
      <c r="G333" s="646"/>
      <c r="I333" s="702"/>
      <c r="J333" s="649"/>
    </row>
    <row r="334" spans="3:10" s="632" customFormat="1" ht="12" hidden="1">
      <c r="C334" s="650" t="s">
        <v>686</v>
      </c>
      <c r="D334" s="651"/>
      <c r="E334" s="654"/>
      <c r="F334" s="665"/>
      <c r="G334" s="651"/>
      <c r="H334" s="654"/>
      <c r="I334" s="655"/>
      <c r="J334" s="642"/>
    </row>
    <row r="335" spans="3:10" s="632" customFormat="1" ht="12">
      <c r="C335" s="650" t="s">
        <v>687</v>
      </c>
      <c r="D335" s="651"/>
      <c r="E335" s="654"/>
      <c r="F335" s="665"/>
      <c r="G335" s="654">
        <v>2199220</v>
      </c>
      <c r="H335" s="654">
        <v>2659852</v>
      </c>
      <c r="I335" s="655">
        <f>H335/G335</f>
        <v>1.2094524422295176</v>
      </c>
      <c r="J335" s="642"/>
    </row>
    <row r="336" spans="3:10" s="632" customFormat="1" ht="12">
      <c r="C336" s="650" t="s">
        <v>688</v>
      </c>
      <c r="D336" s="651"/>
      <c r="E336" s="652"/>
      <c r="F336" s="665"/>
      <c r="G336" s="651">
        <v>3058587</v>
      </c>
      <c r="H336" s="654">
        <v>1881476</v>
      </c>
      <c r="I336" s="655">
        <f>H336/G336</f>
        <v>0.6151454903849392</v>
      </c>
      <c r="J336" s="642"/>
    </row>
    <row r="337" spans="3:10" s="632" customFormat="1" ht="12">
      <c r="C337" s="650" t="s">
        <v>689</v>
      </c>
      <c r="D337" s="651">
        <v>21584</v>
      </c>
      <c r="E337" s="654">
        <v>452591</v>
      </c>
      <c r="F337" s="665">
        <f>E337/D337</f>
        <v>20.968819495922904</v>
      </c>
      <c r="G337" s="651"/>
      <c r="H337" s="652"/>
      <c r="I337" s="655"/>
      <c r="J337" s="642"/>
    </row>
    <row r="338" spans="3:10" s="632" customFormat="1" ht="12">
      <c r="C338" s="650" t="s">
        <v>690</v>
      </c>
      <c r="D338" s="651">
        <v>3828112</v>
      </c>
      <c r="E338" s="654">
        <v>997398</v>
      </c>
      <c r="F338" s="665">
        <f>E338/D338</f>
        <v>0.2605456684652905</v>
      </c>
      <c r="G338" s="651"/>
      <c r="H338" s="652"/>
      <c r="I338" s="655"/>
      <c r="J338" s="642"/>
    </row>
    <row r="339" spans="3:10" s="632" customFormat="1" ht="12">
      <c r="C339" s="650" t="s">
        <v>691</v>
      </c>
      <c r="D339" s="651">
        <v>490250</v>
      </c>
      <c r="E339" s="654">
        <v>334263</v>
      </c>
      <c r="F339" s="665">
        <f>E339/D339</f>
        <v>0.6818215196328404</v>
      </c>
      <c r="G339" s="651"/>
      <c r="H339" s="652"/>
      <c r="I339" s="655"/>
      <c r="J339" s="642"/>
    </row>
    <row r="340" spans="3:10" s="632" customFormat="1" ht="12">
      <c r="C340" s="650" t="s">
        <v>692</v>
      </c>
      <c r="D340" s="651"/>
      <c r="E340" s="652"/>
      <c r="F340" s="665"/>
      <c r="G340" s="651">
        <v>250000</v>
      </c>
      <c r="H340" s="654">
        <v>252390</v>
      </c>
      <c r="I340" s="655">
        <f>H340/G340</f>
        <v>1.00956</v>
      </c>
      <c r="J340" s="642"/>
    </row>
    <row r="341" spans="3:10" s="632" customFormat="1" ht="12">
      <c r="C341" s="650" t="s">
        <v>693</v>
      </c>
      <c r="D341" s="651">
        <v>0</v>
      </c>
      <c r="E341" s="654">
        <f>'[1]Tartalék'!G9</f>
        <v>0</v>
      </c>
      <c r="F341" s="665">
        <v>0</v>
      </c>
      <c r="G341" s="651"/>
      <c r="H341" s="652"/>
      <c r="I341" s="655"/>
      <c r="J341" s="642"/>
    </row>
    <row r="342" spans="3:10" s="632" customFormat="1" ht="12">
      <c r="C342" s="650" t="s">
        <v>694</v>
      </c>
      <c r="D342" s="651"/>
      <c r="E342" s="652"/>
      <c r="F342" s="665"/>
      <c r="G342" s="651">
        <v>42250</v>
      </c>
      <c r="H342" s="654">
        <v>21250</v>
      </c>
      <c r="I342" s="655">
        <f>H342/G342</f>
        <v>0.5029585798816568</v>
      </c>
      <c r="J342" s="642"/>
    </row>
    <row r="343" spans="3:10" s="632" customFormat="1" ht="12" hidden="1">
      <c r="C343" s="703" t="s">
        <v>695</v>
      </c>
      <c r="D343" s="651"/>
      <c r="E343" s="652"/>
      <c r="F343" s="665"/>
      <c r="G343" s="651"/>
      <c r="H343" s="654">
        <f>'[1]Tartalék'!G61</f>
        <v>0</v>
      </c>
      <c r="I343" s="655" t="e">
        <f>H343/G343</f>
        <v>#DIV/0!</v>
      </c>
      <c r="J343" s="642"/>
    </row>
    <row r="344" spans="3:10" s="632" customFormat="1" ht="12.75" thickBot="1">
      <c r="C344" s="704"/>
      <c r="D344" s="639"/>
      <c r="E344" s="705"/>
      <c r="F344" s="706"/>
      <c r="G344" s="639"/>
      <c r="I344" s="641"/>
      <c r="J344" s="642"/>
    </row>
    <row r="345" spans="3:10" s="632" customFormat="1" ht="12.75" thickBot="1">
      <c r="C345" s="707" t="s">
        <v>696</v>
      </c>
      <c r="D345" s="692">
        <f>SUM(D334:D344)</f>
        <v>4339946</v>
      </c>
      <c r="E345" s="692">
        <f>SUM(E334:E344)</f>
        <v>1784252</v>
      </c>
      <c r="F345" s="708">
        <f>E345/D345</f>
        <v>0.41112308770662126</v>
      </c>
      <c r="G345" s="692">
        <f>SUM(G334:G344)</f>
        <v>5550057</v>
      </c>
      <c r="H345" s="692">
        <f>SUM(H334:H344)</f>
        <v>4814968</v>
      </c>
      <c r="I345" s="709">
        <f>H345/G345</f>
        <v>0.8675528917991293</v>
      </c>
      <c r="J345" s="649"/>
    </row>
    <row r="346" spans="4:10" s="632" customFormat="1" ht="12">
      <c r="D346" s="639" t="s">
        <v>697</v>
      </c>
      <c r="E346" s="710"/>
      <c r="F346" s="640"/>
      <c r="G346" s="639">
        <f>D332+G332</f>
        <v>9876833</v>
      </c>
      <c r="H346" s="639">
        <f>E332+H332</f>
        <v>7741899</v>
      </c>
      <c r="I346" s="702">
        <f>H346/G346</f>
        <v>0.7838442747791726</v>
      </c>
      <c r="J346" s="649"/>
    </row>
    <row r="347" spans="4:10" s="632" customFormat="1" ht="12">
      <c r="D347" s="639" t="s">
        <v>698</v>
      </c>
      <c r="E347" s="639"/>
      <c r="F347" s="640"/>
      <c r="G347" s="639">
        <f>D345+G345</f>
        <v>9890003</v>
      </c>
      <c r="H347" s="639">
        <f>E345+H345</f>
        <v>6599220</v>
      </c>
      <c r="I347" s="641">
        <f>H347/G347</f>
        <v>0.6672616782826052</v>
      </c>
      <c r="J347" s="642"/>
    </row>
    <row r="348" spans="4:10" s="632" customFormat="1" ht="12">
      <c r="D348" s="639"/>
      <c r="E348" s="639"/>
      <c r="F348" s="640"/>
      <c r="G348" s="639"/>
      <c r="H348" s="639"/>
      <c r="I348" s="640"/>
      <c r="J348" s="639"/>
    </row>
    <row r="349" spans="4:10" s="632" customFormat="1" ht="12">
      <c r="D349" s="639"/>
      <c r="E349" s="639"/>
      <c r="F349" s="640"/>
      <c r="G349" s="639"/>
      <c r="H349" s="639"/>
      <c r="I349" s="640"/>
      <c r="J349" s="639"/>
    </row>
    <row r="350" spans="4:10" s="632" customFormat="1" ht="12">
      <c r="D350" s="639"/>
      <c r="E350" s="639"/>
      <c r="F350" s="640"/>
      <c r="G350" s="639"/>
      <c r="H350" s="639"/>
      <c r="I350" s="640"/>
      <c r="J350" s="639"/>
    </row>
    <row r="351" spans="4:10" s="632" customFormat="1" ht="12" hidden="1">
      <c r="D351" s="639"/>
      <c r="E351" s="639"/>
      <c r="F351" s="640"/>
      <c r="G351" s="639">
        <f>G346-G347</f>
        <v>-13170</v>
      </c>
      <c r="H351" s="639">
        <f>H346-H347</f>
        <v>1142679</v>
      </c>
      <c r="I351" s="640"/>
      <c r="J351" s="639"/>
    </row>
    <row r="352" spans="4:10" s="632" customFormat="1" ht="12">
      <c r="D352" s="639"/>
      <c r="E352" s="639"/>
      <c r="F352" s="640"/>
      <c r="G352" s="639"/>
      <c r="H352" s="639"/>
      <c r="I352" s="640"/>
      <c r="J352" s="639"/>
    </row>
    <row r="353" spans="5:9" s="632" customFormat="1" ht="12">
      <c r="E353" s="639"/>
      <c r="F353" s="640"/>
      <c r="G353" s="639"/>
      <c r="I353" s="624"/>
    </row>
  </sheetData>
  <sheetProtection/>
  <mergeCells count="8">
    <mergeCell ref="F8:F9"/>
    <mergeCell ref="I8:I9"/>
    <mergeCell ref="A1:I1"/>
    <mergeCell ref="A3:I3"/>
    <mergeCell ref="A4:I4"/>
    <mergeCell ref="A5:I5"/>
    <mergeCell ref="D7:F7"/>
    <mergeCell ref="G7:I7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62">
      <selection activeCell="S110" sqref="S110"/>
    </sheetView>
  </sheetViews>
  <sheetFormatPr defaultColWidth="9.00390625" defaultRowHeight="12.75"/>
  <cols>
    <col min="1" max="1" width="2.50390625" style="714" customWidth="1"/>
    <col min="2" max="2" width="31.625" style="840" customWidth="1"/>
    <col min="3" max="4" width="10.00390625" style="712" customWidth="1"/>
    <col min="5" max="5" width="7.625" style="712" customWidth="1"/>
    <col min="6" max="7" width="10.00390625" style="712" customWidth="1"/>
    <col min="8" max="8" width="8.00390625" style="712" customWidth="1"/>
    <col min="9" max="10" width="10.00390625" style="712" customWidth="1"/>
    <col min="11" max="11" width="7.50390625" style="712" customWidth="1"/>
    <col min="12" max="12" width="9.00390625" style="712" customWidth="1"/>
    <col min="13" max="13" width="8.875" style="712" customWidth="1"/>
    <col min="14" max="14" width="8.125" style="712" bestFit="1" customWidth="1"/>
    <col min="15" max="17" width="8.125" style="712" customWidth="1"/>
    <col min="18" max="19" width="10.00390625" style="712" customWidth="1"/>
    <col min="20" max="20" width="8.875" style="712" customWidth="1"/>
    <col min="21" max="22" width="10.00390625" style="712" customWidth="1"/>
    <col min="23" max="23" width="7.125" style="712" customWidth="1"/>
    <col min="24" max="25" width="10.00390625" style="712" customWidth="1"/>
    <col min="26" max="26" width="7.50390625" style="712" customWidth="1"/>
    <col min="27" max="16384" width="9.375" style="712" customWidth="1"/>
  </cols>
  <sheetData>
    <row r="1" spans="1:26" s="711" customFormat="1" ht="9" customHeight="1">
      <c r="A1" s="1345" t="s">
        <v>699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6"/>
    </row>
    <row r="2" spans="1:25" ht="10.5" customHeight="1">
      <c r="A2" s="1347" t="s">
        <v>798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</row>
    <row r="3" spans="1:25" s="713" customFormat="1" ht="15" customHeight="1">
      <c r="A3" s="1348" t="s">
        <v>799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</row>
    <row r="4" spans="1:26" s="714" customFormat="1" ht="8.25" customHeight="1" thickBot="1">
      <c r="A4" s="1349" t="s">
        <v>700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  <c r="W4" s="1349"/>
      <c r="X4" s="1349"/>
      <c r="Y4" s="1349"/>
      <c r="Z4" s="1350"/>
    </row>
    <row r="5" spans="1:26" s="717" customFormat="1" ht="23.25" customHeight="1">
      <c r="A5" s="715"/>
      <c r="B5" s="716"/>
      <c r="C5" s="1335" t="s">
        <v>701</v>
      </c>
      <c r="D5" s="1336"/>
      <c r="E5" s="1337"/>
      <c r="F5" s="1335" t="s">
        <v>702</v>
      </c>
      <c r="G5" s="1336"/>
      <c r="H5" s="1337"/>
      <c r="I5" s="1335" t="s">
        <v>703</v>
      </c>
      <c r="J5" s="1336"/>
      <c r="K5" s="1337"/>
      <c r="L5" s="1335" t="s">
        <v>704</v>
      </c>
      <c r="M5" s="1336"/>
      <c r="N5" s="1337"/>
      <c r="O5" s="1354" t="s">
        <v>795</v>
      </c>
      <c r="P5" s="1355"/>
      <c r="Q5" s="1355"/>
      <c r="R5" s="1355"/>
      <c r="S5" s="1355"/>
      <c r="T5" s="1355"/>
      <c r="U5" s="1355"/>
      <c r="V5" s="1355"/>
      <c r="W5" s="1356"/>
      <c r="X5" s="1351" t="s">
        <v>706</v>
      </c>
      <c r="Y5" s="1352"/>
      <c r="Z5" s="1353"/>
    </row>
    <row r="6" spans="1:26" s="717" customFormat="1" ht="19.5" customHeight="1">
      <c r="A6" s="718"/>
      <c r="C6" s="1338"/>
      <c r="D6" s="1339"/>
      <c r="E6" s="1340"/>
      <c r="F6" s="1338"/>
      <c r="G6" s="1339"/>
      <c r="H6" s="1340"/>
      <c r="I6" s="1338"/>
      <c r="J6" s="1339"/>
      <c r="K6" s="1340"/>
      <c r="L6" s="1338"/>
      <c r="M6" s="1339"/>
      <c r="N6" s="1340"/>
      <c r="O6" s="1338" t="s">
        <v>705</v>
      </c>
      <c r="P6" s="1339"/>
      <c r="Q6" s="1340"/>
      <c r="R6" s="1338" t="s">
        <v>796</v>
      </c>
      <c r="S6" s="1339"/>
      <c r="T6" s="1340"/>
      <c r="U6" s="1338" t="s">
        <v>797</v>
      </c>
      <c r="V6" s="1339"/>
      <c r="W6" s="1340"/>
      <c r="X6" s="848"/>
      <c r="Y6" s="721"/>
      <c r="Z6" s="841"/>
    </row>
    <row r="7" spans="1:26" s="717" customFormat="1" ht="11.25" customHeight="1">
      <c r="A7" s="718"/>
      <c r="C7" s="849">
        <v>2012</v>
      </c>
      <c r="D7" s="720">
        <v>2013</v>
      </c>
      <c r="E7" s="1341" t="s">
        <v>552</v>
      </c>
      <c r="F7" s="719">
        <f aca="true" t="shared" si="0" ref="F7:Q7">C7</f>
        <v>2012</v>
      </c>
      <c r="G7" s="720">
        <f t="shared" si="0"/>
        <v>2013</v>
      </c>
      <c r="H7" s="1341" t="str">
        <f t="shared" si="0"/>
        <v>%</v>
      </c>
      <c r="I7" s="719">
        <f t="shared" si="0"/>
        <v>2012</v>
      </c>
      <c r="J7" s="720">
        <f t="shared" si="0"/>
        <v>2013</v>
      </c>
      <c r="K7" s="1341" t="str">
        <f t="shared" si="0"/>
        <v>%</v>
      </c>
      <c r="L7" s="719">
        <f t="shared" si="0"/>
        <v>2012</v>
      </c>
      <c r="M7" s="721">
        <f t="shared" si="0"/>
        <v>2013</v>
      </c>
      <c r="N7" s="1341" t="str">
        <f t="shared" si="0"/>
        <v>%</v>
      </c>
      <c r="O7" s="719">
        <f t="shared" si="0"/>
        <v>2012</v>
      </c>
      <c r="P7" s="721">
        <f t="shared" si="0"/>
        <v>2013</v>
      </c>
      <c r="Q7" s="1343" t="str">
        <f t="shared" si="0"/>
        <v>%</v>
      </c>
      <c r="R7" s="719">
        <f>C7</f>
        <v>2012</v>
      </c>
      <c r="S7" s="720">
        <f>J7</f>
        <v>2013</v>
      </c>
      <c r="T7" s="1341" t="str">
        <f>N7</f>
        <v>%</v>
      </c>
      <c r="U7" s="721">
        <f>C7</f>
        <v>2012</v>
      </c>
      <c r="V7" s="721">
        <f>S7</f>
        <v>2013</v>
      </c>
      <c r="W7" s="1341" t="str">
        <f>T7</f>
        <v>%</v>
      </c>
      <c r="X7" s="719">
        <f>F7</f>
        <v>2012</v>
      </c>
      <c r="Y7" s="722">
        <f>V7</f>
        <v>2013</v>
      </c>
      <c r="Z7" s="1333" t="str">
        <f>W7</f>
        <v>%</v>
      </c>
    </row>
    <row r="8" spans="1:26" s="717" customFormat="1" ht="9.75" customHeight="1" thickBot="1">
      <c r="A8" s="723"/>
      <c r="B8" s="724"/>
      <c r="C8" s="725" t="s">
        <v>553</v>
      </c>
      <c r="D8" s="726" t="s">
        <v>553</v>
      </c>
      <c r="E8" s="1342"/>
      <c r="F8" s="725" t="s">
        <v>553</v>
      </c>
      <c r="G8" s="727" t="str">
        <f>D8</f>
        <v>terv</v>
      </c>
      <c r="H8" s="1342"/>
      <c r="I8" s="725" t="s">
        <v>553</v>
      </c>
      <c r="J8" s="727" t="str">
        <f>G8</f>
        <v>terv</v>
      </c>
      <c r="K8" s="1342"/>
      <c r="L8" s="725" t="str">
        <f>I8</f>
        <v>terv</v>
      </c>
      <c r="M8" s="728" t="str">
        <f>J8</f>
        <v>terv</v>
      </c>
      <c r="N8" s="1342"/>
      <c r="O8" s="725" t="str">
        <f>L8</f>
        <v>terv</v>
      </c>
      <c r="P8" s="728" t="str">
        <f>M8</f>
        <v>terv</v>
      </c>
      <c r="Q8" s="1344"/>
      <c r="R8" s="725" t="s">
        <v>553</v>
      </c>
      <c r="S8" s="727" t="str">
        <f>J8</f>
        <v>terv</v>
      </c>
      <c r="T8" s="1342"/>
      <c r="U8" s="728" t="s">
        <v>553</v>
      </c>
      <c r="V8" s="728" t="str">
        <f>S8</f>
        <v>terv</v>
      </c>
      <c r="W8" s="1342"/>
      <c r="X8" s="725" t="s">
        <v>553</v>
      </c>
      <c r="Y8" s="729" t="str">
        <f>V8</f>
        <v>terv</v>
      </c>
      <c r="Z8" s="1334"/>
    </row>
    <row r="9" spans="1:26" s="717" customFormat="1" ht="9" customHeight="1">
      <c r="A9" s="730" t="s">
        <v>74</v>
      </c>
      <c r="B9" s="731" t="str">
        <f>'[1]2'!B6</f>
        <v>Városüzemeltetés</v>
      </c>
      <c r="C9" s="732"/>
      <c r="D9" s="733"/>
      <c r="E9" s="734"/>
      <c r="F9" s="732"/>
      <c r="G9" s="733"/>
      <c r="H9" s="734"/>
      <c r="I9" s="732"/>
      <c r="J9" s="733"/>
      <c r="K9" s="734"/>
      <c r="L9" s="732"/>
      <c r="M9" s="733"/>
      <c r="N9" s="734"/>
      <c r="O9" s="733"/>
      <c r="P9" s="733"/>
      <c r="Q9" s="733"/>
      <c r="R9" s="732"/>
      <c r="S9" s="733"/>
      <c r="T9" s="734"/>
      <c r="U9" s="732"/>
      <c r="V9" s="733"/>
      <c r="W9" s="734"/>
      <c r="X9" s="733"/>
      <c r="Y9" s="733"/>
      <c r="Z9" s="734"/>
    </row>
    <row r="10" spans="1:26" s="717" customFormat="1" ht="14.25" customHeight="1">
      <c r="A10" s="1261" t="s">
        <v>1150</v>
      </c>
      <c r="B10" s="1219" t="str">
        <f>'[1]2'!B7</f>
        <v>2/A melléklet szerint</v>
      </c>
      <c r="C10" s="737">
        <v>94970</v>
      </c>
      <c r="D10" s="737">
        <f>94970+1338+934+3247+604</f>
        <v>101093</v>
      </c>
      <c r="E10" s="1194"/>
      <c r="F10" s="737">
        <v>12821</v>
      </c>
      <c r="G10" s="737">
        <f>12821+181+126+438+82</f>
        <v>13648</v>
      </c>
      <c r="H10" s="1194"/>
      <c r="I10" s="737">
        <v>808977</v>
      </c>
      <c r="J10" s="1258">
        <f>807485+7099</f>
        <v>814584</v>
      </c>
      <c r="K10" s="1194"/>
      <c r="L10" s="739"/>
      <c r="M10" s="737"/>
      <c r="N10" s="1194"/>
      <c r="O10" s="739"/>
      <c r="P10" s="737"/>
      <c r="Q10" s="1194"/>
      <c r="R10" s="739"/>
      <c r="S10" s="737"/>
      <c r="T10" s="1194"/>
      <c r="U10" s="739"/>
      <c r="V10" s="737"/>
      <c r="W10" s="1194"/>
      <c r="X10" s="740">
        <f>C10+F10+I10+L10+R10+U10+O10</f>
        <v>916768</v>
      </c>
      <c r="Y10" s="741">
        <f>D10+G10+J10+M10+S10+V10+P10</f>
        <v>929325</v>
      </c>
      <c r="Z10" s="742">
        <f>Y10/X10</f>
        <v>1.0136970313099933</v>
      </c>
    </row>
    <row r="11" spans="1:26" s="717" customFormat="1" ht="9" customHeight="1">
      <c r="A11" s="743" t="s">
        <v>75</v>
      </c>
      <c r="B11" s="744" t="str">
        <f>'[1]2'!B8</f>
        <v>Közművelődés</v>
      </c>
      <c r="C11" s="745"/>
      <c r="D11" s="746"/>
      <c r="E11" s="747"/>
      <c r="F11" s="748"/>
      <c r="G11" s="748"/>
      <c r="H11" s="747"/>
      <c r="I11" s="749"/>
      <c r="J11" s="749"/>
      <c r="K11" s="747"/>
      <c r="L11" s="750"/>
      <c r="M11" s="749"/>
      <c r="N11" s="747"/>
      <c r="O11" s="750"/>
      <c r="P11" s="749"/>
      <c r="Q11" s="747"/>
      <c r="R11" s="750"/>
      <c r="S11" s="748"/>
      <c r="T11" s="747"/>
      <c r="U11" s="745"/>
      <c r="V11" s="748"/>
      <c r="W11" s="747"/>
      <c r="X11" s="749"/>
      <c r="Y11" s="749"/>
      <c r="Z11" s="751"/>
    </row>
    <row r="12" spans="1:26" s="752" customFormat="1" ht="13.5" customHeight="1">
      <c r="A12" s="735" t="s">
        <v>537</v>
      </c>
      <c r="B12" s="736" t="str">
        <f>'[1]2'!B9</f>
        <v>2/B melléklet szerint</v>
      </c>
      <c r="C12" s="737">
        <v>2080</v>
      </c>
      <c r="D12" s="737">
        <v>2080</v>
      </c>
      <c r="E12" s="1194"/>
      <c r="F12" s="737">
        <v>20</v>
      </c>
      <c r="G12" s="737">
        <v>20</v>
      </c>
      <c r="H12" s="1194"/>
      <c r="I12" s="737">
        <v>400</v>
      </c>
      <c r="J12" s="737">
        <v>400</v>
      </c>
      <c r="K12" s="1194"/>
      <c r="L12" s="739">
        <v>6000</v>
      </c>
      <c r="M12" s="737">
        <v>6000</v>
      </c>
      <c r="N12" s="1194"/>
      <c r="O12" s="739"/>
      <c r="P12" s="737"/>
      <c r="Q12" s="1194"/>
      <c r="R12" s="739"/>
      <c r="S12" s="737"/>
      <c r="T12" s="1194"/>
      <c r="U12" s="737">
        <v>5500</v>
      </c>
      <c r="V12" s="737">
        <f>13500-8000</f>
        <v>5500</v>
      </c>
      <c r="W12" s="1194"/>
      <c r="X12" s="740">
        <f>C12+F12+I12+L12+R12+U12+O12</f>
        <v>14000</v>
      </c>
      <c r="Y12" s="741">
        <f>D12+G12+J12+M12+S12+V12+P12</f>
        <v>14000</v>
      </c>
      <c r="Z12" s="742">
        <f>Y12/X12</f>
        <v>1</v>
      </c>
    </row>
    <row r="13" spans="1:26" s="752" customFormat="1" ht="12" customHeight="1">
      <c r="A13" s="735" t="s">
        <v>1150</v>
      </c>
      <c r="B13" s="753" t="s">
        <v>707</v>
      </c>
      <c r="C13" s="739"/>
      <c r="D13" s="737"/>
      <c r="E13" s="1194"/>
      <c r="F13" s="737"/>
      <c r="G13" s="737"/>
      <c r="H13" s="1194"/>
      <c r="I13" s="737"/>
      <c r="J13" s="737"/>
      <c r="K13" s="1194"/>
      <c r="L13" s="739"/>
      <c r="M13" s="737"/>
      <c r="N13" s="1194"/>
      <c r="O13" s="739"/>
      <c r="P13" s="737"/>
      <c r="Q13" s="1194"/>
      <c r="R13" s="739"/>
      <c r="S13" s="737"/>
      <c r="T13" s="1194"/>
      <c r="U13" s="737">
        <v>26500</v>
      </c>
      <c r="V13" s="737">
        <v>26500</v>
      </c>
      <c r="W13" s="1194"/>
      <c r="X13" s="740">
        <f aca="true" t="shared" si="1" ref="X13:Y15">C13+F13+I13+L13+R13+U13+O13</f>
        <v>26500</v>
      </c>
      <c r="Y13" s="741">
        <f t="shared" si="1"/>
        <v>26500</v>
      </c>
      <c r="Z13" s="742">
        <f aca="true" t="shared" si="2" ref="Z13:Z24">Y13/X13</f>
        <v>1</v>
      </c>
    </row>
    <row r="14" spans="1:26" s="752" customFormat="1" ht="11.25" customHeight="1">
      <c r="A14" s="735" t="s">
        <v>1149</v>
      </c>
      <c r="B14" s="1221" t="s">
        <v>708</v>
      </c>
      <c r="C14" s="739"/>
      <c r="D14" s="737"/>
      <c r="E14" s="1194"/>
      <c r="F14" s="737"/>
      <c r="G14" s="737"/>
      <c r="H14" s="1194"/>
      <c r="I14" s="737"/>
      <c r="J14" s="737"/>
      <c r="K14" s="1194"/>
      <c r="L14" s="739"/>
      <c r="M14" s="737"/>
      <c r="N14" s="1194"/>
      <c r="O14" s="739"/>
      <c r="P14" s="737"/>
      <c r="Q14" s="1194"/>
      <c r="R14" s="739"/>
      <c r="S14" s="737"/>
      <c r="T14" s="1194"/>
      <c r="U14" s="737">
        <v>15000</v>
      </c>
      <c r="V14" s="737">
        <f>15000+10000+13078</f>
        <v>38078</v>
      </c>
      <c r="W14" s="1253" t="s">
        <v>1149</v>
      </c>
      <c r="X14" s="740">
        <f t="shared" si="1"/>
        <v>15000</v>
      </c>
      <c r="Y14" s="741">
        <f t="shared" si="1"/>
        <v>38078</v>
      </c>
      <c r="Z14" s="742">
        <f t="shared" si="2"/>
        <v>2.5385333333333335</v>
      </c>
    </row>
    <row r="15" spans="1:26" s="752" customFormat="1" ht="12" customHeight="1">
      <c r="A15" s="735" t="s">
        <v>1149</v>
      </c>
      <c r="B15" s="1193" t="s">
        <v>1264</v>
      </c>
      <c r="C15" s="739"/>
      <c r="D15" s="737"/>
      <c r="E15" s="1194"/>
      <c r="F15" s="737"/>
      <c r="G15" s="737"/>
      <c r="H15" s="1194"/>
      <c r="I15" s="737"/>
      <c r="J15" s="737"/>
      <c r="K15" s="1194"/>
      <c r="L15" s="739"/>
      <c r="M15" s="737"/>
      <c r="N15" s="1194"/>
      <c r="O15" s="739"/>
      <c r="P15" s="737"/>
      <c r="Q15" s="1194"/>
      <c r="R15" s="739"/>
      <c r="S15" s="737"/>
      <c r="T15" s="1194"/>
      <c r="U15" s="737">
        <v>0</v>
      </c>
      <c r="V15" s="737">
        <v>6000</v>
      </c>
      <c r="W15" s="1194"/>
      <c r="X15" s="740">
        <f t="shared" si="1"/>
        <v>0</v>
      </c>
      <c r="Y15" s="741">
        <f t="shared" si="1"/>
        <v>6000</v>
      </c>
      <c r="Z15" s="742" t="e">
        <f t="shared" si="2"/>
        <v>#DIV/0!</v>
      </c>
    </row>
    <row r="16" spans="1:26" s="752" customFormat="1" ht="11.25" customHeight="1" hidden="1">
      <c r="A16" s="735"/>
      <c r="B16" s="736" t="s">
        <v>709</v>
      </c>
      <c r="C16" s="739"/>
      <c r="D16" s="737"/>
      <c r="E16" s="738"/>
      <c r="F16" s="737"/>
      <c r="G16" s="737"/>
      <c r="H16" s="738"/>
      <c r="I16" s="737">
        <v>0</v>
      </c>
      <c r="J16" s="737">
        <v>0</v>
      </c>
      <c r="K16" s="738">
        <v>0</v>
      </c>
      <c r="L16" s="739"/>
      <c r="M16" s="737"/>
      <c r="N16" s="738"/>
      <c r="O16" s="739"/>
      <c r="P16" s="737"/>
      <c r="Q16" s="738"/>
      <c r="R16" s="739"/>
      <c r="S16" s="737"/>
      <c r="T16" s="738"/>
      <c r="U16" s="737"/>
      <c r="V16" s="737"/>
      <c r="W16" s="738"/>
      <c r="X16" s="740">
        <f>C16+F16+I16+L16+R16+U16+O16</f>
        <v>0</v>
      </c>
      <c r="Y16" s="741">
        <f>D16+G16+J16+M16+S16+V16+P16</f>
        <v>0</v>
      </c>
      <c r="Z16" s="742">
        <v>0</v>
      </c>
    </row>
    <row r="17" spans="1:26" s="752" customFormat="1" ht="10.5" customHeight="1">
      <c r="A17" s="743" t="s">
        <v>76</v>
      </c>
      <c r="B17" s="755" t="str">
        <f>'[1]2'!B20</f>
        <v>Szociálpolitikai feladatok</v>
      </c>
      <c r="C17" s="750"/>
      <c r="D17" s="749"/>
      <c r="E17" s="747"/>
      <c r="F17" s="749"/>
      <c r="G17" s="749"/>
      <c r="H17" s="747"/>
      <c r="I17" s="749"/>
      <c r="J17" s="749"/>
      <c r="K17" s="747"/>
      <c r="L17" s="750"/>
      <c r="M17" s="749"/>
      <c r="N17" s="747"/>
      <c r="O17" s="750"/>
      <c r="P17" s="749"/>
      <c r="Q17" s="747"/>
      <c r="R17" s="750"/>
      <c r="S17" s="749"/>
      <c r="T17" s="747"/>
      <c r="U17" s="749"/>
      <c r="V17" s="749"/>
      <c r="W17" s="747"/>
      <c r="X17" s="749"/>
      <c r="Y17" s="749"/>
      <c r="Z17" s="751"/>
    </row>
    <row r="18" spans="1:26" s="752" customFormat="1" ht="11.25" customHeight="1">
      <c r="A18" s="735" t="s">
        <v>1150</v>
      </c>
      <c r="B18" s="756" t="s">
        <v>710</v>
      </c>
      <c r="C18" s="739"/>
      <c r="D18" s="737"/>
      <c r="E18" s="1194"/>
      <c r="F18" s="737"/>
      <c r="G18" s="737"/>
      <c r="H18" s="1194"/>
      <c r="I18" s="737"/>
      <c r="J18" s="737"/>
      <c r="K18" s="1194"/>
      <c r="L18" s="739"/>
      <c r="M18" s="737"/>
      <c r="N18" s="1194"/>
      <c r="O18" s="739"/>
      <c r="P18" s="737"/>
      <c r="Q18" s="1194"/>
      <c r="R18" s="739"/>
      <c r="S18" s="737"/>
      <c r="T18" s="1194"/>
      <c r="U18" s="737">
        <v>5000</v>
      </c>
      <c r="V18" s="737">
        <v>5000</v>
      </c>
      <c r="W18" s="1194"/>
      <c r="X18" s="740">
        <f aca="true" t="shared" si="3" ref="X18:Y21">C18+F18+I18+L18+R18+U18+O18</f>
        <v>5000</v>
      </c>
      <c r="Y18" s="741">
        <f t="shared" si="3"/>
        <v>5000</v>
      </c>
      <c r="Z18" s="742">
        <f t="shared" si="2"/>
        <v>1</v>
      </c>
    </row>
    <row r="19" spans="1:28" s="752" customFormat="1" ht="11.25" customHeight="1">
      <c r="A19" s="735" t="s">
        <v>1150</v>
      </c>
      <c r="B19" s="756" t="s">
        <v>711</v>
      </c>
      <c r="C19" s="739"/>
      <c r="D19" s="737"/>
      <c r="E19" s="1194"/>
      <c r="F19" s="737"/>
      <c r="G19" s="737"/>
      <c r="H19" s="1194"/>
      <c r="I19" s="737"/>
      <c r="J19" s="737"/>
      <c r="K19" s="1194"/>
      <c r="L19" s="739"/>
      <c r="M19" s="737"/>
      <c r="N19" s="1194"/>
      <c r="O19" s="739"/>
      <c r="P19" s="737"/>
      <c r="Q19" s="1194"/>
      <c r="R19" s="739"/>
      <c r="S19" s="737"/>
      <c r="T19" s="1194"/>
      <c r="U19" s="737">
        <v>1500</v>
      </c>
      <c r="V19" s="737">
        <v>1500</v>
      </c>
      <c r="W19" s="1194"/>
      <c r="X19" s="740">
        <f t="shared" si="3"/>
        <v>1500</v>
      </c>
      <c r="Y19" s="741">
        <f t="shared" si="3"/>
        <v>1500</v>
      </c>
      <c r="Z19" s="742">
        <f t="shared" si="2"/>
        <v>1</v>
      </c>
      <c r="AB19" s="757"/>
    </row>
    <row r="20" spans="1:26" s="752" customFormat="1" ht="11.25" customHeight="1">
      <c r="A20" s="735" t="s">
        <v>1150</v>
      </c>
      <c r="B20" s="1222" t="s">
        <v>712</v>
      </c>
      <c r="C20" s="739"/>
      <c r="D20" s="737"/>
      <c r="E20" s="1194"/>
      <c r="F20" s="737"/>
      <c r="G20" s="737"/>
      <c r="H20" s="1194"/>
      <c r="I20" s="737">
        <v>3414</v>
      </c>
      <c r="J20" s="737">
        <f>3414+1056</f>
        <v>4470</v>
      </c>
      <c r="K20" s="1194"/>
      <c r="L20" s="739"/>
      <c r="M20" s="737"/>
      <c r="N20" s="1194"/>
      <c r="O20" s="739"/>
      <c r="P20" s="737"/>
      <c r="Q20" s="1194"/>
      <c r="R20" s="739"/>
      <c r="S20" s="737"/>
      <c r="T20" s="1194"/>
      <c r="U20" s="739"/>
      <c r="V20" s="737"/>
      <c r="W20" s="1194"/>
      <c r="X20" s="740">
        <f t="shared" si="3"/>
        <v>3414</v>
      </c>
      <c r="Y20" s="741">
        <f t="shared" si="3"/>
        <v>4470</v>
      </c>
      <c r="Z20" s="742">
        <f t="shared" si="2"/>
        <v>1.3093145869947276</v>
      </c>
    </row>
    <row r="21" spans="1:26" s="752" customFormat="1" ht="10.5">
      <c r="A21" s="735" t="s">
        <v>1150</v>
      </c>
      <c r="B21" s="756" t="s">
        <v>713</v>
      </c>
      <c r="C21" s="739"/>
      <c r="D21" s="737"/>
      <c r="E21" s="1194"/>
      <c r="F21" s="737"/>
      <c r="G21" s="737"/>
      <c r="H21" s="1194"/>
      <c r="I21" s="737">
        <v>300</v>
      </c>
      <c r="J21" s="737">
        <v>300</v>
      </c>
      <c r="K21" s="1194"/>
      <c r="L21" s="739"/>
      <c r="M21" s="737"/>
      <c r="N21" s="1194"/>
      <c r="O21" s="739"/>
      <c r="P21" s="737"/>
      <c r="Q21" s="1194"/>
      <c r="R21" s="739"/>
      <c r="S21" s="737"/>
      <c r="T21" s="1194"/>
      <c r="U21" s="739"/>
      <c r="V21" s="737"/>
      <c r="W21" s="1194"/>
      <c r="X21" s="740">
        <f t="shared" si="3"/>
        <v>300</v>
      </c>
      <c r="Y21" s="741">
        <f t="shared" si="3"/>
        <v>300</v>
      </c>
      <c r="Z21" s="742">
        <v>0</v>
      </c>
    </row>
    <row r="22" spans="1:26" s="752" customFormat="1" ht="9" customHeight="1">
      <c r="A22" s="743" t="s">
        <v>77</v>
      </c>
      <c r="B22" s="755" t="str">
        <f>'[1]2'!B25</f>
        <v>Egyéb feladatok</v>
      </c>
      <c r="C22" s="750"/>
      <c r="D22" s="758"/>
      <c r="E22" s="747"/>
      <c r="F22" s="758"/>
      <c r="G22" s="758"/>
      <c r="H22" s="747"/>
      <c r="I22" s="749"/>
      <c r="J22" s="749"/>
      <c r="K22" s="747"/>
      <c r="L22" s="750"/>
      <c r="M22" s="749"/>
      <c r="N22" s="747"/>
      <c r="O22" s="750"/>
      <c r="P22" s="749"/>
      <c r="Q22" s="747"/>
      <c r="R22" s="750"/>
      <c r="S22" s="758"/>
      <c r="T22" s="747"/>
      <c r="U22" s="750"/>
      <c r="V22" s="749"/>
      <c r="W22" s="747"/>
      <c r="X22" s="749"/>
      <c r="Y22" s="749"/>
      <c r="Z22" s="751"/>
    </row>
    <row r="23" spans="1:26" s="752" customFormat="1" ht="21">
      <c r="A23" s="759" t="s">
        <v>1150</v>
      </c>
      <c r="B23" s="760" t="s">
        <v>714</v>
      </c>
      <c r="C23" s="739"/>
      <c r="D23" s="737"/>
      <c r="E23" s="1194"/>
      <c r="F23" s="737"/>
      <c r="G23" s="737"/>
      <c r="H23" s="1194"/>
      <c r="I23" s="737">
        <v>18000</v>
      </c>
      <c r="J23" s="737">
        <v>18180</v>
      </c>
      <c r="K23" s="1194"/>
      <c r="L23" s="739"/>
      <c r="M23" s="737"/>
      <c r="N23" s="1194"/>
      <c r="O23" s="739"/>
      <c r="P23" s="737"/>
      <c r="Q23" s="1194"/>
      <c r="R23" s="739"/>
      <c r="S23" s="737"/>
      <c r="T23" s="1194"/>
      <c r="U23" s="739"/>
      <c r="V23" s="737"/>
      <c r="W23" s="1194"/>
      <c r="X23" s="740">
        <f aca="true" t="shared" si="4" ref="X23:Y54">C23+F23+I23+L23+R23+U23+O23</f>
        <v>18000</v>
      </c>
      <c r="Y23" s="741">
        <f t="shared" si="4"/>
        <v>18180</v>
      </c>
      <c r="Z23" s="742">
        <f t="shared" si="2"/>
        <v>1.01</v>
      </c>
    </row>
    <row r="24" spans="1:26" s="752" customFormat="1" ht="11.25" customHeight="1">
      <c r="A24" s="735" t="s">
        <v>1150</v>
      </c>
      <c r="B24" s="1223" t="s">
        <v>715</v>
      </c>
      <c r="C24" s="739"/>
      <c r="D24" s="737"/>
      <c r="E24" s="1194"/>
      <c r="F24" s="737"/>
      <c r="G24" s="737"/>
      <c r="H24" s="1194"/>
      <c r="I24" s="737">
        <v>32000</v>
      </c>
      <c r="J24" s="737">
        <f>32000+8000</f>
        <v>40000</v>
      </c>
      <c r="K24" s="1194"/>
      <c r="L24" s="739"/>
      <c r="M24" s="737"/>
      <c r="N24" s="1194"/>
      <c r="O24" s="739"/>
      <c r="P24" s="737"/>
      <c r="Q24" s="1194"/>
      <c r="R24" s="739"/>
      <c r="S24" s="737"/>
      <c r="T24" s="1194"/>
      <c r="U24" s="739"/>
      <c r="V24" s="737"/>
      <c r="W24" s="1194"/>
      <c r="X24" s="740">
        <f t="shared" si="4"/>
        <v>32000</v>
      </c>
      <c r="Y24" s="741">
        <f t="shared" si="4"/>
        <v>40000</v>
      </c>
      <c r="Z24" s="742">
        <f t="shared" si="2"/>
        <v>1.25</v>
      </c>
    </row>
    <row r="25" spans="1:26" s="752" customFormat="1" ht="11.25" customHeight="1">
      <c r="A25" s="735" t="s">
        <v>1149</v>
      </c>
      <c r="B25" s="761" t="s">
        <v>559</v>
      </c>
      <c r="C25" s="737">
        <v>394</v>
      </c>
      <c r="D25" s="737">
        <v>394</v>
      </c>
      <c r="E25" s="1194"/>
      <c r="F25" s="737">
        <v>106</v>
      </c>
      <c r="G25" s="737">
        <v>106</v>
      </c>
      <c r="H25" s="1194"/>
      <c r="I25" s="737">
        <v>50990</v>
      </c>
      <c r="J25" s="737">
        <f>30990+20000</f>
        <v>50990</v>
      </c>
      <c r="K25" s="1194"/>
      <c r="L25" s="739"/>
      <c r="M25" s="737"/>
      <c r="N25" s="1194"/>
      <c r="O25" s="739"/>
      <c r="P25" s="737"/>
      <c r="Q25" s="1194"/>
      <c r="R25" s="739"/>
      <c r="S25" s="737"/>
      <c r="T25" s="1194"/>
      <c r="U25" s="739"/>
      <c r="V25" s="737"/>
      <c r="W25" s="1194"/>
      <c r="X25" s="740">
        <f t="shared" si="4"/>
        <v>51490</v>
      </c>
      <c r="Y25" s="741">
        <f t="shared" si="4"/>
        <v>51490</v>
      </c>
      <c r="Z25" s="742">
        <v>0</v>
      </c>
    </row>
    <row r="26" spans="1:26" s="752" customFormat="1" ht="11.25" customHeight="1">
      <c r="A26" s="735" t="s">
        <v>1149</v>
      </c>
      <c r="B26" s="1223" t="s">
        <v>1343</v>
      </c>
      <c r="C26" s="737">
        <v>1000</v>
      </c>
      <c r="D26" s="737">
        <v>1000</v>
      </c>
      <c r="E26" s="1194"/>
      <c r="F26" s="737">
        <v>270</v>
      </c>
      <c r="G26" s="737">
        <v>270</v>
      </c>
      <c r="H26" s="1194"/>
      <c r="I26" s="737">
        <v>98730</v>
      </c>
      <c r="J26" s="737">
        <f>88730-35000-3850+8000</f>
        <v>57880</v>
      </c>
      <c r="K26" s="1194"/>
      <c r="L26" s="739"/>
      <c r="M26" s="737"/>
      <c r="N26" s="1194"/>
      <c r="O26" s="739"/>
      <c r="P26" s="737"/>
      <c r="Q26" s="1194"/>
      <c r="R26" s="739"/>
      <c r="S26" s="737"/>
      <c r="T26" s="1194"/>
      <c r="U26" s="739">
        <v>0</v>
      </c>
      <c r="V26" s="737">
        <f>10000+35000+3850</f>
        <v>48850</v>
      </c>
      <c r="W26" s="1194"/>
      <c r="X26" s="740">
        <f t="shared" si="4"/>
        <v>100000</v>
      </c>
      <c r="Y26" s="741">
        <f t="shared" si="4"/>
        <v>108000</v>
      </c>
      <c r="Z26" s="742">
        <f aca="true" t="shared" si="5" ref="Z26:Z55">Y26/X26</f>
        <v>1.08</v>
      </c>
    </row>
    <row r="27" spans="1:26" s="757" customFormat="1" ht="10.5">
      <c r="A27" s="735" t="s">
        <v>1149</v>
      </c>
      <c r="B27" s="768" t="s">
        <v>793</v>
      </c>
      <c r="C27" s="737"/>
      <c r="D27" s="737"/>
      <c r="E27" s="1194"/>
      <c r="F27" s="737">
        <v>4064</v>
      </c>
      <c r="G27" s="737">
        <v>4064</v>
      </c>
      <c r="H27" s="1194"/>
      <c r="I27" s="737">
        <v>15113</v>
      </c>
      <c r="J27" s="737">
        <v>15113</v>
      </c>
      <c r="K27" s="1194"/>
      <c r="L27" s="739"/>
      <c r="M27" s="737"/>
      <c r="N27" s="1194"/>
      <c r="O27" s="739"/>
      <c r="P27" s="737"/>
      <c r="Q27" s="1194"/>
      <c r="R27" s="739"/>
      <c r="S27" s="737"/>
      <c r="T27" s="1194"/>
      <c r="U27" s="739"/>
      <c r="V27" s="737"/>
      <c r="W27" s="1194"/>
      <c r="X27" s="740">
        <f t="shared" si="4"/>
        <v>19177</v>
      </c>
      <c r="Y27" s="741">
        <f t="shared" si="4"/>
        <v>19177</v>
      </c>
      <c r="Z27" s="742">
        <v>1</v>
      </c>
    </row>
    <row r="28" spans="1:26" s="752" customFormat="1" ht="11.25" customHeight="1">
      <c r="A28" s="735" t="s">
        <v>1150</v>
      </c>
      <c r="B28" s="1223" t="s">
        <v>794</v>
      </c>
      <c r="C28" s="737"/>
      <c r="D28" s="737"/>
      <c r="E28" s="1194"/>
      <c r="F28" s="737">
        <v>3200</v>
      </c>
      <c r="G28" s="737">
        <v>3200</v>
      </c>
      <c r="H28" s="1194"/>
      <c r="I28" s="737">
        <v>14600</v>
      </c>
      <c r="J28" s="737">
        <f>14600-8000</f>
        <v>6600</v>
      </c>
      <c r="K28" s="1194"/>
      <c r="L28" s="739"/>
      <c r="M28" s="737"/>
      <c r="N28" s="1194"/>
      <c r="O28" s="739"/>
      <c r="P28" s="737"/>
      <c r="Q28" s="1194"/>
      <c r="R28" s="739"/>
      <c r="S28" s="737"/>
      <c r="T28" s="1194"/>
      <c r="U28" s="740"/>
      <c r="V28" s="741"/>
      <c r="W28" s="1195"/>
      <c r="X28" s="740">
        <f t="shared" si="4"/>
        <v>17800</v>
      </c>
      <c r="Y28" s="741">
        <f t="shared" si="4"/>
        <v>9800</v>
      </c>
      <c r="Z28" s="742">
        <v>1</v>
      </c>
    </row>
    <row r="29" spans="1:26" s="752" customFormat="1" ht="11.25" customHeight="1">
      <c r="A29" s="735" t="s">
        <v>1150</v>
      </c>
      <c r="B29" s="761" t="s">
        <v>716</v>
      </c>
      <c r="C29" s="739"/>
      <c r="D29" s="737"/>
      <c r="E29" s="1194"/>
      <c r="F29" s="737"/>
      <c r="G29" s="737"/>
      <c r="H29" s="1194"/>
      <c r="I29" s="737"/>
      <c r="J29" s="737"/>
      <c r="K29" s="1194"/>
      <c r="L29" s="739"/>
      <c r="M29" s="737"/>
      <c r="N29" s="1194"/>
      <c r="O29" s="739"/>
      <c r="P29" s="737"/>
      <c r="Q29" s="1194"/>
      <c r="R29" s="737"/>
      <c r="S29" s="737">
        <v>0</v>
      </c>
      <c r="T29" s="1194"/>
      <c r="U29" s="739"/>
      <c r="V29" s="737"/>
      <c r="W29" s="1194"/>
      <c r="X29" s="740">
        <f t="shared" si="4"/>
        <v>0</v>
      </c>
      <c r="Y29" s="741">
        <f t="shared" si="4"/>
        <v>0</v>
      </c>
      <c r="Z29" s="742" t="e">
        <f t="shared" si="5"/>
        <v>#DIV/0!</v>
      </c>
    </row>
    <row r="30" spans="1:26" s="752" customFormat="1" ht="11.25" customHeight="1">
      <c r="A30" s="735" t="s">
        <v>1150</v>
      </c>
      <c r="B30" s="1223" t="s">
        <v>717</v>
      </c>
      <c r="C30" s="739"/>
      <c r="D30" s="737"/>
      <c r="E30" s="1194"/>
      <c r="F30" s="737"/>
      <c r="G30" s="737"/>
      <c r="H30" s="1194"/>
      <c r="I30" s="737"/>
      <c r="J30" s="737"/>
      <c r="K30" s="1194"/>
      <c r="L30" s="739"/>
      <c r="M30" s="737"/>
      <c r="N30" s="1194"/>
      <c r="O30" s="739"/>
      <c r="P30" s="737"/>
      <c r="Q30" s="1194"/>
      <c r="R30" s="737">
        <v>4395</v>
      </c>
      <c r="S30" s="737">
        <f>4395-155</f>
        <v>4240</v>
      </c>
      <c r="T30" s="1194"/>
      <c r="U30" s="739"/>
      <c r="V30" s="737"/>
      <c r="W30" s="1194"/>
      <c r="X30" s="740">
        <f t="shared" si="4"/>
        <v>4395</v>
      </c>
      <c r="Y30" s="741">
        <f t="shared" si="4"/>
        <v>4240</v>
      </c>
      <c r="Z30" s="742">
        <f t="shared" si="5"/>
        <v>0.9647326507394767</v>
      </c>
    </row>
    <row r="31" spans="1:26" s="752" customFormat="1" ht="11.25" customHeight="1">
      <c r="A31" s="735" t="s">
        <v>1150</v>
      </c>
      <c r="B31" s="761" t="s">
        <v>718</v>
      </c>
      <c r="C31" s="739"/>
      <c r="D31" s="737"/>
      <c r="E31" s="1194"/>
      <c r="F31" s="737"/>
      <c r="G31" s="737"/>
      <c r="H31" s="1194"/>
      <c r="I31" s="737">
        <v>9500</v>
      </c>
      <c r="J31" s="737">
        <v>9500</v>
      </c>
      <c r="K31" s="1194"/>
      <c r="L31" s="739"/>
      <c r="M31" s="737"/>
      <c r="N31" s="1194"/>
      <c r="O31" s="739"/>
      <c r="P31" s="737"/>
      <c r="Q31" s="1194"/>
      <c r="R31" s="737"/>
      <c r="S31" s="737"/>
      <c r="T31" s="1194"/>
      <c r="U31" s="739"/>
      <c r="V31" s="737"/>
      <c r="W31" s="1194"/>
      <c r="X31" s="740">
        <f t="shared" si="4"/>
        <v>9500</v>
      </c>
      <c r="Y31" s="741">
        <f t="shared" si="4"/>
        <v>9500</v>
      </c>
      <c r="Z31" s="742">
        <f t="shared" si="5"/>
        <v>1</v>
      </c>
    </row>
    <row r="32" spans="1:26" s="752" customFormat="1" ht="11.25" customHeight="1">
      <c r="A32" s="735" t="s">
        <v>1150</v>
      </c>
      <c r="B32" s="761" t="s">
        <v>719</v>
      </c>
      <c r="C32" s="739"/>
      <c r="D32" s="737"/>
      <c r="E32" s="1194"/>
      <c r="F32" s="737"/>
      <c r="G32" s="737"/>
      <c r="H32" s="1194"/>
      <c r="I32" s="737">
        <v>20000</v>
      </c>
      <c r="J32" s="737">
        <v>20000</v>
      </c>
      <c r="K32" s="1194"/>
      <c r="L32" s="739"/>
      <c r="M32" s="737"/>
      <c r="N32" s="1194"/>
      <c r="O32" s="739"/>
      <c r="P32" s="737"/>
      <c r="Q32" s="1194"/>
      <c r="R32" s="737"/>
      <c r="S32" s="737"/>
      <c r="T32" s="1194"/>
      <c r="U32" s="739"/>
      <c r="V32" s="737"/>
      <c r="W32" s="1194"/>
      <c r="X32" s="740">
        <f t="shared" si="4"/>
        <v>20000</v>
      </c>
      <c r="Y32" s="741">
        <f t="shared" si="4"/>
        <v>20000</v>
      </c>
      <c r="Z32" s="742">
        <f t="shared" si="5"/>
        <v>1</v>
      </c>
    </row>
    <row r="33" spans="1:26" s="752" customFormat="1" ht="11.25" customHeight="1">
      <c r="A33" s="735" t="s">
        <v>1150</v>
      </c>
      <c r="B33" s="1223" t="s">
        <v>720</v>
      </c>
      <c r="C33" s="739"/>
      <c r="D33" s="737"/>
      <c r="E33" s="1194"/>
      <c r="F33" s="737"/>
      <c r="G33" s="737"/>
      <c r="H33" s="1194"/>
      <c r="I33" s="737">
        <v>48000</v>
      </c>
      <c r="J33" s="737">
        <f>48000-1056-2800-8000-1250-5000-3300</f>
        <v>26594</v>
      </c>
      <c r="K33" s="1194"/>
      <c r="L33" s="739"/>
      <c r="M33" s="737"/>
      <c r="N33" s="1194"/>
      <c r="O33" s="739"/>
      <c r="P33" s="737"/>
      <c r="Q33" s="1194"/>
      <c r="R33" s="737"/>
      <c r="S33" s="737"/>
      <c r="T33" s="1194"/>
      <c r="U33" s="739"/>
      <c r="V33" s="737"/>
      <c r="W33" s="1194"/>
      <c r="X33" s="740">
        <f t="shared" si="4"/>
        <v>48000</v>
      </c>
      <c r="Y33" s="741">
        <f t="shared" si="4"/>
        <v>26594</v>
      </c>
      <c r="Z33" s="742">
        <f t="shared" si="5"/>
        <v>0.5540416666666667</v>
      </c>
    </row>
    <row r="34" spans="1:26" s="752" customFormat="1" ht="11.25" customHeight="1">
      <c r="A34" s="735" t="s">
        <v>1150</v>
      </c>
      <c r="B34" s="1259" t="s">
        <v>721</v>
      </c>
      <c r="C34" s="739"/>
      <c r="D34" s="737"/>
      <c r="E34" s="1194"/>
      <c r="F34" s="737"/>
      <c r="G34" s="737"/>
      <c r="H34" s="1194"/>
      <c r="I34" s="737">
        <v>130537</v>
      </c>
      <c r="J34" s="1258">
        <f>130537+42000</f>
        <v>172537</v>
      </c>
      <c r="K34" s="1194"/>
      <c r="L34" s="739"/>
      <c r="M34" s="737"/>
      <c r="N34" s="1194"/>
      <c r="O34" s="739"/>
      <c r="P34" s="737"/>
      <c r="Q34" s="1194"/>
      <c r="R34" s="737"/>
      <c r="S34" s="737"/>
      <c r="T34" s="1194"/>
      <c r="U34" s="739"/>
      <c r="V34" s="737"/>
      <c r="W34" s="1194"/>
      <c r="X34" s="740">
        <f t="shared" si="4"/>
        <v>130537</v>
      </c>
      <c r="Y34" s="741">
        <f t="shared" si="4"/>
        <v>172537</v>
      </c>
      <c r="Z34" s="742">
        <f t="shared" si="5"/>
        <v>1.321747856929453</v>
      </c>
    </row>
    <row r="35" spans="1:26" s="752" customFormat="1" ht="11.25" customHeight="1">
      <c r="A35" s="735" t="s">
        <v>1150</v>
      </c>
      <c r="B35" s="761" t="s">
        <v>722</v>
      </c>
      <c r="C35" s="739"/>
      <c r="D35" s="737"/>
      <c r="E35" s="1194"/>
      <c r="F35" s="737"/>
      <c r="G35" s="737"/>
      <c r="H35" s="1194"/>
      <c r="I35" s="737"/>
      <c r="J35" s="737"/>
      <c r="K35" s="1194"/>
      <c r="L35" s="739"/>
      <c r="M35" s="737"/>
      <c r="N35" s="1194"/>
      <c r="O35" s="739"/>
      <c r="P35" s="737"/>
      <c r="Q35" s="1194"/>
      <c r="R35" s="737"/>
      <c r="S35" s="737"/>
      <c r="T35" s="1194"/>
      <c r="U35" s="737">
        <v>2000</v>
      </c>
      <c r="V35" s="737">
        <v>2000</v>
      </c>
      <c r="W35" s="1194"/>
      <c r="X35" s="740">
        <f t="shared" si="4"/>
        <v>2000</v>
      </c>
      <c r="Y35" s="741">
        <f t="shared" si="4"/>
        <v>2000</v>
      </c>
      <c r="Z35" s="742">
        <f t="shared" si="5"/>
        <v>1</v>
      </c>
    </row>
    <row r="36" spans="1:26" s="752" customFormat="1" ht="11.25" customHeight="1">
      <c r="A36" s="735" t="s">
        <v>1150</v>
      </c>
      <c r="B36" s="761" t="s">
        <v>723</v>
      </c>
      <c r="C36" s="739"/>
      <c r="D36" s="737"/>
      <c r="E36" s="1194"/>
      <c r="F36" s="737"/>
      <c r="G36" s="737"/>
      <c r="H36" s="1194"/>
      <c r="I36" s="737"/>
      <c r="J36" s="737"/>
      <c r="K36" s="1194"/>
      <c r="L36" s="739"/>
      <c r="M36" s="737"/>
      <c r="N36" s="1194"/>
      <c r="O36" s="739"/>
      <c r="P36" s="737"/>
      <c r="Q36" s="1194"/>
      <c r="R36" s="737"/>
      <c r="S36" s="737"/>
      <c r="T36" s="1194"/>
      <c r="U36" s="737">
        <v>3000</v>
      </c>
      <c r="V36" s="737">
        <v>3000</v>
      </c>
      <c r="W36" s="1194"/>
      <c r="X36" s="740">
        <f t="shared" si="4"/>
        <v>3000</v>
      </c>
      <c r="Y36" s="741">
        <f t="shared" si="4"/>
        <v>3000</v>
      </c>
      <c r="Z36" s="742">
        <f t="shared" si="5"/>
        <v>1</v>
      </c>
    </row>
    <row r="37" spans="1:26" s="752" customFormat="1" ht="11.25" customHeight="1">
      <c r="A37" s="735" t="s">
        <v>1150</v>
      </c>
      <c r="B37" s="761" t="s">
        <v>724</v>
      </c>
      <c r="C37" s="739"/>
      <c r="D37" s="737"/>
      <c r="E37" s="1194"/>
      <c r="F37" s="737"/>
      <c r="G37" s="737"/>
      <c r="H37" s="1194"/>
      <c r="I37" s="737">
        <v>1800</v>
      </c>
      <c r="J37" s="737">
        <v>1800</v>
      </c>
      <c r="K37" s="1194"/>
      <c r="L37" s="739"/>
      <c r="M37" s="737"/>
      <c r="N37" s="1194"/>
      <c r="O37" s="739"/>
      <c r="P37" s="737"/>
      <c r="Q37" s="1194"/>
      <c r="R37" s="737"/>
      <c r="S37" s="737"/>
      <c r="T37" s="1194"/>
      <c r="U37" s="737"/>
      <c r="V37" s="737"/>
      <c r="W37" s="1194"/>
      <c r="X37" s="740">
        <f t="shared" si="4"/>
        <v>1800</v>
      </c>
      <c r="Y37" s="741">
        <f t="shared" si="4"/>
        <v>1800</v>
      </c>
      <c r="Z37" s="742">
        <f t="shared" si="5"/>
        <v>1</v>
      </c>
    </row>
    <row r="38" spans="1:26" s="752" customFormat="1" ht="11.25" customHeight="1">
      <c r="A38" s="735" t="s">
        <v>1150</v>
      </c>
      <c r="B38" s="761" t="s">
        <v>725</v>
      </c>
      <c r="C38" s="739"/>
      <c r="D38" s="737"/>
      <c r="E38" s="1194"/>
      <c r="F38" s="737"/>
      <c r="G38" s="737"/>
      <c r="H38" s="1194"/>
      <c r="I38" s="737"/>
      <c r="J38" s="737"/>
      <c r="K38" s="1194"/>
      <c r="L38" s="739"/>
      <c r="M38" s="737"/>
      <c r="N38" s="1194"/>
      <c r="O38" s="739"/>
      <c r="P38" s="737"/>
      <c r="Q38" s="1194"/>
      <c r="R38" s="737"/>
      <c r="S38" s="737"/>
      <c r="T38" s="1194"/>
      <c r="U38" s="737"/>
      <c r="V38" s="737">
        <v>0</v>
      </c>
      <c r="W38" s="1194"/>
      <c r="X38" s="740">
        <f t="shared" si="4"/>
        <v>0</v>
      </c>
      <c r="Y38" s="741">
        <f t="shared" si="4"/>
        <v>0</v>
      </c>
      <c r="Z38" s="742" t="e">
        <f t="shared" si="5"/>
        <v>#DIV/0!</v>
      </c>
    </row>
    <row r="39" spans="1:26" s="752" customFormat="1" ht="11.25" customHeight="1">
      <c r="A39" s="735" t="s">
        <v>1150</v>
      </c>
      <c r="B39" s="761" t="s">
        <v>637</v>
      </c>
      <c r="C39" s="739"/>
      <c r="D39" s="737"/>
      <c r="E39" s="1194"/>
      <c r="F39" s="737"/>
      <c r="G39" s="737"/>
      <c r="H39" s="1194"/>
      <c r="I39" s="737">
        <v>4000</v>
      </c>
      <c r="J39" s="737">
        <v>4000</v>
      </c>
      <c r="K39" s="1194"/>
      <c r="L39" s="739"/>
      <c r="M39" s="737"/>
      <c r="N39" s="1194"/>
      <c r="O39" s="739"/>
      <c r="P39" s="737"/>
      <c r="Q39" s="1194"/>
      <c r="R39" s="737"/>
      <c r="S39" s="737"/>
      <c r="T39" s="1194"/>
      <c r="U39" s="737"/>
      <c r="V39" s="737"/>
      <c r="W39" s="1194"/>
      <c r="X39" s="740">
        <f t="shared" si="4"/>
        <v>4000</v>
      </c>
      <c r="Y39" s="741">
        <f t="shared" si="4"/>
        <v>4000</v>
      </c>
      <c r="Z39" s="742">
        <f t="shared" si="5"/>
        <v>1</v>
      </c>
    </row>
    <row r="40" spans="1:26" s="752" customFormat="1" ht="11.25" customHeight="1">
      <c r="A40" s="735" t="s">
        <v>1150</v>
      </c>
      <c r="B40" s="761" t="s">
        <v>573</v>
      </c>
      <c r="C40" s="739"/>
      <c r="D40" s="737"/>
      <c r="E40" s="1194"/>
      <c r="F40" s="737"/>
      <c r="G40" s="737"/>
      <c r="H40" s="1194"/>
      <c r="I40" s="737">
        <v>1000</v>
      </c>
      <c r="J40" s="737">
        <v>1000</v>
      </c>
      <c r="K40" s="1194"/>
      <c r="L40" s="739"/>
      <c r="M40" s="737"/>
      <c r="N40" s="1194"/>
      <c r="O40" s="739"/>
      <c r="P40" s="737"/>
      <c r="Q40" s="1194"/>
      <c r="R40" s="737"/>
      <c r="S40" s="737"/>
      <c r="T40" s="1194"/>
      <c r="U40" s="737"/>
      <c r="V40" s="737"/>
      <c r="W40" s="1194"/>
      <c r="X40" s="740">
        <f t="shared" si="4"/>
        <v>1000</v>
      </c>
      <c r="Y40" s="741">
        <f t="shared" si="4"/>
        <v>1000</v>
      </c>
      <c r="Z40" s="742">
        <f t="shared" si="5"/>
        <v>1</v>
      </c>
    </row>
    <row r="41" spans="1:26" s="752" customFormat="1" ht="11.25" customHeight="1">
      <c r="A41" s="735"/>
      <c r="B41" s="761" t="s">
        <v>726</v>
      </c>
      <c r="C41" s="739"/>
      <c r="D41" s="737"/>
      <c r="E41" s="1194"/>
      <c r="F41" s="737"/>
      <c r="G41" s="737"/>
      <c r="H41" s="1194"/>
      <c r="I41" s="737"/>
      <c r="J41" s="737">
        <v>0</v>
      </c>
      <c r="K41" s="1194"/>
      <c r="L41" s="739"/>
      <c r="M41" s="737"/>
      <c r="N41" s="1194"/>
      <c r="O41" s="739"/>
      <c r="P41" s="737"/>
      <c r="Q41" s="1194"/>
      <c r="R41" s="737"/>
      <c r="S41" s="737"/>
      <c r="T41" s="1194"/>
      <c r="U41" s="737"/>
      <c r="V41" s="737"/>
      <c r="W41" s="1194"/>
      <c r="X41" s="740">
        <f t="shared" si="4"/>
        <v>0</v>
      </c>
      <c r="Y41" s="741">
        <f t="shared" si="4"/>
        <v>0</v>
      </c>
      <c r="Z41" s="742" t="e">
        <f t="shared" si="5"/>
        <v>#DIV/0!</v>
      </c>
    </row>
    <row r="42" spans="1:26" s="752" customFormat="1" ht="11.25" customHeight="1">
      <c r="A42" s="735" t="s">
        <v>1149</v>
      </c>
      <c r="B42" s="761" t="s">
        <v>727</v>
      </c>
      <c r="C42" s="739"/>
      <c r="D42" s="737"/>
      <c r="E42" s="1194"/>
      <c r="F42" s="737"/>
      <c r="G42" s="737"/>
      <c r="H42" s="1194"/>
      <c r="I42" s="737"/>
      <c r="J42" s="737"/>
      <c r="K42" s="1194"/>
      <c r="L42" s="739"/>
      <c r="M42" s="737"/>
      <c r="N42" s="1194"/>
      <c r="O42" s="739"/>
      <c r="P42" s="737"/>
      <c r="Q42" s="1194"/>
      <c r="R42" s="737"/>
      <c r="S42" s="737"/>
      <c r="T42" s="1194"/>
      <c r="U42" s="737">
        <v>3000</v>
      </c>
      <c r="V42" s="737">
        <v>3000</v>
      </c>
      <c r="W42" s="1194"/>
      <c r="X42" s="740">
        <f t="shared" si="4"/>
        <v>3000</v>
      </c>
      <c r="Y42" s="741">
        <f t="shared" si="4"/>
        <v>3000</v>
      </c>
      <c r="Z42" s="742">
        <f t="shared" si="5"/>
        <v>1</v>
      </c>
    </row>
    <row r="43" spans="1:26" s="752" customFormat="1" ht="11.25" customHeight="1">
      <c r="A43" s="735"/>
      <c r="B43" s="761" t="s">
        <v>728</v>
      </c>
      <c r="C43" s="739"/>
      <c r="D43" s="737"/>
      <c r="E43" s="1194"/>
      <c r="F43" s="737"/>
      <c r="G43" s="737"/>
      <c r="H43" s="1194"/>
      <c r="I43" s="737"/>
      <c r="J43" s="737"/>
      <c r="K43" s="1194"/>
      <c r="L43" s="739"/>
      <c r="M43" s="737"/>
      <c r="N43" s="1194"/>
      <c r="O43" s="739"/>
      <c r="P43" s="737"/>
      <c r="Q43" s="1194"/>
      <c r="R43" s="737"/>
      <c r="S43" s="737">
        <v>0</v>
      </c>
      <c r="T43" s="1194"/>
      <c r="U43" s="737"/>
      <c r="V43" s="737"/>
      <c r="W43" s="1194"/>
      <c r="X43" s="740">
        <f t="shared" si="4"/>
        <v>0</v>
      </c>
      <c r="Y43" s="741">
        <f t="shared" si="4"/>
        <v>0</v>
      </c>
      <c r="Z43" s="742" t="e">
        <f t="shared" si="5"/>
        <v>#DIV/0!</v>
      </c>
    </row>
    <row r="44" spans="1:26" s="752" customFormat="1" ht="11.25" customHeight="1">
      <c r="A44" s="735" t="s">
        <v>1150</v>
      </c>
      <c r="B44" s="736" t="s">
        <v>729</v>
      </c>
      <c r="C44" s="739"/>
      <c r="D44" s="737"/>
      <c r="E44" s="1194"/>
      <c r="F44" s="737"/>
      <c r="G44" s="737"/>
      <c r="H44" s="1194"/>
      <c r="I44" s="737">
        <v>1500</v>
      </c>
      <c r="J44" s="737">
        <v>1500</v>
      </c>
      <c r="K44" s="1194"/>
      <c r="L44" s="739"/>
      <c r="M44" s="737"/>
      <c r="N44" s="1194"/>
      <c r="O44" s="739"/>
      <c r="P44" s="737"/>
      <c r="Q44" s="1194"/>
      <c r="R44" s="739"/>
      <c r="S44" s="737"/>
      <c r="T44" s="1194"/>
      <c r="U44" s="737"/>
      <c r="V44" s="737"/>
      <c r="W44" s="1194"/>
      <c r="X44" s="740">
        <f t="shared" si="4"/>
        <v>1500</v>
      </c>
      <c r="Y44" s="741">
        <f t="shared" si="4"/>
        <v>1500</v>
      </c>
      <c r="Z44" s="742">
        <f t="shared" si="5"/>
        <v>1</v>
      </c>
    </row>
    <row r="45" spans="1:26" s="752" customFormat="1" ht="11.25" customHeight="1">
      <c r="A45" s="735" t="s">
        <v>1150</v>
      </c>
      <c r="B45" s="736" t="s">
        <v>730</v>
      </c>
      <c r="C45" s="739">
        <v>1000</v>
      </c>
      <c r="D45" s="737">
        <v>1000</v>
      </c>
      <c r="E45" s="1194"/>
      <c r="F45" s="737">
        <v>270</v>
      </c>
      <c r="G45" s="737">
        <v>270</v>
      </c>
      <c r="H45" s="1194"/>
      <c r="I45" s="737">
        <v>730</v>
      </c>
      <c r="J45" s="737">
        <v>730</v>
      </c>
      <c r="K45" s="1194"/>
      <c r="L45" s="739"/>
      <c r="M45" s="737"/>
      <c r="N45" s="1194"/>
      <c r="O45" s="739"/>
      <c r="P45" s="737"/>
      <c r="Q45" s="1194"/>
      <c r="R45" s="739"/>
      <c r="S45" s="737"/>
      <c r="T45" s="1194"/>
      <c r="U45" s="737"/>
      <c r="V45" s="737"/>
      <c r="W45" s="1194"/>
      <c r="X45" s="740">
        <f t="shared" si="4"/>
        <v>2000</v>
      </c>
      <c r="Y45" s="741">
        <f t="shared" si="4"/>
        <v>2000</v>
      </c>
      <c r="Z45" s="742">
        <f t="shared" si="5"/>
        <v>1</v>
      </c>
    </row>
    <row r="46" spans="1:26" s="757" customFormat="1" ht="11.25" customHeight="1">
      <c r="A46" s="735"/>
      <c r="B46" s="736" t="s">
        <v>731</v>
      </c>
      <c r="C46" s="739"/>
      <c r="D46" s="737"/>
      <c r="E46" s="1194"/>
      <c r="F46" s="737"/>
      <c r="G46" s="737"/>
      <c r="H46" s="1194"/>
      <c r="I46" s="737"/>
      <c r="J46" s="737"/>
      <c r="K46" s="1194"/>
      <c r="L46" s="739"/>
      <c r="M46" s="737"/>
      <c r="N46" s="1194"/>
      <c r="O46" s="739"/>
      <c r="P46" s="737"/>
      <c r="Q46" s="1194"/>
      <c r="R46" s="739"/>
      <c r="S46" s="737"/>
      <c r="T46" s="1194"/>
      <c r="U46" s="737"/>
      <c r="V46" s="737">
        <v>0</v>
      </c>
      <c r="W46" s="1194"/>
      <c r="X46" s="740">
        <f t="shared" si="4"/>
        <v>0</v>
      </c>
      <c r="Y46" s="741">
        <f t="shared" si="4"/>
        <v>0</v>
      </c>
      <c r="Z46" s="742" t="e">
        <f t="shared" si="5"/>
        <v>#DIV/0!</v>
      </c>
    </row>
    <row r="47" spans="1:26" s="757" customFormat="1" ht="21" customHeight="1">
      <c r="A47" s="735" t="s">
        <v>1150</v>
      </c>
      <c r="B47" s="736" t="s">
        <v>732</v>
      </c>
      <c r="C47" s="739"/>
      <c r="D47" s="737"/>
      <c r="E47" s="1194"/>
      <c r="F47" s="737"/>
      <c r="G47" s="737"/>
      <c r="H47" s="1194"/>
      <c r="I47" s="737">
        <v>2000</v>
      </c>
      <c r="J47" s="737">
        <v>2000</v>
      </c>
      <c r="K47" s="1194"/>
      <c r="L47" s="739"/>
      <c r="M47" s="737"/>
      <c r="N47" s="1194"/>
      <c r="O47" s="739"/>
      <c r="P47" s="737"/>
      <c r="Q47" s="1194"/>
      <c r="R47" s="739"/>
      <c r="S47" s="737"/>
      <c r="T47" s="1194"/>
      <c r="U47" s="739"/>
      <c r="V47" s="737"/>
      <c r="W47" s="1194"/>
      <c r="X47" s="740">
        <f t="shared" si="4"/>
        <v>2000</v>
      </c>
      <c r="Y47" s="741">
        <f t="shared" si="4"/>
        <v>2000</v>
      </c>
      <c r="Z47" s="742">
        <f t="shared" si="5"/>
        <v>1</v>
      </c>
    </row>
    <row r="48" spans="1:26" s="757" customFormat="1" ht="11.25" customHeight="1">
      <c r="A48" s="735" t="s">
        <v>1150</v>
      </c>
      <c r="B48" s="762" t="s">
        <v>733</v>
      </c>
      <c r="C48" s="763"/>
      <c r="D48" s="764"/>
      <c r="E48" s="1194"/>
      <c r="F48" s="737"/>
      <c r="G48" s="737"/>
      <c r="H48" s="1194"/>
      <c r="I48" s="737">
        <v>2800</v>
      </c>
      <c r="J48" s="737">
        <v>2800</v>
      </c>
      <c r="K48" s="1194"/>
      <c r="L48" s="739"/>
      <c r="M48" s="737"/>
      <c r="N48" s="1194"/>
      <c r="O48" s="739">
        <v>199000</v>
      </c>
      <c r="P48" s="737">
        <v>212200</v>
      </c>
      <c r="Q48" s="1194"/>
      <c r="R48" s="739"/>
      <c r="S48" s="737"/>
      <c r="T48" s="1194"/>
      <c r="U48" s="739"/>
      <c r="V48" s="737"/>
      <c r="W48" s="1194"/>
      <c r="X48" s="740">
        <f t="shared" si="4"/>
        <v>201800</v>
      </c>
      <c r="Y48" s="741">
        <f t="shared" si="4"/>
        <v>215000</v>
      </c>
      <c r="Z48" s="742">
        <f t="shared" si="5"/>
        <v>1.0654112983151636</v>
      </c>
    </row>
    <row r="49" spans="1:26" s="757" customFormat="1" ht="11.25" customHeight="1">
      <c r="A49" s="735"/>
      <c r="B49" s="762" t="s">
        <v>734</v>
      </c>
      <c r="C49" s="763"/>
      <c r="D49" s="764"/>
      <c r="E49" s="1194"/>
      <c r="F49" s="737"/>
      <c r="G49" s="737"/>
      <c r="H49" s="1194"/>
      <c r="I49" s="737"/>
      <c r="J49" s="737">
        <v>0</v>
      </c>
      <c r="K49" s="1194"/>
      <c r="L49" s="739"/>
      <c r="M49" s="737"/>
      <c r="N49" s="1194"/>
      <c r="O49" s="739"/>
      <c r="P49" s="737"/>
      <c r="Q49" s="1194"/>
      <c r="R49" s="739"/>
      <c r="S49" s="737"/>
      <c r="T49" s="1194"/>
      <c r="U49" s="739"/>
      <c r="V49" s="737"/>
      <c r="W49" s="1194"/>
      <c r="X49" s="740">
        <f t="shared" si="4"/>
        <v>0</v>
      </c>
      <c r="Y49" s="741">
        <f t="shared" si="4"/>
        <v>0</v>
      </c>
      <c r="Z49" s="742" t="e">
        <f t="shared" si="5"/>
        <v>#DIV/0!</v>
      </c>
    </row>
    <row r="50" spans="1:26" s="757" customFormat="1" ht="11.25" customHeight="1">
      <c r="A50" s="735" t="s">
        <v>1150</v>
      </c>
      <c r="B50" s="765" t="s">
        <v>735</v>
      </c>
      <c r="C50" s="763"/>
      <c r="D50" s="764"/>
      <c r="E50" s="1194"/>
      <c r="F50" s="737"/>
      <c r="G50" s="737"/>
      <c r="H50" s="1194"/>
      <c r="I50" s="737"/>
      <c r="J50" s="737"/>
      <c r="K50" s="1194"/>
      <c r="L50" s="739"/>
      <c r="M50" s="737"/>
      <c r="N50" s="1194"/>
      <c r="O50" s="739"/>
      <c r="P50" s="737"/>
      <c r="Q50" s="1194"/>
      <c r="R50" s="739">
        <v>200000</v>
      </c>
      <c r="S50" s="737">
        <v>200000</v>
      </c>
      <c r="T50" s="1194"/>
      <c r="U50" s="739"/>
      <c r="V50" s="737"/>
      <c r="W50" s="1194"/>
      <c r="X50" s="740">
        <f t="shared" si="4"/>
        <v>200000</v>
      </c>
      <c r="Y50" s="741">
        <f t="shared" si="4"/>
        <v>200000</v>
      </c>
      <c r="Z50" s="742">
        <f t="shared" si="5"/>
        <v>1</v>
      </c>
    </row>
    <row r="51" spans="1:26" s="757" customFormat="1" ht="21.75" customHeight="1">
      <c r="A51" s="735"/>
      <c r="B51" s="736" t="s">
        <v>736</v>
      </c>
      <c r="C51" s="739"/>
      <c r="D51" s="737"/>
      <c r="E51" s="1194"/>
      <c r="F51" s="737"/>
      <c r="G51" s="737"/>
      <c r="H51" s="1194"/>
      <c r="I51" s="737"/>
      <c r="J51" s="737">
        <v>0</v>
      </c>
      <c r="K51" s="1194"/>
      <c r="L51" s="739"/>
      <c r="M51" s="737"/>
      <c r="N51" s="1194"/>
      <c r="O51" s="739"/>
      <c r="P51" s="737"/>
      <c r="Q51" s="1194"/>
      <c r="R51" s="739"/>
      <c r="S51" s="737"/>
      <c r="T51" s="1194"/>
      <c r="U51" s="739"/>
      <c r="V51" s="737"/>
      <c r="W51" s="1194"/>
      <c r="X51" s="740">
        <f t="shared" si="4"/>
        <v>0</v>
      </c>
      <c r="Y51" s="741">
        <f t="shared" si="4"/>
        <v>0</v>
      </c>
      <c r="Z51" s="742" t="e">
        <f t="shared" si="5"/>
        <v>#DIV/0!</v>
      </c>
    </row>
    <row r="52" spans="1:26" s="757" customFormat="1" ht="21" customHeight="1">
      <c r="A52" s="735" t="s">
        <v>1149</v>
      </c>
      <c r="B52" s="736" t="s">
        <v>654</v>
      </c>
      <c r="C52" s="739">
        <v>4157</v>
      </c>
      <c r="D52" s="737">
        <v>4157</v>
      </c>
      <c r="E52" s="1194"/>
      <c r="F52" s="737">
        <v>1167</v>
      </c>
      <c r="G52" s="737">
        <v>1167</v>
      </c>
      <c r="H52" s="1194"/>
      <c r="I52" s="737">
        <v>9512</v>
      </c>
      <c r="J52" s="737">
        <v>12077</v>
      </c>
      <c r="K52" s="1194"/>
      <c r="L52" s="739"/>
      <c r="M52" s="737"/>
      <c r="N52" s="1194"/>
      <c r="O52" s="739"/>
      <c r="P52" s="737"/>
      <c r="Q52" s="1194"/>
      <c r="R52" s="739"/>
      <c r="S52" s="737"/>
      <c r="T52" s="1194"/>
      <c r="U52" s="739"/>
      <c r="V52" s="737"/>
      <c r="W52" s="1194"/>
      <c r="X52" s="740">
        <f t="shared" si="4"/>
        <v>14836</v>
      </c>
      <c r="Y52" s="741">
        <f t="shared" si="4"/>
        <v>17401</v>
      </c>
      <c r="Z52" s="742">
        <f t="shared" si="5"/>
        <v>1.1728902669183068</v>
      </c>
    </row>
    <row r="53" spans="1:26" s="757" customFormat="1" ht="11.25" customHeight="1">
      <c r="A53" s="735" t="s">
        <v>1150</v>
      </c>
      <c r="B53" s="754" t="s">
        <v>737</v>
      </c>
      <c r="C53" s="739"/>
      <c r="D53" s="737"/>
      <c r="E53" s="1194"/>
      <c r="F53" s="737"/>
      <c r="G53" s="737"/>
      <c r="H53" s="1194"/>
      <c r="I53" s="737">
        <v>20000</v>
      </c>
      <c r="J53" s="737">
        <f>20000+13000</f>
        <v>33000</v>
      </c>
      <c r="K53" s="1194"/>
      <c r="L53" s="739"/>
      <c r="M53" s="737"/>
      <c r="N53" s="1194"/>
      <c r="O53" s="739"/>
      <c r="P53" s="737"/>
      <c r="Q53" s="1194"/>
      <c r="R53" s="739"/>
      <c r="S53" s="737"/>
      <c r="T53" s="1194"/>
      <c r="U53" s="739"/>
      <c r="V53" s="737"/>
      <c r="W53" s="1194"/>
      <c r="X53" s="740">
        <f t="shared" si="4"/>
        <v>20000</v>
      </c>
      <c r="Y53" s="741">
        <f t="shared" si="4"/>
        <v>33000</v>
      </c>
      <c r="Z53" s="742">
        <f t="shared" si="5"/>
        <v>1.65</v>
      </c>
    </row>
    <row r="54" spans="1:26" s="757" customFormat="1" ht="10.5" customHeight="1">
      <c r="A54" s="735"/>
      <c r="B54" s="736" t="s">
        <v>738</v>
      </c>
      <c r="C54" s="739"/>
      <c r="D54" s="737"/>
      <c r="E54" s="1194"/>
      <c r="F54" s="737"/>
      <c r="G54" s="737"/>
      <c r="H54" s="1194"/>
      <c r="I54" s="737"/>
      <c r="J54" s="737"/>
      <c r="K54" s="1194"/>
      <c r="L54" s="739"/>
      <c r="M54" s="737"/>
      <c r="N54" s="1194"/>
      <c r="O54" s="739"/>
      <c r="P54" s="737"/>
      <c r="Q54" s="1194"/>
      <c r="R54" s="739"/>
      <c r="S54" s="737"/>
      <c r="T54" s="1194"/>
      <c r="U54" s="739"/>
      <c r="V54" s="737">
        <v>0</v>
      </c>
      <c r="W54" s="1194"/>
      <c r="X54" s="740">
        <f t="shared" si="4"/>
        <v>0</v>
      </c>
      <c r="Y54" s="741">
        <f t="shared" si="4"/>
        <v>0</v>
      </c>
      <c r="Z54" s="742" t="e">
        <f t="shared" si="5"/>
        <v>#DIV/0!</v>
      </c>
    </row>
    <row r="55" spans="1:26" s="757" customFormat="1" ht="12" customHeight="1">
      <c r="A55" s="735"/>
      <c r="B55" s="736" t="s">
        <v>739</v>
      </c>
      <c r="C55" s="739"/>
      <c r="D55" s="737"/>
      <c r="E55" s="1194"/>
      <c r="F55" s="737"/>
      <c r="G55" s="737"/>
      <c r="H55" s="1194"/>
      <c r="I55" s="737"/>
      <c r="J55" s="737"/>
      <c r="K55" s="1194"/>
      <c r="L55" s="739"/>
      <c r="M55" s="737"/>
      <c r="N55" s="1194"/>
      <c r="O55" s="739"/>
      <c r="P55" s="737"/>
      <c r="Q55" s="1194"/>
      <c r="R55" s="739"/>
      <c r="S55" s="737"/>
      <c r="T55" s="1194"/>
      <c r="U55" s="739"/>
      <c r="V55" s="737">
        <v>0</v>
      </c>
      <c r="W55" s="1194"/>
      <c r="X55" s="740">
        <f aca="true" t="shared" si="6" ref="X55:Y73">C55+F55+I55+L55+R55+U55+O55</f>
        <v>0</v>
      </c>
      <c r="Y55" s="741">
        <f t="shared" si="6"/>
        <v>0</v>
      </c>
      <c r="Z55" s="742" t="e">
        <f t="shared" si="5"/>
        <v>#DIV/0!</v>
      </c>
    </row>
    <row r="56" spans="1:26" s="757" customFormat="1" ht="12" customHeight="1">
      <c r="A56" s="735" t="s">
        <v>1150</v>
      </c>
      <c r="B56" s="765" t="s">
        <v>761</v>
      </c>
      <c r="C56" s="739"/>
      <c r="D56" s="737"/>
      <c r="E56" s="1194"/>
      <c r="F56" s="739"/>
      <c r="G56" s="737"/>
      <c r="H56" s="1194"/>
      <c r="I56" s="739">
        <v>11200</v>
      </c>
      <c r="J56" s="737">
        <v>11200</v>
      </c>
      <c r="K56" s="1194"/>
      <c r="L56" s="739"/>
      <c r="M56" s="737"/>
      <c r="N56" s="1194"/>
      <c r="O56" s="739"/>
      <c r="P56" s="737"/>
      <c r="Q56" s="1194"/>
      <c r="R56" s="739"/>
      <c r="S56" s="737"/>
      <c r="T56" s="1194"/>
      <c r="U56" s="739"/>
      <c r="V56" s="737"/>
      <c r="W56" s="1194"/>
      <c r="X56" s="740">
        <f t="shared" si="6"/>
        <v>11200</v>
      </c>
      <c r="Y56" s="741">
        <f t="shared" si="6"/>
        <v>11200</v>
      </c>
      <c r="Z56" s="742">
        <v>0</v>
      </c>
    </row>
    <row r="57" spans="1:26" s="757" customFormat="1" ht="12" customHeight="1">
      <c r="A57" s="735" t="s">
        <v>1150</v>
      </c>
      <c r="B57" s="762" t="s">
        <v>740</v>
      </c>
      <c r="C57" s="763"/>
      <c r="D57" s="764"/>
      <c r="E57" s="1194"/>
      <c r="F57" s="739"/>
      <c r="G57" s="737"/>
      <c r="H57" s="1194"/>
      <c r="I57" s="739">
        <v>3000</v>
      </c>
      <c r="J57" s="737">
        <v>3000</v>
      </c>
      <c r="K57" s="1194"/>
      <c r="L57" s="739"/>
      <c r="M57" s="737"/>
      <c r="N57" s="1194"/>
      <c r="O57" s="739"/>
      <c r="P57" s="737"/>
      <c r="Q57" s="1194"/>
      <c r="R57" s="739"/>
      <c r="S57" s="737"/>
      <c r="T57" s="1194"/>
      <c r="U57" s="739"/>
      <c r="V57" s="737"/>
      <c r="W57" s="1194"/>
      <c r="X57" s="740">
        <f t="shared" si="6"/>
        <v>3000</v>
      </c>
      <c r="Y57" s="741">
        <f t="shared" si="6"/>
        <v>3000</v>
      </c>
      <c r="Z57" s="742">
        <v>0</v>
      </c>
    </row>
    <row r="58" spans="1:26" s="757" customFormat="1" ht="24" customHeight="1">
      <c r="A58" s="735" t="s">
        <v>1150</v>
      </c>
      <c r="B58" s="736" t="s">
        <v>741</v>
      </c>
      <c r="C58" s="763"/>
      <c r="D58" s="764"/>
      <c r="E58" s="1194"/>
      <c r="F58" s="739"/>
      <c r="G58" s="737"/>
      <c r="H58" s="1194"/>
      <c r="I58" s="739">
        <v>1775</v>
      </c>
      <c r="J58" s="737">
        <f>1750+25</f>
        <v>1775</v>
      </c>
      <c r="K58" s="1194"/>
      <c r="L58" s="739"/>
      <c r="M58" s="737"/>
      <c r="N58" s="1194"/>
      <c r="O58" s="739"/>
      <c r="P58" s="737"/>
      <c r="Q58" s="1194"/>
      <c r="R58" s="739"/>
      <c r="S58" s="737"/>
      <c r="T58" s="1194"/>
      <c r="U58" s="739"/>
      <c r="V58" s="737"/>
      <c r="W58" s="1194"/>
      <c r="X58" s="740">
        <f t="shared" si="6"/>
        <v>1775</v>
      </c>
      <c r="Y58" s="741">
        <f t="shared" si="6"/>
        <v>1775</v>
      </c>
      <c r="Z58" s="742">
        <v>0</v>
      </c>
    </row>
    <row r="59" spans="1:26" s="757" customFormat="1" ht="22.5" customHeight="1">
      <c r="A59" s="735" t="s">
        <v>1150</v>
      </c>
      <c r="B59" s="736" t="s">
        <v>742</v>
      </c>
      <c r="C59" s="763"/>
      <c r="D59" s="764"/>
      <c r="E59" s="1194"/>
      <c r="F59" s="739"/>
      <c r="G59" s="737"/>
      <c r="H59" s="1194"/>
      <c r="I59" s="739">
        <v>3658</v>
      </c>
      <c r="J59" s="737">
        <v>16041</v>
      </c>
      <c r="K59" s="1194"/>
      <c r="L59" s="739"/>
      <c r="M59" s="737"/>
      <c r="N59" s="1194"/>
      <c r="O59" s="739"/>
      <c r="P59" s="737"/>
      <c r="Q59" s="1194"/>
      <c r="R59" s="739"/>
      <c r="S59" s="737"/>
      <c r="T59" s="1194"/>
      <c r="U59" s="739"/>
      <c r="V59" s="737"/>
      <c r="W59" s="1194"/>
      <c r="X59" s="740">
        <f t="shared" si="6"/>
        <v>3658</v>
      </c>
      <c r="Y59" s="741">
        <f t="shared" si="6"/>
        <v>16041</v>
      </c>
      <c r="Z59" s="742">
        <v>0</v>
      </c>
    </row>
    <row r="60" spans="1:26" s="757" customFormat="1" ht="11.25" customHeight="1">
      <c r="A60" s="735" t="s">
        <v>1150</v>
      </c>
      <c r="B60" s="736" t="s">
        <v>743</v>
      </c>
      <c r="C60" s="739"/>
      <c r="D60" s="737"/>
      <c r="E60" s="1194"/>
      <c r="F60" s="739"/>
      <c r="G60" s="737"/>
      <c r="H60" s="1194"/>
      <c r="I60" s="739"/>
      <c r="J60" s="737"/>
      <c r="K60" s="1194"/>
      <c r="L60" s="739"/>
      <c r="M60" s="737"/>
      <c r="N60" s="1194"/>
      <c r="O60" s="739"/>
      <c r="P60" s="737"/>
      <c r="Q60" s="1194"/>
      <c r="R60" s="739">
        <v>6300</v>
      </c>
      <c r="S60" s="737">
        <v>6300</v>
      </c>
      <c r="T60" s="1194"/>
      <c r="U60" s="739"/>
      <c r="V60" s="737"/>
      <c r="W60" s="1194"/>
      <c r="X60" s="740">
        <f t="shared" si="6"/>
        <v>6300</v>
      </c>
      <c r="Y60" s="741">
        <f t="shared" si="6"/>
        <v>6300</v>
      </c>
      <c r="Z60" s="742">
        <v>0</v>
      </c>
    </row>
    <row r="61" spans="1:26" s="757" customFormat="1" ht="21">
      <c r="A61" s="735" t="s">
        <v>1150</v>
      </c>
      <c r="B61" s="736" t="s">
        <v>744</v>
      </c>
      <c r="C61" s="739"/>
      <c r="D61" s="766"/>
      <c r="E61" s="1194"/>
      <c r="F61" s="739"/>
      <c r="G61" s="766"/>
      <c r="H61" s="1194"/>
      <c r="I61" s="739"/>
      <c r="J61" s="766"/>
      <c r="K61" s="1194"/>
      <c r="L61" s="739"/>
      <c r="M61" s="767"/>
      <c r="N61" s="1194"/>
      <c r="O61" s="739"/>
      <c r="P61" s="767"/>
      <c r="Q61" s="1194"/>
      <c r="R61" s="739"/>
      <c r="S61" s="737"/>
      <c r="T61" s="1194"/>
      <c r="U61" s="739">
        <v>94830</v>
      </c>
      <c r="V61" s="737">
        <v>94830</v>
      </c>
      <c r="W61" s="1194"/>
      <c r="X61" s="740">
        <f t="shared" si="6"/>
        <v>94830</v>
      </c>
      <c r="Y61" s="741">
        <f t="shared" si="6"/>
        <v>94830</v>
      </c>
      <c r="Z61" s="742">
        <v>0</v>
      </c>
    </row>
    <row r="62" spans="1:26" s="757" customFormat="1" ht="21">
      <c r="A62" s="735" t="s">
        <v>1150</v>
      </c>
      <c r="B62" s="754" t="s">
        <v>745</v>
      </c>
      <c r="C62" s="739"/>
      <c r="D62" s="766"/>
      <c r="E62" s="1194"/>
      <c r="F62" s="739"/>
      <c r="G62" s="766"/>
      <c r="H62" s="1194"/>
      <c r="I62" s="739"/>
      <c r="J62" s="766"/>
      <c r="K62" s="1194"/>
      <c r="L62" s="739"/>
      <c r="M62" s="767"/>
      <c r="N62" s="1194"/>
      <c r="O62" s="739"/>
      <c r="P62" s="767"/>
      <c r="Q62" s="1194"/>
      <c r="R62" s="739">
        <v>20</v>
      </c>
      <c r="S62" s="737">
        <f>20-20</f>
        <v>0</v>
      </c>
      <c r="T62" s="1194"/>
      <c r="U62" s="739">
        <v>0</v>
      </c>
      <c r="V62" s="737">
        <v>20</v>
      </c>
      <c r="W62" s="1194"/>
      <c r="X62" s="740">
        <f t="shared" si="6"/>
        <v>20</v>
      </c>
      <c r="Y62" s="741">
        <f t="shared" si="6"/>
        <v>20</v>
      </c>
      <c r="Z62" s="742">
        <v>0</v>
      </c>
    </row>
    <row r="63" spans="1:26" s="757" customFormat="1" ht="10.5">
      <c r="A63" s="735" t="s">
        <v>1149</v>
      </c>
      <c r="B63" s="736" t="s">
        <v>746</v>
      </c>
      <c r="C63" s="739"/>
      <c r="D63" s="766"/>
      <c r="E63" s="1194"/>
      <c r="F63" s="739"/>
      <c r="G63" s="766"/>
      <c r="H63" s="1194"/>
      <c r="I63" s="739">
        <v>4978</v>
      </c>
      <c r="J63" s="737">
        <v>4978</v>
      </c>
      <c r="K63" s="1194"/>
      <c r="L63" s="739"/>
      <c r="M63" s="767"/>
      <c r="N63" s="1194"/>
      <c r="O63" s="739"/>
      <c r="P63" s="767"/>
      <c r="Q63" s="1194"/>
      <c r="R63" s="739"/>
      <c r="S63" s="737"/>
      <c r="T63" s="1194"/>
      <c r="U63" s="739"/>
      <c r="V63" s="737"/>
      <c r="W63" s="1194"/>
      <c r="X63" s="740">
        <f t="shared" si="6"/>
        <v>4978</v>
      </c>
      <c r="Y63" s="741">
        <f t="shared" si="6"/>
        <v>4978</v>
      </c>
      <c r="Z63" s="742">
        <v>0</v>
      </c>
    </row>
    <row r="64" spans="1:26" s="757" customFormat="1" ht="10.5">
      <c r="A64" s="735" t="s">
        <v>1150</v>
      </c>
      <c r="B64" s="768" t="s">
        <v>1287</v>
      </c>
      <c r="C64" s="739">
        <v>20995</v>
      </c>
      <c r="D64" s="766">
        <v>20995</v>
      </c>
      <c r="E64" s="1194"/>
      <c r="F64" s="739">
        <v>5669</v>
      </c>
      <c r="G64" s="766">
        <v>5669</v>
      </c>
      <c r="H64" s="1194"/>
      <c r="I64" s="739"/>
      <c r="J64" s="766"/>
      <c r="K64" s="1194"/>
      <c r="L64" s="739"/>
      <c r="M64" s="767"/>
      <c r="N64" s="1194"/>
      <c r="O64" s="739"/>
      <c r="P64" s="767"/>
      <c r="Q64" s="1194"/>
      <c r="R64" s="739"/>
      <c r="S64" s="737"/>
      <c r="T64" s="1194"/>
      <c r="U64" s="739"/>
      <c r="V64" s="737"/>
      <c r="W64" s="1194"/>
      <c r="X64" s="740">
        <f t="shared" si="6"/>
        <v>26664</v>
      </c>
      <c r="Y64" s="741">
        <f t="shared" si="6"/>
        <v>26664</v>
      </c>
      <c r="Z64" s="742">
        <v>1</v>
      </c>
    </row>
    <row r="65" spans="1:26" s="757" customFormat="1" ht="10.5">
      <c r="A65" s="735" t="s">
        <v>1150</v>
      </c>
      <c r="B65" s="754" t="s">
        <v>995</v>
      </c>
      <c r="C65" s="739"/>
      <c r="D65" s="766"/>
      <c r="E65" s="1194"/>
      <c r="F65" s="739"/>
      <c r="G65" s="766"/>
      <c r="H65" s="1194"/>
      <c r="I65" s="739"/>
      <c r="J65" s="766"/>
      <c r="K65" s="1194"/>
      <c r="L65" s="739"/>
      <c r="M65" s="767"/>
      <c r="N65" s="1194"/>
      <c r="O65" s="739"/>
      <c r="P65" s="767"/>
      <c r="Q65" s="1194"/>
      <c r="R65" s="739"/>
      <c r="S65" s="737"/>
      <c r="T65" s="1194"/>
      <c r="U65" s="739">
        <v>11250</v>
      </c>
      <c r="V65" s="737">
        <f>11250+11250</f>
        <v>22500</v>
      </c>
      <c r="W65" s="1194"/>
      <c r="X65" s="740">
        <f t="shared" si="6"/>
        <v>11250</v>
      </c>
      <c r="Y65" s="741">
        <f>D65+G65+J65+M65+S65+V65+P65</f>
        <v>22500</v>
      </c>
      <c r="Z65" s="742">
        <f>Y65/X65</f>
        <v>2</v>
      </c>
    </row>
    <row r="66" spans="1:26" s="757" customFormat="1" ht="10.5">
      <c r="A66" s="735" t="s">
        <v>1150</v>
      </c>
      <c r="B66" s="761" t="s">
        <v>762</v>
      </c>
      <c r="C66" s="739"/>
      <c r="D66" s="766"/>
      <c r="E66" s="1194"/>
      <c r="F66" s="739"/>
      <c r="G66" s="766"/>
      <c r="H66" s="1194"/>
      <c r="I66" s="739">
        <v>1200</v>
      </c>
      <c r="J66" s="766">
        <v>1200</v>
      </c>
      <c r="K66" s="1194"/>
      <c r="L66" s="739"/>
      <c r="M66" s="767"/>
      <c r="N66" s="1194"/>
      <c r="O66" s="739"/>
      <c r="P66" s="767"/>
      <c r="Q66" s="1194"/>
      <c r="R66" s="739"/>
      <c r="S66" s="737"/>
      <c r="T66" s="1194"/>
      <c r="U66" s="739"/>
      <c r="V66" s="737"/>
      <c r="W66" s="1194"/>
      <c r="X66" s="740">
        <f t="shared" si="6"/>
        <v>1200</v>
      </c>
      <c r="Y66" s="741">
        <f t="shared" si="6"/>
        <v>1200</v>
      </c>
      <c r="Z66" s="742">
        <v>0</v>
      </c>
    </row>
    <row r="67" spans="1:26" s="757" customFormat="1" ht="10.5">
      <c r="A67" s="735" t="s">
        <v>1149</v>
      </c>
      <c r="B67" s="768" t="s">
        <v>1300</v>
      </c>
      <c r="C67" s="739"/>
      <c r="D67" s="766"/>
      <c r="E67" s="1194"/>
      <c r="F67" s="739"/>
      <c r="G67" s="766"/>
      <c r="H67" s="1194"/>
      <c r="I67" s="739">
        <v>1588</v>
      </c>
      <c r="J67" s="766">
        <v>1588</v>
      </c>
      <c r="K67" s="1194"/>
      <c r="L67" s="739"/>
      <c r="M67" s="767"/>
      <c r="N67" s="1194"/>
      <c r="O67" s="739"/>
      <c r="P67" s="767"/>
      <c r="Q67" s="1194"/>
      <c r="R67" s="739"/>
      <c r="S67" s="737"/>
      <c r="T67" s="1194"/>
      <c r="U67" s="739"/>
      <c r="V67" s="737"/>
      <c r="W67" s="1194"/>
      <c r="X67" s="740">
        <f t="shared" si="6"/>
        <v>1588</v>
      </c>
      <c r="Y67" s="741">
        <f t="shared" si="6"/>
        <v>1588</v>
      </c>
      <c r="Z67" s="742">
        <v>0</v>
      </c>
    </row>
    <row r="68" spans="1:26" s="757" customFormat="1" ht="10.5">
      <c r="A68" s="1220" t="s">
        <v>1149</v>
      </c>
      <c r="B68" s="768" t="s">
        <v>763</v>
      </c>
      <c r="C68" s="739"/>
      <c r="D68" s="766"/>
      <c r="E68" s="1194"/>
      <c r="F68" s="739"/>
      <c r="G68" s="766"/>
      <c r="H68" s="1194"/>
      <c r="I68" s="739"/>
      <c r="J68" s="766"/>
      <c r="K68" s="1194"/>
      <c r="L68" s="739"/>
      <c r="M68" s="767"/>
      <c r="N68" s="1194"/>
      <c r="O68" s="739"/>
      <c r="P68" s="767"/>
      <c r="Q68" s="1194"/>
      <c r="R68" s="739">
        <v>355</v>
      </c>
      <c r="S68" s="737">
        <v>355</v>
      </c>
      <c r="T68" s="1194"/>
      <c r="U68" s="739"/>
      <c r="V68" s="737"/>
      <c r="W68" s="1194"/>
      <c r="X68" s="740">
        <f t="shared" si="6"/>
        <v>355</v>
      </c>
      <c r="Y68" s="741">
        <f t="shared" si="6"/>
        <v>355</v>
      </c>
      <c r="Z68" s="742">
        <v>0</v>
      </c>
    </row>
    <row r="69" spans="1:26" s="757" customFormat="1" ht="10.5">
      <c r="A69" s="735" t="s">
        <v>1150</v>
      </c>
      <c r="B69" s="761" t="s">
        <v>982</v>
      </c>
      <c r="C69" s="737"/>
      <c r="D69" s="737"/>
      <c r="E69" s="1194"/>
      <c r="F69" s="737"/>
      <c r="G69" s="737"/>
      <c r="H69" s="1194"/>
      <c r="I69" s="737"/>
      <c r="J69" s="737"/>
      <c r="K69" s="1194"/>
      <c r="L69" s="739"/>
      <c r="M69" s="737"/>
      <c r="N69" s="1194"/>
      <c r="O69" s="739"/>
      <c r="P69" s="737"/>
      <c r="Q69" s="1194"/>
      <c r="R69" s="739">
        <v>1000</v>
      </c>
      <c r="S69" s="737">
        <v>1000</v>
      </c>
      <c r="T69" s="1194"/>
      <c r="U69" s="740"/>
      <c r="V69" s="741"/>
      <c r="W69" s="1195"/>
      <c r="X69" s="740">
        <f t="shared" si="6"/>
        <v>1000</v>
      </c>
      <c r="Y69" s="741">
        <f t="shared" si="6"/>
        <v>1000</v>
      </c>
      <c r="Z69" s="742"/>
    </row>
    <row r="70" spans="1:26" s="757" customFormat="1" ht="10.5">
      <c r="A70" s="735" t="s">
        <v>1150</v>
      </c>
      <c r="B70" s="1223" t="s">
        <v>983</v>
      </c>
      <c r="C70" s="737"/>
      <c r="D70" s="737"/>
      <c r="E70" s="1194"/>
      <c r="F70" s="737"/>
      <c r="G70" s="737"/>
      <c r="H70" s="1194"/>
      <c r="I70" s="737">
        <v>400</v>
      </c>
      <c r="J70" s="737">
        <f>400+400</f>
        <v>800</v>
      </c>
      <c r="K70" s="1194"/>
      <c r="L70" s="739"/>
      <c r="M70" s="737"/>
      <c r="N70" s="1194"/>
      <c r="O70" s="739"/>
      <c r="P70" s="737"/>
      <c r="Q70" s="1194"/>
      <c r="R70" s="739"/>
      <c r="S70" s="737"/>
      <c r="T70" s="1194"/>
      <c r="U70" s="740"/>
      <c r="V70" s="741"/>
      <c r="W70" s="1195"/>
      <c r="X70" s="740">
        <f t="shared" si="6"/>
        <v>400</v>
      </c>
      <c r="Y70" s="741">
        <f t="shared" si="6"/>
        <v>800</v>
      </c>
      <c r="Z70" s="742"/>
    </row>
    <row r="71" spans="1:26" s="757" customFormat="1" ht="10.5">
      <c r="A71" s="1220" t="s">
        <v>1150</v>
      </c>
      <c r="B71" s="768" t="s">
        <v>1217</v>
      </c>
      <c r="C71" s="739"/>
      <c r="D71" s="766"/>
      <c r="E71" s="1194"/>
      <c r="F71" s="739"/>
      <c r="G71" s="766"/>
      <c r="H71" s="1194"/>
      <c r="I71" s="739"/>
      <c r="J71" s="766"/>
      <c r="K71" s="1194"/>
      <c r="L71" s="739"/>
      <c r="M71" s="767"/>
      <c r="N71" s="1194"/>
      <c r="O71" s="739"/>
      <c r="P71" s="767"/>
      <c r="Q71" s="1194"/>
      <c r="R71" s="739">
        <v>0</v>
      </c>
      <c r="S71" s="737">
        <v>891</v>
      </c>
      <c r="T71" s="1194"/>
      <c r="U71" s="739"/>
      <c r="V71" s="737"/>
      <c r="W71" s="1194"/>
      <c r="X71" s="740">
        <f t="shared" si="6"/>
        <v>0</v>
      </c>
      <c r="Y71" s="741">
        <f t="shared" si="6"/>
        <v>891</v>
      </c>
      <c r="Z71" s="742"/>
    </row>
    <row r="72" spans="1:26" s="757" customFormat="1" ht="10.5">
      <c r="A72" s="735" t="s">
        <v>1150</v>
      </c>
      <c r="B72" s="1131" t="s">
        <v>1288</v>
      </c>
      <c r="C72" s="739"/>
      <c r="D72" s="766"/>
      <c r="E72" s="1194"/>
      <c r="F72" s="739"/>
      <c r="G72" s="766"/>
      <c r="H72" s="1194"/>
      <c r="I72" s="1257">
        <v>0</v>
      </c>
      <c r="J72" s="766">
        <f>564+199+622+146+1926+567+237+121+60</f>
        <v>4442</v>
      </c>
      <c r="K72" s="1194"/>
      <c r="L72" s="739"/>
      <c r="M72" s="767"/>
      <c r="N72" s="1194"/>
      <c r="O72" s="739"/>
      <c r="P72" s="767"/>
      <c r="Q72" s="1194"/>
      <c r="R72" s="739"/>
      <c r="S72" s="737"/>
      <c r="T72" s="1194"/>
      <c r="U72" s="739"/>
      <c r="V72" s="737"/>
      <c r="W72" s="1194"/>
      <c r="X72" s="740">
        <f t="shared" si="6"/>
        <v>0</v>
      </c>
      <c r="Y72" s="741">
        <f t="shared" si="6"/>
        <v>4442</v>
      </c>
      <c r="Z72" s="1195">
        <f aca="true" t="shared" si="7" ref="Z72:Z77">E72+H72+K72+N72+T72+W72+Q72</f>
        <v>0</v>
      </c>
    </row>
    <row r="73" spans="1:26" s="757" customFormat="1" ht="10.5">
      <c r="A73" s="735" t="s">
        <v>1150</v>
      </c>
      <c r="B73" s="768" t="s">
        <v>1265</v>
      </c>
      <c r="C73" s="739"/>
      <c r="D73" s="766"/>
      <c r="E73" s="1194"/>
      <c r="F73" s="739"/>
      <c r="G73" s="766"/>
      <c r="H73" s="1194"/>
      <c r="I73" s="739">
        <v>0</v>
      </c>
      <c r="J73" s="766">
        <v>669</v>
      </c>
      <c r="K73" s="1194"/>
      <c r="L73" s="739"/>
      <c r="M73" s="767"/>
      <c r="N73" s="1194"/>
      <c r="O73" s="739"/>
      <c r="P73" s="767"/>
      <c r="Q73" s="1194"/>
      <c r="R73" s="739"/>
      <c r="S73" s="737"/>
      <c r="T73" s="1194"/>
      <c r="U73" s="739"/>
      <c r="V73" s="737"/>
      <c r="W73" s="1194"/>
      <c r="X73" s="740">
        <f t="shared" si="6"/>
        <v>0</v>
      </c>
      <c r="Y73" s="741">
        <f t="shared" si="6"/>
        <v>669</v>
      </c>
      <c r="Z73" s="1195">
        <f t="shared" si="7"/>
        <v>0</v>
      </c>
    </row>
    <row r="74" spans="1:26" s="757" customFormat="1" ht="35.25" customHeight="1">
      <c r="A74" s="735" t="s">
        <v>1150</v>
      </c>
      <c r="B74" s="768" t="s">
        <v>1299</v>
      </c>
      <c r="C74" s="739">
        <v>0</v>
      </c>
      <c r="D74" s="766">
        <v>20422</v>
      </c>
      <c r="E74" s="1194"/>
      <c r="F74" s="739">
        <v>0</v>
      </c>
      <c r="G74" s="766">
        <v>5514</v>
      </c>
      <c r="H74" s="1194"/>
      <c r="I74" s="739">
        <v>0</v>
      </c>
      <c r="J74" s="766">
        <v>112550</v>
      </c>
      <c r="K74" s="1194"/>
      <c r="L74" s="739"/>
      <c r="M74" s="767"/>
      <c r="N74" s="1194"/>
      <c r="O74" s="739"/>
      <c r="P74" s="767"/>
      <c r="Q74" s="1194"/>
      <c r="R74" s="739"/>
      <c r="S74" s="737"/>
      <c r="T74" s="1194"/>
      <c r="U74" s="739"/>
      <c r="V74" s="737"/>
      <c r="W74" s="1194"/>
      <c r="X74" s="740">
        <f aca="true" t="shared" si="8" ref="X74:Y89">C74+F74+I74+L74+R74+U74+O74</f>
        <v>0</v>
      </c>
      <c r="Y74" s="741">
        <f t="shared" si="8"/>
        <v>138486</v>
      </c>
      <c r="Z74" s="1195">
        <f t="shared" si="7"/>
        <v>0</v>
      </c>
    </row>
    <row r="75" spans="1:26" s="757" customFormat="1" ht="14.25" customHeight="1">
      <c r="A75" s="735" t="s">
        <v>1150</v>
      </c>
      <c r="B75" s="768" t="s">
        <v>1266</v>
      </c>
      <c r="C75" s="739"/>
      <c r="D75" s="766"/>
      <c r="E75" s="1194"/>
      <c r="F75" s="739"/>
      <c r="G75" s="766"/>
      <c r="H75" s="1194"/>
      <c r="I75" s="739"/>
      <c r="J75" s="766"/>
      <c r="K75" s="1194"/>
      <c r="L75" s="739"/>
      <c r="M75" s="767"/>
      <c r="N75" s="1194"/>
      <c r="O75" s="739"/>
      <c r="P75" s="767"/>
      <c r="Q75" s="1194"/>
      <c r="R75" s="737">
        <v>0</v>
      </c>
      <c r="S75" s="737">
        <v>8735</v>
      </c>
      <c r="T75" s="1194"/>
      <c r="U75" s="739"/>
      <c r="V75" s="737"/>
      <c r="W75" s="1194"/>
      <c r="X75" s="740">
        <f t="shared" si="8"/>
        <v>0</v>
      </c>
      <c r="Y75" s="741">
        <f t="shared" si="8"/>
        <v>8735</v>
      </c>
      <c r="Z75" s="1195">
        <f t="shared" si="7"/>
        <v>0</v>
      </c>
    </row>
    <row r="76" spans="1:26" s="757" customFormat="1" ht="21">
      <c r="A76" s="735" t="s">
        <v>1150</v>
      </c>
      <c r="B76" s="768" t="s">
        <v>1267</v>
      </c>
      <c r="C76" s="739"/>
      <c r="D76" s="766"/>
      <c r="E76" s="1194"/>
      <c r="F76" s="739"/>
      <c r="G76" s="766"/>
      <c r="H76" s="1194"/>
      <c r="I76" s="739"/>
      <c r="J76" s="766"/>
      <c r="K76" s="1194"/>
      <c r="L76" s="739"/>
      <c r="M76" s="767"/>
      <c r="N76" s="1194"/>
      <c r="O76" s="739"/>
      <c r="P76" s="767"/>
      <c r="Q76" s="1194"/>
      <c r="R76" s="737">
        <v>0</v>
      </c>
      <c r="S76" s="737">
        <v>2679</v>
      </c>
      <c r="T76" s="1194"/>
      <c r="U76" s="739"/>
      <c r="V76" s="737"/>
      <c r="W76" s="1194"/>
      <c r="X76" s="740">
        <f t="shared" si="8"/>
        <v>0</v>
      </c>
      <c r="Y76" s="741">
        <f t="shared" si="8"/>
        <v>2679</v>
      </c>
      <c r="Z76" s="1195">
        <f t="shared" si="7"/>
        <v>0</v>
      </c>
    </row>
    <row r="77" spans="1:26" s="757" customFormat="1" ht="21">
      <c r="A77" s="735" t="s">
        <v>1150</v>
      </c>
      <c r="B77" s="768" t="s">
        <v>1268</v>
      </c>
      <c r="C77" s="739"/>
      <c r="D77" s="766"/>
      <c r="E77" s="1194"/>
      <c r="F77" s="739"/>
      <c r="G77" s="766"/>
      <c r="H77" s="1194"/>
      <c r="I77" s="739"/>
      <c r="J77" s="766"/>
      <c r="K77" s="1194"/>
      <c r="L77" s="739"/>
      <c r="M77" s="767"/>
      <c r="N77" s="1194"/>
      <c r="O77" s="739"/>
      <c r="P77" s="767"/>
      <c r="Q77" s="1194"/>
      <c r="R77" s="737">
        <v>0</v>
      </c>
      <c r="S77" s="737">
        <v>3915</v>
      </c>
      <c r="T77" s="1194"/>
      <c r="U77" s="739"/>
      <c r="V77" s="737"/>
      <c r="W77" s="1194"/>
      <c r="X77" s="740">
        <f t="shared" si="8"/>
        <v>0</v>
      </c>
      <c r="Y77" s="741">
        <f t="shared" si="8"/>
        <v>3915</v>
      </c>
      <c r="Z77" s="1195">
        <f t="shared" si="7"/>
        <v>0</v>
      </c>
    </row>
    <row r="78" spans="1:26" s="757" customFormat="1" ht="10.5">
      <c r="A78" s="735"/>
      <c r="B78" s="1131" t="s">
        <v>725</v>
      </c>
      <c r="C78" s="739"/>
      <c r="D78" s="766"/>
      <c r="E78" s="1194"/>
      <c r="F78" s="739"/>
      <c r="G78" s="766"/>
      <c r="H78" s="1194"/>
      <c r="I78" s="739"/>
      <c r="J78" s="766"/>
      <c r="K78" s="1194"/>
      <c r="L78" s="739"/>
      <c r="M78" s="767"/>
      <c r="N78" s="1194"/>
      <c r="O78" s="739"/>
      <c r="P78" s="767"/>
      <c r="Q78" s="1194"/>
      <c r="R78" s="737"/>
      <c r="S78" s="737"/>
      <c r="T78" s="1194"/>
      <c r="U78" s="739">
        <v>0</v>
      </c>
      <c r="V78" s="737">
        <v>3692</v>
      </c>
      <c r="W78" s="1194"/>
      <c r="X78" s="740">
        <f t="shared" si="8"/>
        <v>0</v>
      </c>
      <c r="Y78" s="741">
        <f t="shared" si="8"/>
        <v>3692</v>
      </c>
      <c r="Z78" s="1195"/>
    </row>
    <row r="79" spans="1:26" s="757" customFormat="1" ht="10.5">
      <c r="A79" s="735"/>
      <c r="B79" s="1131" t="s">
        <v>1289</v>
      </c>
      <c r="C79" s="739"/>
      <c r="D79" s="766"/>
      <c r="E79" s="1194"/>
      <c r="F79" s="739"/>
      <c r="G79" s="766"/>
      <c r="H79" s="1194"/>
      <c r="I79" s="739"/>
      <c r="J79" s="766"/>
      <c r="K79" s="1194"/>
      <c r="L79" s="739"/>
      <c r="M79" s="767"/>
      <c r="N79" s="1194"/>
      <c r="O79" s="739"/>
      <c r="P79" s="767"/>
      <c r="Q79" s="1194"/>
      <c r="R79" s="737"/>
      <c r="S79" s="737"/>
      <c r="T79" s="1194"/>
      <c r="U79" s="739">
        <v>0</v>
      </c>
      <c r="V79" s="737">
        <v>10000</v>
      </c>
      <c r="W79" s="1194"/>
      <c r="X79" s="740">
        <f t="shared" si="8"/>
        <v>0</v>
      </c>
      <c r="Y79" s="741">
        <f t="shared" si="8"/>
        <v>10000</v>
      </c>
      <c r="Z79" s="1195"/>
    </row>
    <row r="80" spans="1:26" s="757" customFormat="1" ht="10.5">
      <c r="A80" s="735"/>
      <c r="B80" s="1131" t="s">
        <v>1290</v>
      </c>
      <c r="C80" s="739"/>
      <c r="D80" s="766"/>
      <c r="E80" s="1194"/>
      <c r="F80" s="739"/>
      <c r="G80" s="766"/>
      <c r="H80" s="1194"/>
      <c r="I80" s="739"/>
      <c r="J80" s="766"/>
      <c r="K80" s="1194"/>
      <c r="L80" s="739"/>
      <c r="M80" s="767"/>
      <c r="N80" s="1194"/>
      <c r="O80" s="739"/>
      <c r="P80" s="767"/>
      <c r="Q80" s="1194"/>
      <c r="R80" s="737">
        <v>0</v>
      </c>
      <c r="S80" s="737">
        <v>4801</v>
      </c>
      <c r="T80" s="1194"/>
      <c r="U80" s="739"/>
      <c r="V80" s="737"/>
      <c r="W80" s="1194"/>
      <c r="X80" s="740">
        <f t="shared" si="8"/>
        <v>0</v>
      </c>
      <c r="Y80" s="741">
        <f t="shared" si="8"/>
        <v>4801</v>
      </c>
      <c r="Z80" s="1195"/>
    </row>
    <row r="81" spans="1:26" s="757" customFormat="1" ht="10.5">
      <c r="A81" s="735"/>
      <c r="B81" s="1131" t="s">
        <v>1291</v>
      </c>
      <c r="C81" s="739"/>
      <c r="D81" s="766"/>
      <c r="E81" s="1194"/>
      <c r="F81" s="739"/>
      <c r="G81" s="766"/>
      <c r="H81" s="1194"/>
      <c r="I81" s="739">
        <v>0</v>
      </c>
      <c r="J81" s="766">
        <v>1048</v>
      </c>
      <c r="K81" s="1194"/>
      <c r="L81" s="739"/>
      <c r="M81" s="767"/>
      <c r="N81" s="1194"/>
      <c r="O81" s="739"/>
      <c r="P81" s="767"/>
      <c r="Q81" s="1194"/>
      <c r="R81" s="737"/>
      <c r="S81" s="737"/>
      <c r="T81" s="1194"/>
      <c r="U81" s="739"/>
      <c r="V81" s="737"/>
      <c r="W81" s="1194"/>
      <c r="X81" s="740">
        <f t="shared" si="8"/>
        <v>0</v>
      </c>
      <c r="Y81" s="741">
        <f t="shared" si="8"/>
        <v>1048</v>
      </c>
      <c r="Z81" s="1195"/>
    </row>
    <row r="82" spans="1:26" s="757" customFormat="1" ht="10.5">
      <c r="A82" s="735"/>
      <c r="B82" s="1131" t="s">
        <v>1292</v>
      </c>
      <c r="C82" s="739"/>
      <c r="D82" s="766"/>
      <c r="E82" s="1194"/>
      <c r="F82" s="739"/>
      <c r="G82" s="766"/>
      <c r="H82" s="1194"/>
      <c r="I82" s="739">
        <v>0</v>
      </c>
      <c r="J82" s="766">
        <v>1334</v>
      </c>
      <c r="K82" s="1194"/>
      <c r="L82" s="739"/>
      <c r="M82" s="767"/>
      <c r="N82" s="1194"/>
      <c r="O82" s="739"/>
      <c r="P82" s="767"/>
      <c r="Q82" s="1194"/>
      <c r="R82" s="737"/>
      <c r="S82" s="737"/>
      <c r="T82" s="1194"/>
      <c r="U82" s="739"/>
      <c r="V82" s="737"/>
      <c r="W82" s="1194"/>
      <c r="X82" s="740">
        <f t="shared" si="8"/>
        <v>0</v>
      </c>
      <c r="Y82" s="741">
        <f t="shared" si="8"/>
        <v>1334</v>
      </c>
      <c r="Z82" s="1195"/>
    </row>
    <row r="83" spans="1:26" s="757" customFormat="1" ht="10.5">
      <c r="A83" s="735"/>
      <c r="B83" s="1131" t="s">
        <v>1293</v>
      </c>
      <c r="C83" s="739"/>
      <c r="D83" s="766"/>
      <c r="E83" s="1194"/>
      <c r="F83" s="739"/>
      <c r="G83" s="766"/>
      <c r="H83" s="1194"/>
      <c r="I83" s="739">
        <v>0</v>
      </c>
      <c r="J83" s="766">
        <v>1133</v>
      </c>
      <c r="K83" s="1194"/>
      <c r="L83" s="739"/>
      <c r="M83" s="767"/>
      <c r="N83" s="1194"/>
      <c r="O83" s="739"/>
      <c r="P83" s="767"/>
      <c r="Q83" s="1194"/>
      <c r="R83" s="737"/>
      <c r="S83" s="737"/>
      <c r="T83" s="1194"/>
      <c r="U83" s="739"/>
      <c r="V83" s="737"/>
      <c r="W83" s="1194"/>
      <c r="X83" s="740">
        <f t="shared" si="8"/>
        <v>0</v>
      </c>
      <c r="Y83" s="741">
        <f t="shared" si="8"/>
        <v>1133</v>
      </c>
      <c r="Z83" s="1195"/>
    </row>
    <row r="84" spans="1:26" s="757" customFormat="1" ht="10.5">
      <c r="A84" s="735"/>
      <c r="B84" s="1131" t="s">
        <v>1294</v>
      </c>
      <c r="C84" s="739"/>
      <c r="D84" s="766"/>
      <c r="E84" s="1194"/>
      <c r="F84" s="739"/>
      <c r="G84" s="766"/>
      <c r="H84" s="1194"/>
      <c r="I84" s="739">
        <v>0</v>
      </c>
      <c r="J84" s="766">
        <v>248</v>
      </c>
      <c r="K84" s="1194"/>
      <c r="L84" s="739"/>
      <c r="M84" s="767"/>
      <c r="N84" s="1194"/>
      <c r="O84" s="739"/>
      <c r="P84" s="767"/>
      <c r="Q84" s="1194"/>
      <c r="R84" s="737"/>
      <c r="S84" s="737"/>
      <c r="T84" s="1194"/>
      <c r="U84" s="739"/>
      <c r="V84" s="737"/>
      <c r="W84" s="1194"/>
      <c r="X84" s="740">
        <f t="shared" si="8"/>
        <v>0</v>
      </c>
      <c r="Y84" s="741">
        <f t="shared" si="8"/>
        <v>248</v>
      </c>
      <c r="Z84" s="1195"/>
    </row>
    <row r="85" spans="1:26" s="757" customFormat="1" ht="10.5">
      <c r="A85" s="735"/>
      <c r="B85" s="1131" t="s">
        <v>1295</v>
      </c>
      <c r="C85" s="739"/>
      <c r="D85" s="766"/>
      <c r="E85" s="1194"/>
      <c r="F85" s="739"/>
      <c r="G85" s="766"/>
      <c r="H85" s="1194"/>
      <c r="I85" s="1257">
        <v>0</v>
      </c>
      <c r="J85" s="766">
        <f>2800+208</f>
        <v>3008</v>
      </c>
      <c r="K85" s="1194"/>
      <c r="L85" s="739"/>
      <c r="M85" s="767"/>
      <c r="N85" s="1194"/>
      <c r="O85" s="739"/>
      <c r="P85" s="767"/>
      <c r="Q85" s="1194"/>
      <c r="R85" s="737"/>
      <c r="S85" s="737"/>
      <c r="T85" s="1194"/>
      <c r="U85" s="739"/>
      <c r="V85" s="737"/>
      <c r="W85" s="1194"/>
      <c r="X85" s="740">
        <f t="shared" si="8"/>
        <v>0</v>
      </c>
      <c r="Y85" s="741">
        <f t="shared" si="8"/>
        <v>3008</v>
      </c>
      <c r="Z85" s="1195"/>
    </row>
    <row r="86" spans="1:26" s="757" customFormat="1" ht="10.5">
      <c r="A86" s="735"/>
      <c r="B86" s="1131" t="s">
        <v>1296</v>
      </c>
      <c r="C86" s="739"/>
      <c r="D86" s="766"/>
      <c r="E86" s="1194"/>
      <c r="F86" s="739"/>
      <c r="G86" s="766"/>
      <c r="H86" s="1194"/>
      <c r="I86" s="739"/>
      <c r="J86" s="766"/>
      <c r="K86" s="1194"/>
      <c r="L86" s="739"/>
      <c r="M86" s="767"/>
      <c r="N86" s="1194"/>
      <c r="O86" s="739"/>
      <c r="P86" s="767"/>
      <c r="Q86" s="1194"/>
      <c r="R86" s="739">
        <v>0</v>
      </c>
      <c r="S86" s="766">
        <v>4190</v>
      </c>
      <c r="T86" s="1194"/>
      <c r="U86" s="739"/>
      <c r="V86" s="737"/>
      <c r="W86" s="1194"/>
      <c r="X86" s="740">
        <f t="shared" si="8"/>
        <v>0</v>
      </c>
      <c r="Y86" s="741">
        <f t="shared" si="8"/>
        <v>4190</v>
      </c>
      <c r="Z86" s="1195"/>
    </row>
    <row r="87" spans="1:26" s="757" customFormat="1" ht="10.5">
      <c r="A87" s="735"/>
      <c r="B87" s="1131" t="s">
        <v>1297</v>
      </c>
      <c r="C87" s="739"/>
      <c r="D87" s="766"/>
      <c r="E87" s="1194"/>
      <c r="F87" s="739"/>
      <c r="G87" s="766"/>
      <c r="H87" s="1194"/>
      <c r="I87" s="739">
        <v>0</v>
      </c>
      <c r="J87" s="766">
        <v>750</v>
      </c>
      <c r="K87" s="1194"/>
      <c r="L87" s="739"/>
      <c r="M87" s="767"/>
      <c r="N87" s="1194"/>
      <c r="O87" s="739"/>
      <c r="P87" s="767"/>
      <c r="Q87" s="1194"/>
      <c r="R87" s="737"/>
      <c r="S87" s="737"/>
      <c r="T87" s="1194"/>
      <c r="U87" s="739"/>
      <c r="V87" s="737"/>
      <c r="W87" s="1194"/>
      <c r="X87" s="740">
        <f t="shared" si="8"/>
        <v>0</v>
      </c>
      <c r="Y87" s="741">
        <f t="shared" si="8"/>
        <v>750</v>
      </c>
      <c r="Z87" s="1195"/>
    </row>
    <row r="88" spans="1:26" s="757" customFormat="1" ht="10.5">
      <c r="A88" s="735"/>
      <c r="B88" s="1131" t="s">
        <v>1298</v>
      </c>
      <c r="C88" s="739"/>
      <c r="D88" s="766"/>
      <c r="E88" s="1194"/>
      <c r="F88" s="739"/>
      <c r="G88" s="766"/>
      <c r="H88" s="1194"/>
      <c r="I88" s="739">
        <v>0</v>
      </c>
      <c r="J88" s="766">
        <v>2698</v>
      </c>
      <c r="K88" s="1194"/>
      <c r="L88" s="739"/>
      <c r="M88" s="767"/>
      <c r="N88" s="1194"/>
      <c r="O88" s="739"/>
      <c r="P88" s="767"/>
      <c r="Q88" s="1194"/>
      <c r="R88" s="737"/>
      <c r="S88" s="737"/>
      <c r="T88" s="1194"/>
      <c r="U88" s="739"/>
      <c r="V88" s="737"/>
      <c r="W88" s="1194"/>
      <c r="X88" s="740">
        <f t="shared" si="8"/>
        <v>0</v>
      </c>
      <c r="Y88" s="741">
        <f t="shared" si="8"/>
        <v>2698</v>
      </c>
      <c r="Z88" s="1195"/>
    </row>
    <row r="89" spans="1:26" s="757" customFormat="1" ht="10.5">
      <c r="A89" s="735"/>
      <c r="B89" s="1255" t="s">
        <v>1353</v>
      </c>
      <c r="C89" s="739"/>
      <c r="D89" s="766"/>
      <c r="E89" s="1194"/>
      <c r="F89" s="739"/>
      <c r="G89" s="766"/>
      <c r="H89" s="1194"/>
      <c r="I89" s="739">
        <v>0</v>
      </c>
      <c r="J89" s="766">
        <v>6892</v>
      </c>
      <c r="K89" s="1194"/>
      <c r="L89" s="739"/>
      <c r="M89" s="767"/>
      <c r="N89" s="1194"/>
      <c r="O89" s="739"/>
      <c r="P89" s="767"/>
      <c r="Q89" s="1194"/>
      <c r="R89" s="739"/>
      <c r="S89" s="737"/>
      <c r="T89" s="1194"/>
      <c r="U89" s="739"/>
      <c r="V89" s="737"/>
      <c r="W89" s="1194"/>
      <c r="X89" s="740">
        <f t="shared" si="8"/>
        <v>0</v>
      </c>
      <c r="Y89" s="741">
        <f t="shared" si="8"/>
        <v>6892</v>
      </c>
      <c r="Z89" s="1195"/>
    </row>
    <row r="90" spans="1:26" s="757" customFormat="1" ht="10.5">
      <c r="A90" s="735"/>
      <c r="B90" s="1255" t="s">
        <v>1356</v>
      </c>
      <c r="C90" s="739"/>
      <c r="D90" s="766"/>
      <c r="E90" s="1194"/>
      <c r="F90" s="739"/>
      <c r="G90" s="766"/>
      <c r="H90" s="1194"/>
      <c r="I90" s="739">
        <v>0</v>
      </c>
      <c r="J90" s="766">
        <v>3300</v>
      </c>
      <c r="K90" s="1194"/>
      <c r="L90" s="739"/>
      <c r="M90" s="767"/>
      <c r="N90" s="1194"/>
      <c r="O90" s="739"/>
      <c r="P90" s="767"/>
      <c r="Q90" s="1194"/>
      <c r="R90" s="739"/>
      <c r="S90" s="737"/>
      <c r="T90" s="1194"/>
      <c r="U90" s="739"/>
      <c r="V90" s="737"/>
      <c r="W90" s="1194"/>
      <c r="X90" s="740">
        <f aca="true" t="shared" si="9" ref="X90:X106">C90+F90+I90+L90+R90+U90+O90</f>
        <v>0</v>
      </c>
      <c r="Y90" s="741">
        <f aca="true" t="shared" si="10" ref="Y90:Y106">D90+G90+J90+M90+S90+V90+P90</f>
        <v>3300</v>
      </c>
      <c r="Z90" s="1195"/>
    </row>
    <row r="91" spans="1:26" s="757" customFormat="1" ht="21">
      <c r="A91" s="735"/>
      <c r="B91" s="1255" t="s">
        <v>1359</v>
      </c>
      <c r="C91" s="739"/>
      <c r="D91" s="766"/>
      <c r="E91" s="1194"/>
      <c r="F91" s="739"/>
      <c r="G91" s="766"/>
      <c r="H91" s="1194"/>
      <c r="I91" s="739">
        <v>0</v>
      </c>
      <c r="J91" s="1260">
        <v>450</v>
      </c>
      <c r="K91" s="1194"/>
      <c r="L91" s="739"/>
      <c r="M91" s="767"/>
      <c r="N91" s="1194"/>
      <c r="O91" s="739"/>
      <c r="P91" s="767"/>
      <c r="Q91" s="1194"/>
      <c r="R91" s="739"/>
      <c r="S91" s="737"/>
      <c r="T91" s="1194"/>
      <c r="U91" s="739"/>
      <c r="V91" s="737"/>
      <c r="W91" s="1194"/>
      <c r="X91" s="740">
        <f t="shared" si="9"/>
        <v>0</v>
      </c>
      <c r="Y91" s="741">
        <f t="shared" si="10"/>
        <v>450</v>
      </c>
      <c r="Z91" s="1195"/>
    </row>
    <row r="92" spans="1:26" s="757" customFormat="1" ht="10.5">
      <c r="A92" s="735"/>
      <c r="B92" s="1255" t="s">
        <v>1298</v>
      </c>
      <c r="C92" s="739">
        <v>0</v>
      </c>
      <c r="D92" s="1260">
        <v>10935</v>
      </c>
      <c r="E92" s="1194"/>
      <c r="F92" s="739">
        <v>0</v>
      </c>
      <c r="G92" s="1260">
        <v>2193</v>
      </c>
      <c r="H92" s="1194"/>
      <c r="I92" s="739">
        <v>0</v>
      </c>
      <c r="J92" s="1260">
        <v>10781</v>
      </c>
      <c r="K92" s="1194"/>
      <c r="L92" s="739"/>
      <c r="M92" s="767"/>
      <c r="N92" s="1194"/>
      <c r="O92" s="739"/>
      <c r="P92" s="767"/>
      <c r="Q92" s="1194"/>
      <c r="R92" s="739"/>
      <c r="S92" s="737"/>
      <c r="T92" s="1194"/>
      <c r="U92" s="739"/>
      <c r="V92" s="737"/>
      <c r="W92" s="1194"/>
      <c r="X92" s="740">
        <f t="shared" si="9"/>
        <v>0</v>
      </c>
      <c r="Y92" s="741">
        <f t="shared" si="10"/>
        <v>23909</v>
      </c>
      <c r="Z92" s="1195"/>
    </row>
    <row r="93" spans="1:26" s="757" customFormat="1" ht="21.75" thickBot="1">
      <c r="A93" s="735"/>
      <c r="B93" s="1255" t="s">
        <v>1350</v>
      </c>
      <c r="C93" s="739"/>
      <c r="D93" s="766"/>
      <c r="E93" s="1194"/>
      <c r="F93" s="739"/>
      <c r="G93" s="766"/>
      <c r="H93" s="1194"/>
      <c r="I93" s="739">
        <v>0</v>
      </c>
      <c r="J93" s="1260">
        <v>243</v>
      </c>
      <c r="K93" s="1194"/>
      <c r="L93" s="739"/>
      <c r="M93" s="767"/>
      <c r="N93" s="1194"/>
      <c r="O93" s="739"/>
      <c r="P93" s="767"/>
      <c r="Q93" s="1194"/>
      <c r="R93" s="739"/>
      <c r="S93" s="737"/>
      <c r="T93" s="1194"/>
      <c r="U93" s="739"/>
      <c r="V93" s="737"/>
      <c r="W93" s="1194"/>
      <c r="X93" s="740">
        <f t="shared" si="9"/>
        <v>0</v>
      </c>
      <c r="Y93" s="741">
        <f t="shared" si="10"/>
        <v>243</v>
      </c>
      <c r="Z93" s="1195"/>
    </row>
    <row r="94" spans="1:26" s="757" customFormat="1" ht="10.5" hidden="1">
      <c r="A94" s="735"/>
      <c r="B94" s="1255"/>
      <c r="C94" s="739"/>
      <c r="D94" s="766"/>
      <c r="E94" s="1194"/>
      <c r="F94" s="739"/>
      <c r="G94" s="766"/>
      <c r="H94" s="1194"/>
      <c r="I94" s="739"/>
      <c r="J94" s="766"/>
      <c r="K94" s="1194"/>
      <c r="L94" s="739"/>
      <c r="M94" s="767"/>
      <c r="N94" s="1194"/>
      <c r="O94" s="739"/>
      <c r="P94" s="767"/>
      <c r="Q94" s="1194"/>
      <c r="R94" s="739"/>
      <c r="S94" s="737"/>
      <c r="T94" s="1194"/>
      <c r="U94" s="739"/>
      <c r="V94" s="737"/>
      <c r="W94" s="1194"/>
      <c r="X94" s="740">
        <f t="shared" si="9"/>
        <v>0</v>
      </c>
      <c r="Y94" s="741">
        <f t="shared" si="10"/>
        <v>0</v>
      </c>
      <c r="Z94" s="1195"/>
    </row>
    <row r="95" spans="1:26" s="757" customFormat="1" ht="10.5" hidden="1">
      <c r="A95" s="735"/>
      <c r="B95" s="1255"/>
      <c r="C95" s="739"/>
      <c r="D95" s="766"/>
      <c r="E95" s="1194"/>
      <c r="F95" s="739"/>
      <c r="G95" s="766"/>
      <c r="H95" s="1194"/>
      <c r="I95" s="739"/>
      <c r="J95" s="766"/>
      <c r="K95" s="1194"/>
      <c r="L95" s="739"/>
      <c r="M95" s="767"/>
      <c r="N95" s="1194"/>
      <c r="O95" s="739"/>
      <c r="P95" s="767"/>
      <c r="Q95" s="1194"/>
      <c r="R95" s="739"/>
      <c r="S95" s="737"/>
      <c r="T95" s="1194"/>
      <c r="U95" s="739"/>
      <c r="V95" s="737"/>
      <c r="W95" s="1194"/>
      <c r="X95" s="740">
        <f t="shared" si="9"/>
        <v>0</v>
      </c>
      <c r="Y95" s="741">
        <f t="shared" si="10"/>
        <v>0</v>
      </c>
      <c r="Z95" s="1195"/>
    </row>
    <row r="96" spans="1:26" s="757" customFormat="1" ht="10.5" hidden="1">
      <c r="A96" s="735"/>
      <c r="B96" s="1255"/>
      <c r="C96" s="739"/>
      <c r="D96" s="766"/>
      <c r="E96" s="1194"/>
      <c r="F96" s="739"/>
      <c r="G96" s="766"/>
      <c r="H96" s="1194"/>
      <c r="I96" s="739"/>
      <c r="J96" s="766"/>
      <c r="K96" s="1194"/>
      <c r="L96" s="739"/>
      <c r="M96" s="767"/>
      <c r="N96" s="1194"/>
      <c r="O96" s="739"/>
      <c r="P96" s="767"/>
      <c r="Q96" s="1194"/>
      <c r="R96" s="739"/>
      <c r="S96" s="737"/>
      <c r="T96" s="1194"/>
      <c r="U96" s="739"/>
      <c r="V96" s="737"/>
      <c r="W96" s="1194"/>
      <c r="X96" s="740">
        <f t="shared" si="9"/>
        <v>0</v>
      </c>
      <c r="Y96" s="741">
        <f t="shared" si="10"/>
        <v>0</v>
      </c>
      <c r="Z96" s="1195"/>
    </row>
    <row r="97" spans="1:26" s="757" customFormat="1" ht="10.5" hidden="1">
      <c r="A97" s="735"/>
      <c r="B97" s="1255"/>
      <c r="C97" s="739"/>
      <c r="D97" s="766"/>
      <c r="E97" s="1194"/>
      <c r="F97" s="739"/>
      <c r="G97" s="766"/>
      <c r="H97" s="1194"/>
      <c r="I97" s="739"/>
      <c r="J97" s="766"/>
      <c r="K97" s="1194"/>
      <c r="L97" s="739"/>
      <c r="M97" s="767"/>
      <c r="N97" s="1194"/>
      <c r="O97" s="739"/>
      <c r="P97" s="767"/>
      <c r="Q97" s="1194"/>
      <c r="R97" s="739"/>
      <c r="S97" s="737"/>
      <c r="T97" s="1194"/>
      <c r="U97" s="739"/>
      <c r="V97" s="737"/>
      <c r="W97" s="1194"/>
      <c r="X97" s="740">
        <f t="shared" si="9"/>
        <v>0</v>
      </c>
      <c r="Y97" s="741">
        <f t="shared" si="10"/>
        <v>0</v>
      </c>
      <c r="Z97" s="1195"/>
    </row>
    <row r="98" spans="1:26" s="757" customFormat="1" ht="10.5" hidden="1">
      <c r="A98" s="735"/>
      <c r="B98" s="1255"/>
      <c r="C98" s="739"/>
      <c r="D98" s="766"/>
      <c r="E98" s="1194"/>
      <c r="F98" s="739"/>
      <c r="G98" s="766"/>
      <c r="H98" s="1194"/>
      <c r="I98" s="739"/>
      <c r="J98" s="766"/>
      <c r="K98" s="1194"/>
      <c r="L98" s="739"/>
      <c r="M98" s="767"/>
      <c r="N98" s="1194"/>
      <c r="O98" s="739"/>
      <c r="P98" s="767"/>
      <c r="Q98" s="1194"/>
      <c r="R98" s="739"/>
      <c r="S98" s="737"/>
      <c r="T98" s="1194"/>
      <c r="U98" s="739"/>
      <c r="V98" s="737"/>
      <c r="W98" s="1194"/>
      <c r="X98" s="740">
        <f t="shared" si="9"/>
        <v>0</v>
      </c>
      <c r="Y98" s="741">
        <f t="shared" si="10"/>
        <v>0</v>
      </c>
      <c r="Z98" s="1195"/>
    </row>
    <row r="99" spans="1:26" s="757" customFormat="1" ht="10.5" hidden="1">
      <c r="A99" s="735"/>
      <c r="B99" s="1255"/>
      <c r="C99" s="739"/>
      <c r="D99" s="766"/>
      <c r="E99" s="1194"/>
      <c r="F99" s="739"/>
      <c r="G99" s="766"/>
      <c r="H99" s="1194"/>
      <c r="I99" s="739"/>
      <c r="J99" s="766"/>
      <c r="K99" s="1194"/>
      <c r="L99" s="739"/>
      <c r="M99" s="767"/>
      <c r="N99" s="1194"/>
      <c r="O99" s="739"/>
      <c r="P99" s="767"/>
      <c r="Q99" s="1194"/>
      <c r="R99" s="739"/>
      <c r="S99" s="737"/>
      <c r="T99" s="1194"/>
      <c r="U99" s="739"/>
      <c r="V99" s="737"/>
      <c r="W99" s="1194"/>
      <c r="X99" s="740">
        <f t="shared" si="9"/>
        <v>0</v>
      </c>
      <c r="Y99" s="741">
        <f t="shared" si="10"/>
        <v>0</v>
      </c>
      <c r="Z99" s="1195"/>
    </row>
    <row r="100" spans="1:26" s="757" customFormat="1" ht="10.5" hidden="1">
      <c r="A100" s="735"/>
      <c r="B100" s="1255"/>
      <c r="C100" s="739"/>
      <c r="D100" s="766"/>
      <c r="E100" s="1194"/>
      <c r="F100" s="739"/>
      <c r="G100" s="766"/>
      <c r="H100" s="1194"/>
      <c r="I100" s="739"/>
      <c r="J100" s="766"/>
      <c r="K100" s="1194"/>
      <c r="L100" s="739"/>
      <c r="M100" s="767"/>
      <c r="N100" s="1194"/>
      <c r="O100" s="739"/>
      <c r="P100" s="767"/>
      <c r="Q100" s="1194"/>
      <c r="R100" s="739"/>
      <c r="S100" s="737"/>
      <c r="T100" s="1194"/>
      <c r="U100" s="739"/>
      <c r="V100" s="737"/>
      <c r="W100" s="1194"/>
      <c r="X100" s="740">
        <f t="shared" si="9"/>
        <v>0</v>
      </c>
      <c r="Y100" s="741">
        <f t="shared" si="10"/>
        <v>0</v>
      </c>
      <c r="Z100" s="1195"/>
    </row>
    <row r="101" spans="1:26" s="757" customFormat="1" ht="10.5" hidden="1">
      <c r="A101" s="735"/>
      <c r="B101" s="1255"/>
      <c r="C101" s="739"/>
      <c r="D101" s="766"/>
      <c r="E101" s="1194"/>
      <c r="F101" s="739"/>
      <c r="G101" s="766"/>
      <c r="H101" s="1194"/>
      <c r="I101" s="739"/>
      <c r="J101" s="766"/>
      <c r="K101" s="1194"/>
      <c r="L101" s="739"/>
      <c r="M101" s="767"/>
      <c r="N101" s="1194"/>
      <c r="O101" s="739"/>
      <c r="P101" s="767"/>
      <c r="Q101" s="1194"/>
      <c r="R101" s="739"/>
      <c r="S101" s="737"/>
      <c r="T101" s="1194"/>
      <c r="U101" s="739"/>
      <c r="V101" s="737"/>
      <c r="W101" s="1194"/>
      <c r="X101" s="740">
        <f t="shared" si="9"/>
        <v>0</v>
      </c>
      <c r="Y101" s="741">
        <f t="shared" si="10"/>
        <v>0</v>
      </c>
      <c r="Z101" s="1195"/>
    </row>
    <row r="102" spans="1:26" s="757" customFormat="1" ht="10.5" hidden="1">
      <c r="A102" s="735"/>
      <c r="B102" s="1255"/>
      <c r="C102" s="739"/>
      <c r="D102" s="766"/>
      <c r="E102" s="1194"/>
      <c r="F102" s="739"/>
      <c r="G102" s="766"/>
      <c r="H102" s="1194"/>
      <c r="I102" s="739"/>
      <c r="J102" s="766"/>
      <c r="K102" s="1194"/>
      <c r="L102" s="739"/>
      <c r="M102" s="767"/>
      <c r="N102" s="1194"/>
      <c r="O102" s="739"/>
      <c r="P102" s="767"/>
      <c r="Q102" s="1194"/>
      <c r="R102" s="739"/>
      <c r="S102" s="737"/>
      <c r="T102" s="1194"/>
      <c r="U102" s="739"/>
      <c r="V102" s="737"/>
      <c r="W102" s="1194"/>
      <c r="X102" s="740">
        <f t="shared" si="9"/>
        <v>0</v>
      </c>
      <c r="Y102" s="741">
        <f t="shared" si="10"/>
        <v>0</v>
      </c>
      <c r="Z102" s="1195"/>
    </row>
    <row r="103" spans="1:26" s="757" customFormat="1" ht="10.5" hidden="1">
      <c r="A103" s="735"/>
      <c r="B103" s="1255"/>
      <c r="C103" s="739"/>
      <c r="D103" s="766"/>
      <c r="E103" s="1194"/>
      <c r="F103" s="739"/>
      <c r="G103" s="766"/>
      <c r="H103" s="1194"/>
      <c r="I103" s="739"/>
      <c r="J103" s="766"/>
      <c r="K103" s="1194"/>
      <c r="L103" s="739"/>
      <c r="M103" s="767"/>
      <c r="N103" s="1194"/>
      <c r="O103" s="739"/>
      <c r="P103" s="767"/>
      <c r="Q103" s="1194"/>
      <c r="R103" s="739"/>
      <c r="S103" s="737"/>
      <c r="T103" s="1194"/>
      <c r="U103" s="739"/>
      <c r="V103" s="737"/>
      <c r="W103" s="1194"/>
      <c r="X103" s="740">
        <f t="shared" si="9"/>
        <v>0</v>
      </c>
      <c r="Y103" s="741">
        <f t="shared" si="10"/>
        <v>0</v>
      </c>
      <c r="Z103" s="1195"/>
    </row>
    <row r="104" spans="1:26" s="757" customFormat="1" ht="10.5" hidden="1">
      <c r="A104" s="735"/>
      <c r="B104" s="1255"/>
      <c r="C104" s="739"/>
      <c r="D104" s="766"/>
      <c r="E104" s="1194"/>
      <c r="F104" s="739"/>
      <c r="G104" s="766"/>
      <c r="H104" s="1194"/>
      <c r="I104" s="739"/>
      <c r="J104" s="766"/>
      <c r="K104" s="1194"/>
      <c r="L104" s="739"/>
      <c r="M104" s="767"/>
      <c r="N104" s="1194"/>
      <c r="O104" s="739"/>
      <c r="P104" s="767"/>
      <c r="Q104" s="1194"/>
      <c r="R104" s="739"/>
      <c r="S104" s="737"/>
      <c r="T104" s="1194"/>
      <c r="U104" s="739"/>
      <c r="V104" s="737"/>
      <c r="W104" s="1194"/>
      <c r="X104" s="740">
        <f t="shared" si="9"/>
        <v>0</v>
      </c>
      <c r="Y104" s="741">
        <f t="shared" si="10"/>
        <v>0</v>
      </c>
      <c r="Z104" s="1195"/>
    </row>
    <row r="105" spans="1:26" s="757" customFormat="1" ht="10.5" hidden="1">
      <c r="A105" s="735"/>
      <c r="B105" s="1255"/>
      <c r="C105" s="739"/>
      <c r="D105" s="766"/>
      <c r="E105" s="1194"/>
      <c r="F105" s="739"/>
      <c r="G105" s="766"/>
      <c r="H105" s="1194"/>
      <c r="I105" s="739"/>
      <c r="J105" s="766"/>
      <c r="K105" s="1194"/>
      <c r="L105" s="739"/>
      <c r="M105" s="767"/>
      <c r="N105" s="1194"/>
      <c r="O105" s="739"/>
      <c r="P105" s="767"/>
      <c r="Q105" s="1194"/>
      <c r="R105" s="739"/>
      <c r="S105" s="737"/>
      <c r="T105" s="1194"/>
      <c r="U105" s="739"/>
      <c r="V105" s="737"/>
      <c r="W105" s="1194"/>
      <c r="X105" s="740">
        <f t="shared" si="9"/>
        <v>0</v>
      </c>
      <c r="Y105" s="741">
        <f t="shared" si="10"/>
        <v>0</v>
      </c>
      <c r="Z105" s="1195"/>
    </row>
    <row r="106" spans="1:26" s="757" customFormat="1" ht="10.5" hidden="1">
      <c r="A106" s="735"/>
      <c r="B106" s="768"/>
      <c r="C106" s="739"/>
      <c r="D106" s="766"/>
      <c r="E106" s="1194"/>
      <c r="F106" s="739"/>
      <c r="G106" s="766"/>
      <c r="H106" s="1194"/>
      <c r="I106" s="739"/>
      <c r="J106" s="766"/>
      <c r="K106" s="1194"/>
      <c r="L106" s="739"/>
      <c r="M106" s="767"/>
      <c r="N106" s="1194"/>
      <c r="O106" s="739"/>
      <c r="P106" s="767"/>
      <c r="Q106" s="1194"/>
      <c r="R106" s="739"/>
      <c r="S106" s="737"/>
      <c r="T106" s="1194"/>
      <c r="U106" s="739"/>
      <c r="V106" s="737"/>
      <c r="W106" s="1194"/>
      <c r="X106" s="740">
        <f t="shared" si="9"/>
        <v>0</v>
      </c>
      <c r="Y106" s="741">
        <f t="shared" si="10"/>
        <v>0</v>
      </c>
      <c r="Z106" s="1195"/>
    </row>
    <row r="107" spans="1:26" s="757" customFormat="1" ht="11.25" hidden="1" thickBot="1">
      <c r="A107" s="735"/>
      <c r="B107" s="769"/>
      <c r="C107" s="739"/>
      <c r="D107" s="766"/>
      <c r="E107" s="738"/>
      <c r="F107" s="739"/>
      <c r="G107" s="766"/>
      <c r="H107" s="738"/>
      <c r="I107" s="739"/>
      <c r="J107" s="766"/>
      <c r="K107" s="738"/>
      <c r="L107" s="739"/>
      <c r="M107" s="767"/>
      <c r="N107" s="738"/>
      <c r="O107" s="739"/>
      <c r="P107" s="767"/>
      <c r="Q107" s="738"/>
      <c r="R107" s="739"/>
      <c r="S107" s="737"/>
      <c r="T107" s="738"/>
      <c r="U107" s="739"/>
      <c r="V107" s="737"/>
      <c r="W107" s="738"/>
      <c r="X107" s="740"/>
      <c r="Y107" s="741"/>
      <c r="Z107" s="742"/>
    </row>
    <row r="108" spans="1:26" s="776" customFormat="1" ht="12" customHeight="1" thickBot="1">
      <c r="A108" s="759"/>
      <c r="B108" s="770" t="s">
        <v>800</v>
      </c>
      <c r="C108" s="771">
        <f>SUM(C10:C107)</f>
        <v>124596</v>
      </c>
      <c r="D108" s="772">
        <f>SUM(D10:D107)</f>
        <v>162076</v>
      </c>
      <c r="E108" s="773">
        <f>D108/C108</f>
        <v>1.3008122251115606</v>
      </c>
      <c r="F108" s="771">
        <f>SUM(F10:F107)</f>
        <v>27587</v>
      </c>
      <c r="G108" s="772">
        <f>SUM(G10:G107)</f>
        <v>36121</v>
      </c>
      <c r="H108" s="773">
        <f>G108/F108</f>
        <v>1.309348606227571</v>
      </c>
      <c r="I108" s="771">
        <f>SUM(I10:I107)</f>
        <v>1321702</v>
      </c>
      <c r="J108" s="772">
        <f>SUM(J10:J107)</f>
        <v>1486183</v>
      </c>
      <c r="K108" s="773">
        <f>J108/I108</f>
        <v>1.1244463578022883</v>
      </c>
      <c r="L108" s="771">
        <f>SUM(L10:L107)</f>
        <v>6000</v>
      </c>
      <c r="M108" s="772">
        <f>SUM(M10:M107)</f>
        <v>6000</v>
      </c>
      <c r="N108" s="773">
        <f>M108/L108</f>
        <v>1</v>
      </c>
      <c r="O108" s="771">
        <f>SUM(O10:O107)</f>
        <v>199000</v>
      </c>
      <c r="P108" s="772">
        <f>SUM(P10:P107)</f>
        <v>212200</v>
      </c>
      <c r="Q108" s="773">
        <v>0</v>
      </c>
      <c r="R108" s="772">
        <f>SUM(R10:R107)</f>
        <v>212070</v>
      </c>
      <c r="S108" s="772">
        <f>SUM(S10:S107)</f>
        <v>237106</v>
      </c>
      <c r="T108" s="773">
        <f>S108/R108</f>
        <v>1.1180553590795492</v>
      </c>
      <c r="U108" s="771">
        <f>SUM(U10:U107)</f>
        <v>167580</v>
      </c>
      <c r="V108" s="774">
        <f>SUM(V10:V107)</f>
        <v>270470</v>
      </c>
      <c r="W108" s="773">
        <f>V108/U108</f>
        <v>1.6139754147272944</v>
      </c>
      <c r="X108" s="772">
        <f>C108+F108+I108+L108+R108+U108+O108</f>
        <v>2058535</v>
      </c>
      <c r="Y108" s="775">
        <f>D108+G108+J108+M108+S108+V108+P108</f>
        <v>2410156</v>
      </c>
      <c r="Z108" s="773">
        <f>Y108/X108</f>
        <v>1.1708112808380717</v>
      </c>
    </row>
    <row r="109" spans="1:26" s="752" customFormat="1" ht="10.5" customHeight="1">
      <c r="A109" s="735" t="s">
        <v>1150</v>
      </c>
      <c r="B109" s="777" t="s">
        <v>764</v>
      </c>
      <c r="C109" s="778"/>
      <c r="D109" s="778"/>
      <c r="E109" s="779"/>
      <c r="F109" s="780"/>
      <c r="G109" s="778"/>
      <c r="H109" s="781"/>
      <c r="I109" s="778"/>
      <c r="J109" s="778"/>
      <c r="K109" s="779"/>
      <c r="L109" s="780"/>
      <c r="M109" s="778"/>
      <c r="N109" s="781"/>
      <c r="O109" s="782"/>
      <c r="P109" s="779"/>
      <c r="Q109" s="781"/>
      <c r="R109" s="783">
        <v>1792135</v>
      </c>
      <c r="S109" s="872">
        <f>682324-1983+10006+1012+10289+26144</f>
        <v>727792</v>
      </c>
      <c r="T109" s="784">
        <f>S109/R109</f>
        <v>0.4061033348492162</v>
      </c>
      <c r="U109" s="782"/>
      <c r="V109" s="785"/>
      <c r="W109" s="781"/>
      <c r="X109" s="786">
        <f>R109</f>
        <v>1792135</v>
      </c>
      <c r="Y109" s="786">
        <f>S109</f>
        <v>727792</v>
      </c>
      <c r="Z109" s="787">
        <f aca="true" t="shared" si="11" ref="Z109:Z114">Y109/X109</f>
        <v>0.4061033348492162</v>
      </c>
    </row>
    <row r="110" spans="1:26" s="752" customFormat="1" ht="10.5" customHeight="1">
      <c r="A110" s="735" t="s">
        <v>1150</v>
      </c>
      <c r="B110" s="736" t="s">
        <v>747</v>
      </c>
      <c r="C110" s="788"/>
      <c r="D110" s="764"/>
      <c r="E110" s="789"/>
      <c r="F110" s="763"/>
      <c r="G110" s="764"/>
      <c r="H110" s="790"/>
      <c r="I110" s="788"/>
      <c r="J110" s="764"/>
      <c r="K110" s="789"/>
      <c r="L110" s="763"/>
      <c r="M110" s="764"/>
      <c r="N110" s="790"/>
      <c r="O110" s="791"/>
      <c r="P110" s="789"/>
      <c r="Q110" s="790"/>
      <c r="R110" s="767">
        <v>122500</v>
      </c>
      <c r="S110" s="741">
        <f>147945+69+1010+322+1236</f>
        <v>150582</v>
      </c>
      <c r="T110" s="792">
        <f>S110/R110</f>
        <v>1.2292408163265307</v>
      </c>
      <c r="U110" s="763"/>
      <c r="V110" s="764"/>
      <c r="W110" s="790"/>
      <c r="X110" s="741">
        <f aca="true" t="shared" si="12" ref="X110:Y114">R110</f>
        <v>122500</v>
      </c>
      <c r="Y110" s="741">
        <f>S110</f>
        <v>150582</v>
      </c>
      <c r="Z110" s="742">
        <f t="shared" si="11"/>
        <v>1.2292408163265307</v>
      </c>
    </row>
    <row r="111" spans="1:26" s="752" customFormat="1" ht="10.5" customHeight="1">
      <c r="A111" s="735" t="s">
        <v>1150</v>
      </c>
      <c r="B111" s="736" t="s">
        <v>748</v>
      </c>
      <c r="C111" s="788"/>
      <c r="D111" s="764"/>
      <c r="E111" s="789"/>
      <c r="F111" s="763"/>
      <c r="G111" s="764"/>
      <c r="H111" s="790"/>
      <c r="I111" s="788"/>
      <c r="J111" s="764"/>
      <c r="K111" s="789"/>
      <c r="L111" s="763"/>
      <c r="M111" s="764"/>
      <c r="N111" s="790"/>
      <c r="O111" s="791"/>
      <c r="P111" s="789"/>
      <c r="Q111" s="790"/>
      <c r="R111" s="767">
        <v>83447</v>
      </c>
      <c r="S111" s="741">
        <f>85021+723+307+1547+828</f>
        <v>88426</v>
      </c>
      <c r="T111" s="792">
        <f>S111/R111</f>
        <v>1.059666614737498</v>
      </c>
      <c r="U111" s="763"/>
      <c r="V111" s="764"/>
      <c r="W111" s="790"/>
      <c r="X111" s="741">
        <f t="shared" si="12"/>
        <v>83447</v>
      </c>
      <c r="Y111" s="741">
        <f t="shared" si="12"/>
        <v>88426</v>
      </c>
      <c r="Z111" s="742">
        <f t="shared" si="11"/>
        <v>1.059666614737498</v>
      </c>
    </row>
    <row r="112" spans="1:26" s="752" customFormat="1" ht="10.5" customHeight="1">
      <c r="A112" s="735" t="s">
        <v>1150</v>
      </c>
      <c r="B112" s="736" t="s">
        <v>765</v>
      </c>
      <c r="C112" s="788"/>
      <c r="D112" s="764"/>
      <c r="E112" s="789"/>
      <c r="F112" s="763"/>
      <c r="G112" s="764"/>
      <c r="H112" s="790"/>
      <c r="I112" s="788"/>
      <c r="J112" s="764"/>
      <c r="K112" s="789"/>
      <c r="L112" s="763"/>
      <c r="M112" s="764"/>
      <c r="N112" s="790"/>
      <c r="O112" s="791"/>
      <c r="P112" s="789"/>
      <c r="Q112" s="790"/>
      <c r="R112" s="767">
        <v>258509</v>
      </c>
      <c r="S112" s="741">
        <f>278941+3314+2619-2636+158-4190+614+3070</f>
        <v>281890</v>
      </c>
      <c r="T112" s="792">
        <f>S112/R112</f>
        <v>1.0904455937704296</v>
      </c>
      <c r="U112" s="763"/>
      <c r="V112" s="764"/>
      <c r="W112" s="790"/>
      <c r="X112" s="741">
        <f t="shared" si="12"/>
        <v>258509</v>
      </c>
      <c r="Y112" s="741">
        <f t="shared" si="12"/>
        <v>281890</v>
      </c>
      <c r="Z112" s="742">
        <f t="shared" si="11"/>
        <v>1.0904455937704296</v>
      </c>
    </row>
    <row r="113" spans="1:26" s="752" customFormat="1" ht="10.5" customHeight="1">
      <c r="A113" s="735" t="s">
        <v>1150</v>
      </c>
      <c r="B113" s="736" t="s">
        <v>749</v>
      </c>
      <c r="C113" s="788"/>
      <c r="D113" s="764"/>
      <c r="E113" s="789"/>
      <c r="F113" s="763"/>
      <c r="G113" s="764"/>
      <c r="H113" s="790"/>
      <c r="I113" s="788"/>
      <c r="J113" s="764"/>
      <c r="K113" s="789"/>
      <c r="L113" s="763"/>
      <c r="M113" s="764"/>
      <c r="N113" s="790"/>
      <c r="O113" s="791"/>
      <c r="P113" s="789"/>
      <c r="Q113" s="790"/>
      <c r="R113" s="767">
        <v>6290</v>
      </c>
      <c r="S113" s="741">
        <v>121713</v>
      </c>
      <c r="T113" s="792">
        <v>0</v>
      </c>
      <c r="U113" s="763"/>
      <c r="V113" s="764"/>
      <c r="W113" s="790"/>
      <c r="X113" s="741">
        <f t="shared" si="12"/>
        <v>6290</v>
      </c>
      <c r="Y113" s="741">
        <f t="shared" si="12"/>
        <v>121713</v>
      </c>
      <c r="Z113" s="742">
        <f t="shared" si="11"/>
        <v>19.350238473767885</v>
      </c>
    </row>
    <row r="114" spans="1:28" s="752" customFormat="1" ht="10.5" customHeight="1" thickBot="1">
      <c r="A114" s="735" t="s">
        <v>1150</v>
      </c>
      <c r="B114" s="793" t="s">
        <v>1301</v>
      </c>
      <c r="C114" s="794"/>
      <c r="D114" s="794"/>
      <c r="E114" s="795"/>
      <c r="F114" s="796"/>
      <c r="G114" s="797"/>
      <c r="H114" s="798"/>
      <c r="I114" s="797"/>
      <c r="J114" s="797"/>
      <c r="K114" s="795"/>
      <c r="L114" s="796"/>
      <c r="M114" s="797"/>
      <c r="N114" s="798"/>
      <c r="O114" s="799"/>
      <c r="P114" s="800"/>
      <c r="Q114" s="798"/>
      <c r="R114" s="801">
        <f>'[2]1a'!$H$323</f>
        <v>795706</v>
      </c>
      <c r="S114" s="1224">
        <f>531954+3085+2578+490+3656+4306</f>
        <v>546069</v>
      </c>
      <c r="T114" s="803">
        <f>S114/R114</f>
        <v>0.6862698031685069</v>
      </c>
      <c r="U114" s="799"/>
      <c r="V114" s="804"/>
      <c r="W114" s="798"/>
      <c r="X114" s="805">
        <f t="shared" si="12"/>
        <v>795706</v>
      </c>
      <c r="Y114" s="805">
        <f t="shared" si="12"/>
        <v>546069</v>
      </c>
      <c r="Z114" s="742">
        <f t="shared" si="11"/>
        <v>0.6862698031685069</v>
      </c>
      <c r="AB114" s="806"/>
    </row>
    <row r="115" spans="1:26" s="776" customFormat="1" ht="12" customHeight="1" thickBot="1">
      <c r="A115" s="759"/>
      <c r="B115" s="770" t="s">
        <v>801</v>
      </c>
      <c r="C115" s="771">
        <f>SUM(C109:C114)</f>
        <v>0</v>
      </c>
      <c r="D115" s="772">
        <f>SUM(D109:D114)</f>
        <v>0</v>
      </c>
      <c r="E115" s="773">
        <v>0</v>
      </c>
      <c r="F115" s="771">
        <f>SUM(F109:F114)</f>
        <v>0</v>
      </c>
      <c r="G115" s="772">
        <f>SUM(G109:G114)</f>
        <v>0</v>
      </c>
      <c r="H115" s="773">
        <v>0</v>
      </c>
      <c r="I115" s="771">
        <f>SUM(I109:I114)</f>
        <v>0</v>
      </c>
      <c r="J115" s="772">
        <f>SUM(J109:J114)</f>
        <v>0</v>
      </c>
      <c r="K115" s="773">
        <v>0</v>
      </c>
      <c r="L115" s="771">
        <f>SUM(L109:L114)</f>
        <v>0</v>
      </c>
      <c r="M115" s="772">
        <f>SUM(M109:M114)</f>
        <v>0</v>
      </c>
      <c r="N115" s="773">
        <v>0</v>
      </c>
      <c r="O115" s="771">
        <f>SUM(O109:O114)</f>
        <v>0</v>
      </c>
      <c r="P115" s="772">
        <f>SUM(P109:P114)</f>
        <v>0</v>
      </c>
      <c r="Q115" s="773">
        <v>0</v>
      </c>
      <c r="R115" s="772">
        <f>SUM(R109:R114)</f>
        <v>3058587</v>
      </c>
      <c r="S115" s="772">
        <f>SUM(S109:S114)</f>
        <v>1916472</v>
      </c>
      <c r="T115" s="773">
        <v>0</v>
      </c>
      <c r="U115" s="771">
        <f>SUM(U109:U114)</f>
        <v>0</v>
      </c>
      <c r="V115" s="772">
        <f>SUM(V109:V114)</f>
        <v>0</v>
      </c>
      <c r="W115" s="773">
        <v>0</v>
      </c>
      <c r="X115" s="771">
        <f>SUM(X109:X114)</f>
        <v>3058587</v>
      </c>
      <c r="Y115" s="772">
        <f>SUM(Y109:Y114)</f>
        <v>1916472</v>
      </c>
      <c r="Z115" s="773">
        <v>0</v>
      </c>
    </row>
    <row r="116" spans="1:26" s="752" customFormat="1" ht="10.5" customHeight="1">
      <c r="A116" s="735" t="s">
        <v>1150</v>
      </c>
      <c r="B116" s="736" t="s">
        <v>750</v>
      </c>
      <c r="C116" s="766"/>
      <c r="D116" s="807"/>
      <c r="E116" s="808"/>
      <c r="F116" s="809"/>
      <c r="G116" s="810"/>
      <c r="H116" s="811"/>
      <c r="I116" s="766"/>
      <c r="J116" s="807">
        <v>139254</v>
      </c>
      <c r="K116" s="812">
        <v>0</v>
      </c>
      <c r="L116" s="813">
        <v>3583</v>
      </c>
      <c r="M116" s="814">
        <v>0</v>
      </c>
      <c r="N116" s="815"/>
      <c r="O116" s="816"/>
      <c r="P116" s="817"/>
      <c r="Q116" s="815"/>
      <c r="R116" s="766"/>
      <c r="S116" s="737"/>
      <c r="T116" s="792"/>
      <c r="U116" s="763"/>
      <c r="V116" s="764"/>
      <c r="W116" s="790"/>
      <c r="X116" s="740">
        <f aca="true" t="shared" si="13" ref="X116:Y118">C116+F116+I116+L116+R116+U116+O116</f>
        <v>3583</v>
      </c>
      <c r="Y116" s="741">
        <f t="shared" si="13"/>
        <v>139254</v>
      </c>
      <c r="Z116" s="742">
        <v>0</v>
      </c>
    </row>
    <row r="117" spans="1:26" s="752" customFormat="1" ht="10.5" customHeight="1">
      <c r="A117" s="735" t="s">
        <v>1150</v>
      </c>
      <c r="B117" s="736" t="s">
        <v>751</v>
      </c>
      <c r="C117" s="767"/>
      <c r="D117" s="737"/>
      <c r="E117" s="812"/>
      <c r="F117" s="739"/>
      <c r="G117" s="737"/>
      <c r="H117" s="738"/>
      <c r="I117" s="767"/>
      <c r="J117" s="737">
        <v>164787</v>
      </c>
      <c r="K117" s="812">
        <v>0</v>
      </c>
      <c r="L117" s="739">
        <v>4659</v>
      </c>
      <c r="M117" s="764">
        <v>0</v>
      </c>
      <c r="N117" s="790"/>
      <c r="O117" s="791"/>
      <c r="P117" s="789"/>
      <c r="Q117" s="790"/>
      <c r="R117" s="767"/>
      <c r="S117" s="737"/>
      <c r="T117" s="792"/>
      <c r="U117" s="763"/>
      <c r="V117" s="764"/>
      <c r="W117" s="790"/>
      <c r="X117" s="740">
        <f t="shared" si="13"/>
        <v>4659</v>
      </c>
      <c r="Y117" s="741">
        <f t="shared" si="13"/>
        <v>164787</v>
      </c>
      <c r="Z117" s="742">
        <v>0</v>
      </c>
    </row>
    <row r="118" spans="1:26" s="752" customFormat="1" ht="10.5" customHeight="1" thickBot="1">
      <c r="A118" s="735" t="s">
        <v>1150</v>
      </c>
      <c r="B118" s="736" t="s">
        <v>752</v>
      </c>
      <c r="C118" s="767"/>
      <c r="D118" s="737"/>
      <c r="E118" s="812"/>
      <c r="F118" s="739"/>
      <c r="G118" s="737"/>
      <c r="H118" s="738"/>
      <c r="I118" s="767"/>
      <c r="J118" s="737">
        <v>159519</v>
      </c>
      <c r="K118" s="812">
        <v>0</v>
      </c>
      <c r="L118" s="739">
        <v>4859</v>
      </c>
      <c r="M118" s="764">
        <v>0</v>
      </c>
      <c r="N118" s="790"/>
      <c r="O118" s="818"/>
      <c r="P118" s="819"/>
      <c r="Q118" s="820"/>
      <c r="R118" s="767"/>
      <c r="S118" s="737"/>
      <c r="T118" s="792"/>
      <c r="U118" s="763"/>
      <c r="V118" s="764"/>
      <c r="W118" s="790"/>
      <c r="X118" s="740">
        <f t="shared" si="13"/>
        <v>4859</v>
      </c>
      <c r="Y118" s="741">
        <f t="shared" si="13"/>
        <v>159519</v>
      </c>
      <c r="Z118" s="742">
        <v>0</v>
      </c>
    </row>
    <row r="119" spans="1:26" s="776" customFormat="1" ht="12" customHeight="1" thickBot="1">
      <c r="A119" s="759"/>
      <c r="B119" s="821" t="s">
        <v>753</v>
      </c>
      <c r="C119" s="822">
        <f>SUM(C116:C118)</f>
        <v>0</v>
      </c>
      <c r="D119" s="823">
        <f>SUM(D116:D118)</f>
        <v>0</v>
      </c>
      <c r="E119" s="824">
        <v>0</v>
      </c>
      <c r="F119" s="822">
        <f>SUM(F116:F118)</f>
        <v>0</v>
      </c>
      <c r="G119" s="823">
        <f>SUM(G116:G118)</f>
        <v>0</v>
      </c>
      <c r="H119" s="824">
        <v>0</v>
      </c>
      <c r="I119" s="823">
        <f>SUM(I116:I118)</f>
        <v>0</v>
      </c>
      <c r="J119" s="823">
        <f>SUM(J116:J118)</f>
        <v>463560</v>
      </c>
      <c r="K119" s="824">
        <v>0</v>
      </c>
      <c r="L119" s="822">
        <f>SUM(L116:L118)</f>
        <v>13101</v>
      </c>
      <c r="M119" s="823">
        <f>SUM(M116:M118)</f>
        <v>0</v>
      </c>
      <c r="N119" s="824">
        <v>0</v>
      </c>
      <c r="O119" s="822">
        <f>SUM(O116:O118)</f>
        <v>0</v>
      </c>
      <c r="P119" s="823">
        <f>SUM(P116:P118)</f>
        <v>0</v>
      </c>
      <c r="Q119" s="824">
        <v>0</v>
      </c>
      <c r="R119" s="822">
        <f>SUM(R116:R118)</f>
        <v>0</v>
      </c>
      <c r="S119" s="823">
        <f>SUM(S116:S118)</f>
        <v>0</v>
      </c>
      <c r="T119" s="824">
        <v>0</v>
      </c>
      <c r="U119" s="822">
        <f>SUM(U116:U118)</f>
        <v>0</v>
      </c>
      <c r="V119" s="823">
        <f>SUM(V116:V118)</f>
        <v>0</v>
      </c>
      <c r="W119" s="824">
        <v>0</v>
      </c>
      <c r="X119" s="822">
        <f>SUM(X116:X118)</f>
        <v>13101</v>
      </c>
      <c r="Y119" s="823">
        <f>SUM(Y116:Y118)</f>
        <v>463560</v>
      </c>
      <c r="Z119" s="824">
        <v>0</v>
      </c>
    </row>
    <row r="120" spans="1:26" s="752" customFormat="1" ht="12" customHeight="1" thickBot="1">
      <c r="A120" s="735" t="s">
        <v>1150</v>
      </c>
      <c r="B120" s="825" t="s">
        <v>754</v>
      </c>
      <c r="C120" s="826">
        <v>0</v>
      </c>
      <c r="D120" s="827">
        <v>5221</v>
      </c>
      <c r="E120" s="828">
        <v>0</v>
      </c>
      <c r="F120" s="826">
        <v>0</v>
      </c>
      <c r="G120" s="827">
        <v>1382</v>
      </c>
      <c r="H120" s="828">
        <v>0</v>
      </c>
      <c r="I120" s="826">
        <v>0</v>
      </c>
      <c r="J120" s="827">
        <v>80148</v>
      </c>
      <c r="K120" s="828">
        <v>0</v>
      </c>
      <c r="L120" s="809"/>
      <c r="M120" s="810"/>
      <c r="N120" s="1008"/>
      <c r="O120" s="809"/>
      <c r="P120" s="810"/>
      <c r="Q120" s="1008"/>
      <c r="R120" s="809"/>
      <c r="S120" s="810"/>
      <c r="T120" s="1008"/>
      <c r="U120" s="809"/>
      <c r="V120" s="810"/>
      <c r="W120" s="1008"/>
      <c r="X120" s="1009">
        <f>C120+F120+I120+L120+R120+U120+O120</f>
        <v>0</v>
      </c>
      <c r="Y120" s="1009">
        <f>D120+G120+J120+M120+S120+V120+P120</f>
        <v>86751</v>
      </c>
      <c r="Z120" s="742">
        <v>0</v>
      </c>
    </row>
    <row r="121" spans="1:26" s="752" customFormat="1" ht="12" customHeight="1" thickBot="1">
      <c r="A121" s="735" t="s">
        <v>1150</v>
      </c>
      <c r="B121" s="1006" t="s">
        <v>980</v>
      </c>
      <c r="C121" s="737"/>
      <c r="D121" s="737"/>
      <c r="E121" s="738"/>
      <c r="F121" s="737"/>
      <c r="G121" s="737"/>
      <c r="H121" s="738"/>
      <c r="I121" s="737">
        <v>0</v>
      </c>
      <c r="J121" s="737">
        <v>21787</v>
      </c>
      <c r="K121" s="738">
        <v>0</v>
      </c>
      <c r="L121" s="826"/>
      <c r="M121" s="827"/>
      <c r="N121" s="828"/>
      <c r="O121" s="826"/>
      <c r="P121" s="827"/>
      <c r="Q121" s="828"/>
      <c r="R121" s="826"/>
      <c r="S121" s="827"/>
      <c r="T121" s="828"/>
      <c r="U121" s="826"/>
      <c r="V121" s="827"/>
      <c r="W121" s="828"/>
      <c r="X121" s="1007">
        <f>C121+F121+I121+L121+R121+U121+O121</f>
        <v>0</v>
      </c>
      <c r="Y121" s="1007">
        <f>D121+G121+J121+M121+S121+V121+P121</f>
        <v>21787</v>
      </c>
      <c r="Z121" s="742">
        <v>0</v>
      </c>
    </row>
    <row r="122" spans="1:28" s="776" customFormat="1" ht="14.25" customHeight="1" thickBot="1">
      <c r="A122" s="759"/>
      <c r="B122" s="770" t="s">
        <v>755</v>
      </c>
      <c r="C122" s="771">
        <f>C119+C120</f>
        <v>0</v>
      </c>
      <c r="D122" s="775">
        <f>D119+D120</f>
        <v>5221</v>
      </c>
      <c r="E122" s="773">
        <v>0</v>
      </c>
      <c r="F122" s="771">
        <f>F119+F120</f>
        <v>0</v>
      </c>
      <c r="G122" s="775">
        <f>G119+G120</f>
        <v>1382</v>
      </c>
      <c r="H122" s="773">
        <v>0</v>
      </c>
      <c r="I122" s="771">
        <f>I119+I120</f>
        <v>0</v>
      </c>
      <c r="J122" s="775">
        <f>J119+J120+J121</f>
        <v>565495</v>
      </c>
      <c r="K122" s="773">
        <v>0</v>
      </c>
      <c r="L122" s="771">
        <f>L119+L120</f>
        <v>13101</v>
      </c>
      <c r="M122" s="775">
        <f>M119+M120</f>
        <v>0</v>
      </c>
      <c r="N122" s="773">
        <v>0</v>
      </c>
      <c r="O122" s="771">
        <f>O119+O120</f>
        <v>0</v>
      </c>
      <c r="P122" s="775">
        <f>P119+P120</f>
        <v>0</v>
      </c>
      <c r="Q122" s="773">
        <v>0</v>
      </c>
      <c r="R122" s="771">
        <f>R119+R120</f>
        <v>0</v>
      </c>
      <c r="S122" s="775">
        <f>S119+S120</f>
        <v>0</v>
      </c>
      <c r="T122" s="773">
        <v>0</v>
      </c>
      <c r="U122" s="771">
        <f>U119+U120</f>
        <v>0</v>
      </c>
      <c r="V122" s="775">
        <f>V119+V120</f>
        <v>0</v>
      </c>
      <c r="W122" s="773">
        <v>0</v>
      </c>
      <c r="X122" s="771">
        <f>X119+X120</f>
        <v>13101</v>
      </c>
      <c r="Y122" s="775">
        <f>Y119+Y120+Y121</f>
        <v>572098</v>
      </c>
      <c r="Z122" s="773">
        <v>0</v>
      </c>
      <c r="AB122" s="829"/>
    </row>
    <row r="123" spans="1:28" s="757" customFormat="1" ht="10.5" customHeight="1" thickBot="1">
      <c r="A123" s="830"/>
      <c r="B123" s="717"/>
      <c r="R123" s="831"/>
      <c r="S123" s="831"/>
      <c r="T123" s="832"/>
      <c r="X123" s="833"/>
      <c r="Y123" s="833"/>
      <c r="Z123" s="832"/>
      <c r="AB123" s="834"/>
    </row>
    <row r="124" spans="1:26" s="776" customFormat="1" ht="14.25" customHeight="1" thickBot="1">
      <c r="A124" s="835"/>
      <c r="B124" s="836" t="s">
        <v>802</v>
      </c>
      <c r="C124" s="837">
        <f>C108+C115+C122</f>
        <v>124596</v>
      </c>
      <c r="D124" s="838">
        <f>D108+D115+D122</f>
        <v>167297</v>
      </c>
      <c r="E124" s="839">
        <f>D124/C124</f>
        <v>1.342715657003435</v>
      </c>
      <c r="F124" s="837">
        <f>F108+F115+F122</f>
        <v>27587</v>
      </c>
      <c r="G124" s="838">
        <f>G108+G115+G122</f>
        <v>37503</v>
      </c>
      <c r="H124" s="839">
        <f>G124/F124</f>
        <v>1.3594446659658534</v>
      </c>
      <c r="I124" s="837">
        <f>I108+I115+I122</f>
        <v>1321702</v>
      </c>
      <c r="J124" s="838">
        <f>J108+J115+J122</f>
        <v>2051678</v>
      </c>
      <c r="K124" s="839">
        <f>J124/I124</f>
        <v>1.552299988953637</v>
      </c>
      <c r="L124" s="837">
        <f>L108+L115+L122</f>
        <v>19101</v>
      </c>
      <c r="M124" s="838">
        <f>M108+M115+M122</f>
        <v>6000</v>
      </c>
      <c r="N124" s="839">
        <f>M124/L124</f>
        <v>0.3141196795979268</v>
      </c>
      <c r="O124" s="837">
        <f>O108+O115+O122</f>
        <v>199000</v>
      </c>
      <c r="P124" s="838">
        <f>P108+P115+P122</f>
        <v>212200</v>
      </c>
      <c r="Q124" s="839">
        <v>0</v>
      </c>
      <c r="R124" s="837">
        <f>R108+R115+R122</f>
        <v>3270657</v>
      </c>
      <c r="S124" s="838">
        <f>S108+S115+S122</f>
        <v>2153578</v>
      </c>
      <c r="T124" s="839">
        <f>S124/R124</f>
        <v>0.658454249406159</v>
      </c>
      <c r="U124" s="837">
        <f>U108+U115+U122</f>
        <v>167580</v>
      </c>
      <c r="V124" s="838">
        <f>V108+V115+V122</f>
        <v>270470</v>
      </c>
      <c r="W124" s="839">
        <f>V124/U124</f>
        <v>1.6139754147272944</v>
      </c>
      <c r="X124" s="837">
        <f>X108+X115+X122</f>
        <v>5130223</v>
      </c>
      <c r="Y124" s="838">
        <f>Y108+Y115+Y122</f>
        <v>4898726</v>
      </c>
      <c r="Z124" s="839">
        <f>Y124/X124</f>
        <v>0.9548758406798301</v>
      </c>
    </row>
    <row r="126" ht="15">
      <c r="P126" s="806">
        <f>P124+S108+V124</f>
        <v>719776</v>
      </c>
    </row>
    <row r="127" spans="4:19" ht="15">
      <c r="D127" s="712">
        <f>9!D66</f>
        <v>167297</v>
      </c>
      <c r="G127" s="712">
        <f>9!D67</f>
        <v>37503</v>
      </c>
      <c r="J127" s="712">
        <f>9!D68</f>
        <v>2051678</v>
      </c>
      <c r="M127" s="712">
        <f>9!D69</f>
        <v>6000</v>
      </c>
      <c r="P127" s="712">
        <f>9!D70</f>
        <v>719776</v>
      </c>
      <c r="S127" s="712">
        <f>'11'!D34+'12'!D34+'13'!D34+'14'!D34+'10'!D34+'10.1'!D34</f>
        <v>1916472</v>
      </c>
    </row>
    <row r="129" spans="4:23" ht="15">
      <c r="D129" s="1264">
        <f>D124-D127</f>
        <v>0</v>
      </c>
      <c r="E129" s="1264"/>
      <c r="F129" s="1264"/>
      <c r="G129" s="1264">
        <f aca="true" t="shared" si="14" ref="G129:M129">G124-G127</f>
        <v>0</v>
      </c>
      <c r="H129" s="1264"/>
      <c r="I129" s="1264"/>
      <c r="J129" s="1264">
        <f t="shared" si="14"/>
        <v>0</v>
      </c>
      <c r="K129" s="1264"/>
      <c r="L129" s="1264"/>
      <c r="M129" s="1264">
        <f t="shared" si="14"/>
        <v>0</v>
      </c>
      <c r="N129" s="1264"/>
      <c r="O129" s="1264"/>
      <c r="P129" s="1264">
        <f>P126-P127</f>
        <v>0</v>
      </c>
      <c r="Q129" s="1264"/>
      <c r="R129" s="1264"/>
      <c r="S129" s="1264">
        <f>S115-S127</f>
        <v>0</v>
      </c>
      <c r="T129" s="1264"/>
      <c r="U129" s="1264"/>
      <c r="V129" s="1264"/>
      <c r="W129" s="1264"/>
    </row>
  </sheetData>
  <sheetProtection/>
  <mergeCells count="21">
    <mergeCell ref="A1:Z1"/>
    <mergeCell ref="A2:Y2"/>
    <mergeCell ref="A3:Y3"/>
    <mergeCell ref="A4:Z4"/>
    <mergeCell ref="X5:Z5"/>
    <mergeCell ref="I5:K6"/>
    <mergeCell ref="C5:E6"/>
    <mergeCell ref="O5:W5"/>
    <mergeCell ref="E7:E8"/>
    <mergeCell ref="W7:W8"/>
    <mergeCell ref="L5:N6"/>
    <mergeCell ref="K7:K8"/>
    <mergeCell ref="T7:T8"/>
    <mergeCell ref="O6:Q6"/>
    <mergeCell ref="Z7:Z8"/>
    <mergeCell ref="F5:H6"/>
    <mergeCell ref="N7:N8"/>
    <mergeCell ref="R6:T6"/>
    <mergeCell ref="U6:W6"/>
    <mergeCell ref="Q7:Q8"/>
    <mergeCell ref="H7:H8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5"/>
  <sheetViews>
    <sheetView zoomScalePageLayoutView="0" workbookViewId="0" topLeftCell="A90">
      <selection activeCell="A114" sqref="A114:IV114"/>
    </sheetView>
  </sheetViews>
  <sheetFormatPr defaultColWidth="9.00390625" defaultRowHeight="12" customHeight="1"/>
  <cols>
    <col min="1" max="1" width="4.50390625" style="1025" customWidth="1"/>
    <col min="2" max="2" width="77.125" style="1087" customWidth="1"/>
    <col min="3" max="3" width="12.625" style="1088" customWidth="1"/>
    <col min="4" max="4" width="12.50390625" style="1089" customWidth="1"/>
    <col min="5" max="5" width="12.125" style="1025" customWidth="1"/>
    <col min="6" max="6" width="11.625" style="1025" customWidth="1"/>
    <col min="7" max="7" width="11.875" style="1025" customWidth="1"/>
    <col min="8" max="9" width="10.625" style="1025" customWidth="1"/>
    <col min="10" max="10" width="9.375" style="1026" customWidth="1"/>
    <col min="11" max="16384" width="9.375" style="1025" customWidth="1"/>
  </cols>
  <sheetData>
    <row r="1" spans="1:5" ht="12" customHeight="1">
      <c r="A1" s="1359" t="s">
        <v>876</v>
      </c>
      <c r="B1" s="1359"/>
      <c r="C1" s="1359"/>
      <c r="D1" s="1359"/>
      <c r="E1" s="1360"/>
    </row>
    <row r="2" spans="1:5" ht="14.25" customHeight="1">
      <c r="A2" s="1361" t="s">
        <v>1003</v>
      </c>
      <c r="B2" s="1361"/>
      <c r="C2" s="1361"/>
      <c r="D2" s="1361"/>
      <c r="E2" s="1283"/>
    </row>
    <row r="3" spans="1:7" ht="15.75" customHeight="1">
      <c r="A3" s="1361" t="str">
        <f>'[5]1'!A3:K3</f>
        <v>2013. ÉV</v>
      </c>
      <c r="B3" s="1361"/>
      <c r="C3" s="1361"/>
      <c r="D3" s="1361"/>
      <c r="E3" s="1283"/>
      <c r="G3" s="1027">
        <f>G312</f>
        <v>2721455</v>
      </c>
    </row>
    <row r="4" spans="1:10" s="1028" customFormat="1" ht="12" customHeight="1">
      <c r="A4" s="1362" t="s">
        <v>700</v>
      </c>
      <c r="B4" s="1362"/>
      <c r="C4" s="1362"/>
      <c r="D4" s="1362"/>
      <c r="E4" s="1283"/>
      <c r="G4" s="1027"/>
      <c r="J4" s="1029"/>
    </row>
    <row r="5" spans="1:10" s="1032" customFormat="1" ht="12" customHeight="1">
      <c r="A5" s="1030" t="s">
        <v>1004</v>
      </c>
      <c r="B5" s="1031"/>
      <c r="C5" s="1030"/>
      <c r="D5" s="685"/>
      <c r="J5" s="1027"/>
    </row>
    <row r="6" spans="3:10" s="1033" customFormat="1" ht="25.5" customHeight="1">
      <c r="C6" s="1034" t="s">
        <v>1005</v>
      </c>
      <c r="D6" s="1034" t="s">
        <v>1006</v>
      </c>
      <c r="E6" s="1035" t="s">
        <v>552</v>
      </c>
      <c r="J6" s="1036"/>
    </row>
    <row r="7" spans="1:10" s="1032" customFormat="1" ht="12" customHeight="1">
      <c r="A7" s="1037" t="s">
        <v>1007</v>
      </c>
      <c r="B7" s="1038"/>
      <c r="C7" s="652"/>
      <c r="D7" s="654"/>
      <c r="E7" s="1039"/>
      <c r="J7" s="1027"/>
    </row>
    <row r="8" spans="1:10" s="643" customFormat="1" ht="12" customHeight="1">
      <c r="A8" s="652" t="s">
        <v>74</v>
      </c>
      <c r="B8" s="977" t="s">
        <v>1008</v>
      </c>
      <c r="C8" s="1040">
        <v>170000</v>
      </c>
      <c r="D8" s="1132">
        <f>50000-1717-291-1133-672-400-764-2653-5678-1524</f>
        <v>35168</v>
      </c>
      <c r="E8" s="1251">
        <f>D8/C8</f>
        <v>0.2068705882352941</v>
      </c>
      <c r="F8" s="1134" t="s">
        <v>1150</v>
      </c>
      <c r="J8" s="685"/>
    </row>
    <row r="9" spans="1:10" s="643" customFormat="1" ht="12" customHeight="1">
      <c r="A9" s="652" t="s">
        <v>75</v>
      </c>
      <c r="B9" s="977" t="s">
        <v>1009</v>
      </c>
      <c r="C9" s="1040">
        <v>5000</v>
      </c>
      <c r="D9" s="1040">
        <v>2000</v>
      </c>
      <c r="E9" s="1041">
        <f>D9/C9</f>
        <v>0.4</v>
      </c>
      <c r="F9" s="643" t="s">
        <v>1150</v>
      </c>
      <c r="J9" s="685"/>
    </row>
    <row r="10" spans="1:10" s="643" customFormat="1" ht="12" customHeight="1">
      <c r="A10" s="652" t="s">
        <v>76</v>
      </c>
      <c r="B10" s="977" t="s">
        <v>1010</v>
      </c>
      <c r="C10" s="1040">
        <v>3000</v>
      </c>
      <c r="D10" s="1132">
        <f>3500-335-126</f>
        <v>3039</v>
      </c>
      <c r="E10" s="1041">
        <f>D10/C10</f>
        <v>1.013</v>
      </c>
      <c r="F10" s="1134" t="s">
        <v>1150</v>
      </c>
      <c r="J10" s="685"/>
    </row>
    <row r="11" spans="1:10" s="643" customFormat="1" ht="12" customHeight="1">
      <c r="A11" s="652" t="s">
        <v>77</v>
      </c>
      <c r="B11" s="977" t="s">
        <v>1011</v>
      </c>
      <c r="C11" s="1040">
        <v>9000</v>
      </c>
      <c r="D11" s="1040">
        <v>0</v>
      </c>
      <c r="E11" s="1041">
        <f aca="true" t="shared" si="0" ref="E11:E22">D11/C11</f>
        <v>0</v>
      </c>
      <c r="J11" s="685"/>
    </row>
    <row r="12" spans="1:10" s="643" customFormat="1" ht="12" customHeight="1">
      <c r="A12" s="652" t="s">
        <v>78</v>
      </c>
      <c r="B12" s="977" t="s">
        <v>1012</v>
      </c>
      <c r="C12" s="1040">
        <v>50000</v>
      </c>
      <c r="D12" s="1040">
        <v>0</v>
      </c>
      <c r="E12" s="1041">
        <f t="shared" si="0"/>
        <v>0</v>
      </c>
      <c r="J12" s="685"/>
    </row>
    <row r="13" spans="1:10" s="643" customFormat="1" ht="12" customHeight="1">
      <c r="A13" s="652" t="s">
        <v>79</v>
      </c>
      <c r="B13" s="977" t="s">
        <v>639</v>
      </c>
      <c r="C13" s="1040">
        <v>100000</v>
      </c>
      <c r="D13" s="1040">
        <v>0</v>
      </c>
      <c r="E13" s="1041">
        <f t="shared" si="0"/>
        <v>0</v>
      </c>
      <c r="J13" s="685"/>
    </row>
    <row r="14" spans="1:10" s="643" customFormat="1" ht="11.25" customHeight="1">
      <c r="A14" s="652" t="s">
        <v>80</v>
      </c>
      <c r="B14" s="977" t="s">
        <v>1013</v>
      </c>
      <c r="C14" s="1040">
        <v>211000</v>
      </c>
      <c r="D14" s="1040">
        <v>0</v>
      </c>
      <c r="E14" s="1041">
        <f t="shared" si="0"/>
        <v>0</v>
      </c>
      <c r="J14" s="685"/>
    </row>
    <row r="15" spans="1:10" s="643" customFormat="1" ht="12.75" customHeight="1">
      <c r="A15" s="652" t="s">
        <v>81</v>
      </c>
      <c r="B15" s="977" t="s">
        <v>1014</v>
      </c>
      <c r="C15" s="1040">
        <v>28000</v>
      </c>
      <c r="D15" s="1040">
        <v>0</v>
      </c>
      <c r="E15" s="1041">
        <f t="shared" si="0"/>
        <v>0</v>
      </c>
      <c r="J15" s="685"/>
    </row>
    <row r="16" spans="1:10" s="643" customFormat="1" ht="12.75" customHeight="1">
      <c r="A16" s="652" t="s">
        <v>82</v>
      </c>
      <c r="B16" s="977" t="s">
        <v>1015</v>
      </c>
      <c r="C16" s="1040">
        <v>24418</v>
      </c>
      <c r="D16" s="1040">
        <v>0</v>
      </c>
      <c r="E16" s="1041">
        <f t="shared" si="0"/>
        <v>0</v>
      </c>
      <c r="J16" s="685"/>
    </row>
    <row r="17" spans="1:10" s="643" customFormat="1" ht="12.75" customHeight="1">
      <c r="A17" s="652" t="s">
        <v>83</v>
      </c>
      <c r="B17" s="977" t="s">
        <v>1016</v>
      </c>
      <c r="C17" s="1040">
        <v>103750</v>
      </c>
      <c r="D17" s="1040">
        <v>0</v>
      </c>
      <c r="E17" s="1041">
        <f t="shared" si="0"/>
        <v>0</v>
      </c>
      <c r="J17" s="685"/>
    </row>
    <row r="18" spans="1:10" s="643" customFormat="1" ht="12" customHeight="1">
      <c r="A18" s="652" t="s">
        <v>84</v>
      </c>
      <c r="B18" s="977" t="s">
        <v>1017</v>
      </c>
      <c r="C18" s="1040">
        <v>12617</v>
      </c>
      <c r="D18" s="1040">
        <v>0</v>
      </c>
      <c r="E18" s="1041">
        <f t="shared" si="0"/>
        <v>0</v>
      </c>
      <c r="J18" s="685"/>
    </row>
    <row r="19" spans="1:10" s="643" customFormat="1" ht="12" customHeight="1">
      <c r="A19" s="652" t="s">
        <v>85</v>
      </c>
      <c r="B19" s="977" t="s">
        <v>1018</v>
      </c>
      <c r="C19" s="1040">
        <v>12226</v>
      </c>
      <c r="D19" s="1040">
        <v>0</v>
      </c>
      <c r="E19" s="1041">
        <f t="shared" si="0"/>
        <v>0</v>
      </c>
      <c r="J19" s="685"/>
    </row>
    <row r="20" spans="1:10" s="643" customFormat="1" ht="12" customHeight="1">
      <c r="A20" s="652" t="s">
        <v>86</v>
      </c>
      <c r="B20" s="977" t="s">
        <v>1019</v>
      </c>
      <c r="C20" s="1040">
        <v>21062</v>
      </c>
      <c r="D20" s="1040">
        <v>0</v>
      </c>
      <c r="E20" s="1041">
        <f t="shared" si="0"/>
        <v>0</v>
      </c>
      <c r="J20" s="685"/>
    </row>
    <row r="21" spans="1:10" s="643" customFormat="1" ht="12" customHeight="1">
      <c r="A21" s="652" t="s">
        <v>87</v>
      </c>
      <c r="B21" s="977" t="s">
        <v>1020</v>
      </c>
      <c r="C21" s="1040">
        <v>600</v>
      </c>
      <c r="D21" s="1040">
        <v>0</v>
      </c>
      <c r="E21" s="1041">
        <f t="shared" si="0"/>
        <v>0</v>
      </c>
      <c r="J21" s="685"/>
    </row>
    <row r="22" spans="1:10" s="643" customFormat="1" ht="12" customHeight="1">
      <c r="A22" s="652" t="s">
        <v>88</v>
      </c>
      <c r="B22" s="632" t="s">
        <v>1021</v>
      </c>
      <c r="C22" s="1040">
        <v>4500</v>
      </c>
      <c r="D22" s="1040">
        <v>0</v>
      </c>
      <c r="E22" s="1041">
        <f t="shared" si="0"/>
        <v>0</v>
      </c>
      <c r="J22" s="685"/>
    </row>
    <row r="23" spans="1:10" s="643" customFormat="1" ht="12" customHeight="1">
      <c r="A23" s="652" t="s">
        <v>89</v>
      </c>
      <c r="B23" s="977" t="s">
        <v>1022</v>
      </c>
      <c r="C23" s="654">
        <v>8200</v>
      </c>
      <c r="D23" s="654">
        <v>0</v>
      </c>
      <c r="E23" s="1041">
        <f>D23/C23</f>
        <v>0</v>
      </c>
      <c r="J23" s="685"/>
    </row>
    <row r="24" spans="1:10" s="643" customFormat="1" ht="12" customHeight="1">
      <c r="A24" s="652" t="s">
        <v>90</v>
      </c>
      <c r="B24" s="977" t="s">
        <v>1023</v>
      </c>
      <c r="C24" s="654">
        <v>0</v>
      </c>
      <c r="D24" s="1244">
        <f>6900-1060</f>
        <v>5840</v>
      </c>
      <c r="E24" s="1041">
        <v>0</v>
      </c>
      <c r="F24" s="1252" t="s">
        <v>1150</v>
      </c>
      <c r="J24" s="685"/>
    </row>
    <row r="25" spans="1:10" s="643" customFormat="1" ht="12" customHeight="1">
      <c r="A25" s="652" t="s">
        <v>91</v>
      </c>
      <c r="B25" s="977" t="s">
        <v>1024</v>
      </c>
      <c r="C25" s="1040">
        <v>0</v>
      </c>
      <c r="D25" s="1040">
        <v>596</v>
      </c>
      <c r="E25" s="1041">
        <v>0</v>
      </c>
      <c r="F25" s="643" t="s">
        <v>1150</v>
      </c>
      <c r="J25" s="685"/>
    </row>
    <row r="26" spans="1:10" s="643" customFormat="1" ht="12" customHeight="1" hidden="1">
      <c r="A26" s="652" t="s">
        <v>92</v>
      </c>
      <c r="E26" s="1133"/>
      <c r="F26" s="1134"/>
      <c r="J26" s="685"/>
    </row>
    <row r="27" spans="1:10" s="643" customFormat="1" ht="12" customHeight="1">
      <c r="A27" s="652" t="s">
        <v>93</v>
      </c>
      <c r="B27" s="977" t="s">
        <v>1209</v>
      </c>
      <c r="C27" s="1040"/>
      <c r="D27" s="1225">
        <v>804</v>
      </c>
      <c r="E27" s="1226"/>
      <c r="F27" s="1227" t="s">
        <v>1150</v>
      </c>
      <c r="J27" s="685"/>
    </row>
    <row r="28" spans="1:10" s="643" customFormat="1" ht="12" customHeight="1">
      <c r="A28" s="652" t="s">
        <v>94</v>
      </c>
      <c r="B28" s="977"/>
      <c r="C28" s="654"/>
      <c r="D28" s="654"/>
      <c r="E28" s="1041"/>
      <c r="J28" s="685"/>
    </row>
    <row r="29" spans="1:10" s="643" customFormat="1" ht="12" customHeight="1">
      <c r="A29" s="652" t="s">
        <v>95</v>
      </c>
      <c r="B29" s="977"/>
      <c r="C29" s="654"/>
      <c r="D29" s="654"/>
      <c r="E29" s="1041"/>
      <c r="J29" s="685"/>
    </row>
    <row r="30" spans="1:10" s="643" customFormat="1" ht="12" customHeight="1" thickBot="1">
      <c r="A30" s="652" t="s">
        <v>96</v>
      </c>
      <c r="B30" s="977"/>
      <c r="C30" s="1040"/>
      <c r="D30" s="1040"/>
      <c r="E30" s="1041"/>
      <c r="J30" s="685"/>
    </row>
    <row r="31" spans="1:10" s="643" customFormat="1" ht="12" customHeight="1">
      <c r="A31" s="1042" t="s">
        <v>107</v>
      </c>
      <c r="B31" s="1043"/>
      <c r="C31" s="1044">
        <f>SUM(C8:C30)</f>
        <v>763373</v>
      </c>
      <c r="D31" s="1044">
        <f>SUM(D8:D30)</f>
        <v>47447</v>
      </c>
      <c r="E31" s="1045">
        <f>D31/C31</f>
        <v>0.06215441206330326</v>
      </c>
      <c r="J31" s="685"/>
    </row>
    <row r="32" spans="2:10" s="643" customFormat="1" ht="12" customHeight="1">
      <c r="B32" s="1046"/>
      <c r="C32" s="1047"/>
      <c r="D32" s="1047"/>
      <c r="J32" s="685"/>
    </row>
    <row r="33" spans="2:10" s="643" customFormat="1" ht="12" customHeight="1">
      <c r="B33" s="1046"/>
      <c r="C33" s="1047"/>
      <c r="D33" s="1047"/>
      <c r="J33" s="685"/>
    </row>
    <row r="34" spans="1:10" s="643" customFormat="1" ht="12" customHeight="1">
      <c r="A34" s="1048" t="s">
        <v>1025</v>
      </c>
      <c r="B34" s="1046"/>
      <c r="C34" s="1047"/>
      <c r="D34" s="1047"/>
      <c r="J34" s="685"/>
    </row>
    <row r="35" spans="1:10" s="643" customFormat="1" ht="12" customHeight="1">
      <c r="A35" s="652" t="s">
        <v>74</v>
      </c>
      <c r="B35" s="977" t="s">
        <v>1026</v>
      </c>
      <c r="C35" s="1040">
        <v>87500</v>
      </c>
      <c r="D35" s="1040">
        <v>76230</v>
      </c>
      <c r="E35" s="1041">
        <f aca="true" t="shared" si="1" ref="E35:E50">D35/C35</f>
        <v>0.8712</v>
      </c>
      <c r="F35" s="643" t="s">
        <v>1150</v>
      </c>
      <c r="J35" s="685"/>
    </row>
    <row r="36" spans="1:10" s="643" customFormat="1" ht="12" customHeight="1">
      <c r="A36" s="652" t="s">
        <v>75</v>
      </c>
      <c r="B36" s="977" t="s">
        <v>1027</v>
      </c>
      <c r="C36" s="1040">
        <v>3200</v>
      </c>
      <c r="D36" s="1040">
        <v>2500</v>
      </c>
      <c r="E36" s="1041">
        <f t="shared" si="1"/>
        <v>0.78125</v>
      </c>
      <c r="F36" s="643" t="s">
        <v>1150</v>
      </c>
      <c r="J36" s="685"/>
    </row>
    <row r="37" spans="1:10" s="643" customFormat="1" ht="12" customHeight="1">
      <c r="A37" s="652" t="s">
        <v>76</v>
      </c>
      <c r="B37" s="977" t="s">
        <v>1028</v>
      </c>
      <c r="C37" s="1040">
        <v>10000</v>
      </c>
      <c r="D37" s="1040">
        <v>15000</v>
      </c>
      <c r="E37" s="1041">
        <f t="shared" si="1"/>
        <v>1.5</v>
      </c>
      <c r="F37" s="643" t="s">
        <v>1150</v>
      </c>
      <c r="J37" s="685"/>
    </row>
    <row r="38" spans="1:10" s="643" customFormat="1" ht="12" customHeight="1">
      <c r="A38" s="652" t="s">
        <v>77</v>
      </c>
      <c r="B38" s="977" t="s">
        <v>1029</v>
      </c>
      <c r="C38" s="1040">
        <v>30420</v>
      </c>
      <c r="D38" s="1040">
        <v>13000</v>
      </c>
      <c r="E38" s="1041">
        <f t="shared" si="1"/>
        <v>0.42735042735042733</v>
      </c>
      <c r="F38" s="643" t="s">
        <v>1150</v>
      </c>
      <c r="J38" s="685"/>
    </row>
    <row r="39" spans="1:10" s="643" customFormat="1" ht="12" customHeight="1">
      <c r="A39" s="652" t="s">
        <v>78</v>
      </c>
      <c r="B39" s="977" t="s">
        <v>1030</v>
      </c>
      <c r="C39" s="1040">
        <v>414575</v>
      </c>
      <c r="D39" s="1132">
        <f>202000-1769</f>
        <v>200231</v>
      </c>
      <c r="E39" s="1041">
        <f t="shared" si="1"/>
        <v>0.4829789543508412</v>
      </c>
      <c r="F39" s="1134" t="s">
        <v>1150</v>
      </c>
      <c r="J39" s="685"/>
    </row>
    <row r="40" spans="1:10" s="643" customFormat="1" ht="12" customHeight="1">
      <c r="A40" s="652" t="s">
        <v>79</v>
      </c>
      <c r="B40" s="977" t="s">
        <v>1031</v>
      </c>
      <c r="C40" s="1040">
        <v>20000</v>
      </c>
      <c r="D40" s="1132">
        <f>10000-2470-994</f>
        <v>6536</v>
      </c>
      <c r="E40" s="1041">
        <f t="shared" si="1"/>
        <v>0.3268</v>
      </c>
      <c r="F40" s="1134" t="s">
        <v>1150</v>
      </c>
      <c r="J40" s="685"/>
    </row>
    <row r="41" spans="1:10" s="643" customFormat="1" ht="12.75" customHeight="1">
      <c r="A41" s="652" t="s">
        <v>80</v>
      </c>
      <c r="B41" s="977" t="s">
        <v>1032</v>
      </c>
      <c r="C41" s="654">
        <v>101568</v>
      </c>
      <c r="D41" s="654">
        <v>0</v>
      </c>
      <c r="E41" s="1041">
        <f t="shared" si="1"/>
        <v>0</v>
      </c>
      <c r="J41" s="685"/>
    </row>
    <row r="42" spans="1:10" s="643" customFormat="1" ht="12" customHeight="1">
      <c r="A42" s="652" t="s">
        <v>81</v>
      </c>
      <c r="B42" s="977" t="s">
        <v>1033</v>
      </c>
      <c r="C42" s="680">
        <v>434650</v>
      </c>
      <c r="D42" s="654">
        <v>0</v>
      </c>
      <c r="E42" s="1041">
        <f t="shared" si="1"/>
        <v>0</v>
      </c>
      <c r="J42" s="685"/>
    </row>
    <row r="43" spans="1:10" s="643" customFormat="1" ht="24.75" customHeight="1">
      <c r="A43" s="652" t="s">
        <v>82</v>
      </c>
      <c r="B43" s="977" t="s">
        <v>1034</v>
      </c>
      <c r="C43" s="680">
        <v>40000</v>
      </c>
      <c r="D43" s="680">
        <v>0</v>
      </c>
      <c r="E43" s="1049">
        <f t="shared" si="1"/>
        <v>0</v>
      </c>
      <c r="J43" s="685"/>
    </row>
    <row r="44" spans="1:10" s="643" customFormat="1" ht="12" customHeight="1">
      <c r="A44" s="652" t="s">
        <v>83</v>
      </c>
      <c r="B44" s="977" t="s">
        <v>1035</v>
      </c>
      <c r="C44" s="654">
        <v>77631</v>
      </c>
      <c r="D44" s="654">
        <v>0</v>
      </c>
      <c r="E44" s="1041">
        <f t="shared" si="1"/>
        <v>0</v>
      </c>
      <c r="J44" s="685"/>
    </row>
    <row r="45" spans="1:10" s="643" customFormat="1" ht="12" customHeight="1">
      <c r="A45" s="652" t="s">
        <v>84</v>
      </c>
      <c r="B45" s="977" t="s">
        <v>1036</v>
      </c>
      <c r="C45" s="680">
        <v>20000</v>
      </c>
      <c r="D45" s="680">
        <v>0</v>
      </c>
      <c r="E45" s="1041">
        <f t="shared" si="1"/>
        <v>0</v>
      </c>
      <c r="J45" s="685"/>
    </row>
    <row r="46" spans="1:10" s="643" customFormat="1" ht="12" customHeight="1">
      <c r="A46" s="652" t="s">
        <v>85</v>
      </c>
      <c r="B46" s="977" t="s">
        <v>649</v>
      </c>
      <c r="C46" s="1040">
        <v>100000</v>
      </c>
      <c r="D46" s="1040">
        <v>100000</v>
      </c>
      <c r="E46" s="1041">
        <f t="shared" si="1"/>
        <v>1</v>
      </c>
      <c r="F46" s="643" t="s">
        <v>1150</v>
      </c>
      <c r="J46" s="685"/>
    </row>
    <row r="47" spans="1:10" s="643" customFormat="1" ht="12" customHeight="1">
      <c r="A47" s="652" t="s">
        <v>86</v>
      </c>
      <c r="B47" s="977" t="s">
        <v>1037</v>
      </c>
      <c r="C47" s="1256">
        <v>0</v>
      </c>
      <c r="D47" s="1132">
        <f>20000-1848-3892-5000-7400</f>
        <v>1860</v>
      </c>
      <c r="E47" s="1041">
        <v>0</v>
      </c>
      <c r="F47" s="1134" t="s">
        <v>1150</v>
      </c>
      <c r="J47" s="685"/>
    </row>
    <row r="48" spans="1:10" s="643" customFormat="1" ht="12" customHeight="1">
      <c r="A48" s="652" t="s">
        <v>87</v>
      </c>
      <c r="B48" s="977" t="s">
        <v>654</v>
      </c>
      <c r="C48" s="1040">
        <f>2223+1727</f>
        <v>3950</v>
      </c>
      <c r="D48" s="1040">
        <f>43+77</f>
        <v>120</v>
      </c>
      <c r="E48" s="1041">
        <f t="shared" si="1"/>
        <v>0.030379746835443037</v>
      </c>
      <c r="F48" s="643" t="s">
        <v>1149</v>
      </c>
      <c r="J48" s="685"/>
    </row>
    <row r="49" spans="1:10" s="643" customFormat="1" ht="24.75" customHeight="1">
      <c r="A49" s="652" t="s">
        <v>88</v>
      </c>
      <c r="B49" s="977" t="s">
        <v>1038</v>
      </c>
      <c r="C49" s="680">
        <v>8400</v>
      </c>
      <c r="D49" s="680">
        <v>8400</v>
      </c>
      <c r="E49" s="1049">
        <f t="shared" si="1"/>
        <v>1</v>
      </c>
      <c r="F49" s="643" t="s">
        <v>1150</v>
      </c>
      <c r="J49" s="685"/>
    </row>
    <row r="50" spans="1:10" s="643" customFormat="1" ht="12">
      <c r="A50" s="652" t="s">
        <v>89</v>
      </c>
      <c r="B50" s="977" t="s">
        <v>1039</v>
      </c>
      <c r="C50" s="680">
        <v>5000</v>
      </c>
      <c r="D50" s="1229">
        <f>19000-622-262</f>
        <v>18116</v>
      </c>
      <c r="E50" s="1049">
        <f t="shared" si="1"/>
        <v>3.6232</v>
      </c>
      <c r="F50" s="1134" t="s">
        <v>1150</v>
      </c>
      <c r="J50" s="685"/>
    </row>
    <row r="51" spans="1:10" s="643" customFormat="1" ht="12.75" thickBot="1">
      <c r="A51" s="652" t="s">
        <v>90</v>
      </c>
      <c r="B51" s="977"/>
      <c r="C51" s="680"/>
      <c r="D51" s="680"/>
      <c r="E51" s="1049"/>
      <c r="J51" s="685"/>
    </row>
    <row r="52" spans="1:10" s="643" customFormat="1" ht="12.75" hidden="1" thickBot="1">
      <c r="A52" s="652" t="s">
        <v>91</v>
      </c>
      <c r="B52" s="977"/>
      <c r="C52" s="680"/>
      <c r="D52" s="680"/>
      <c r="E52" s="1049"/>
      <c r="J52" s="685"/>
    </row>
    <row r="53" spans="1:10" s="643" customFormat="1" ht="12.75" hidden="1" thickBot="1">
      <c r="A53" s="652" t="s">
        <v>92</v>
      </c>
      <c r="B53" s="977"/>
      <c r="C53" s="680"/>
      <c r="D53" s="680"/>
      <c r="E53" s="1049"/>
      <c r="J53" s="685"/>
    </row>
    <row r="54" spans="1:10" s="643" customFormat="1" ht="12.75" hidden="1" thickBot="1">
      <c r="A54" s="652" t="s">
        <v>93</v>
      </c>
      <c r="B54" s="977"/>
      <c r="C54" s="680"/>
      <c r="D54" s="680"/>
      <c r="E54" s="1049"/>
      <c r="J54" s="685"/>
    </row>
    <row r="55" spans="1:10" s="643" customFormat="1" ht="12.75" hidden="1" thickBot="1">
      <c r="A55" s="652" t="s">
        <v>94</v>
      </c>
      <c r="B55" s="977"/>
      <c r="C55" s="680"/>
      <c r="D55" s="680"/>
      <c r="E55" s="1049"/>
      <c r="J55" s="685"/>
    </row>
    <row r="56" spans="1:10" s="643" customFormat="1" ht="12.75" hidden="1" thickBot="1">
      <c r="A56" s="652" t="s">
        <v>95</v>
      </c>
      <c r="B56" s="977"/>
      <c r="C56" s="680"/>
      <c r="D56" s="680"/>
      <c r="E56" s="1049"/>
      <c r="J56" s="685"/>
    </row>
    <row r="57" spans="1:10" s="1032" customFormat="1" ht="12" customHeight="1">
      <c r="A57" s="1042" t="s">
        <v>107</v>
      </c>
      <c r="B57" s="1043"/>
      <c r="C57" s="1044">
        <f>SUM(C35:C56)</f>
        <v>1356894</v>
      </c>
      <c r="D57" s="1044">
        <f>SUM(D35:D56)</f>
        <v>441993</v>
      </c>
      <c r="E57" s="1045">
        <f>D57/C57</f>
        <v>0.3257387828378635</v>
      </c>
      <c r="J57" s="1027"/>
    </row>
    <row r="58" spans="1:10" s="643" customFormat="1" ht="12" customHeight="1">
      <c r="A58" s="644"/>
      <c r="B58" s="1050"/>
      <c r="C58" s="1051"/>
      <c r="D58" s="1051"/>
      <c r="E58" s="649"/>
      <c r="J58" s="685"/>
    </row>
    <row r="59" spans="1:10" s="643" customFormat="1" ht="12" customHeight="1">
      <c r="A59" s="644"/>
      <c r="B59" s="1050"/>
      <c r="C59" s="1051"/>
      <c r="D59" s="1051"/>
      <c r="E59" s="649"/>
      <c r="J59" s="685"/>
    </row>
    <row r="60" spans="1:10" s="643" customFormat="1" ht="12" customHeight="1">
      <c r="A60" s="1048" t="s">
        <v>1040</v>
      </c>
      <c r="B60" s="1046"/>
      <c r="C60" s="1047"/>
      <c r="D60" s="1047"/>
      <c r="J60" s="685"/>
    </row>
    <row r="61" spans="1:10" s="1032" customFormat="1" ht="12" customHeight="1">
      <c r="A61" s="652" t="s">
        <v>74</v>
      </c>
      <c r="B61" s="1052" t="s">
        <v>1210</v>
      </c>
      <c r="C61" s="1040">
        <v>0</v>
      </c>
      <c r="D61" s="1040">
        <v>99717</v>
      </c>
      <c r="E61" s="1041">
        <v>0</v>
      </c>
      <c r="F61" s="1032" t="s">
        <v>1150</v>
      </c>
      <c r="J61" s="1027"/>
    </row>
    <row r="62" spans="1:10" s="1032" customFormat="1" ht="12" customHeight="1">
      <c r="A62" s="1053" t="s">
        <v>75</v>
      </c>
      <c r="B62" s="1054" t="s">
        <v>1041</v>
      </c>
      <c r="C62" s="1040">
        <v>0</v>
      </c>
      <c r="D62" s="1040">
        <v>25413</v>
      </c>
      <c r="E62" s="1041">
        <v>0</v>
      </c>
      <c r="F62" s="1032" t="s">
        <v>1150</v>
      </c>
      <c r="J62" s="1027"/>
    </row>
    <row r="63" spans="1:10" s="1032" customFormat="1" ht="12" customHeight="1">
      <c r="A63" s="1053" t="s">
        <v>76</v>
      </c>
      <c r="B63" s="1052" t="s">
        <v>1205</v>
      </c>
      <c r="C63" s="1040"/>
      <c r="D63" s="1225">
        <v>29681</v>
      </c>
      <c r="E63" s="1226"/>
      <c r="F63" s="1227" t="s">
        <v>1150</v>
      </c>
      <c r="J63" s="1027"/>
    </row>
    <row r="64" spans="1:10" s="1032" customFormat="1" ht="12" customHeight="1">
      <c r="A64" s="1053" t="s">
        <v>84</v>
      </c>
      <c r="B64" s="1185" t="s">
        <v>1261</v>
      </c>
      <c r="C64" s="1186"/>
      <c r="D64" s="1187">
        <v>173149</v>
      </c>
      <c r="E64" s="1187"/>
      <c r="F64" s="1188" t="s">
        <v>1150</v>
      </c>
      <c r="J64" s="1027"/>
    </row>
    <row r="65" spans="1:10" s="1032" customFormat="1" ht="12" customHeight="1" thickBot="1">
      <c r="A65" s="652" t="s">
        <v>85</v>
      </c>
      <c r="B65" s="1230" t="s">
        <v>1302</v>
      </c>
      <c r="C65" s="1132">
        <v>0</v>
      </c>
      <c r="D65" s="1132">
        <v>24563</v>
      </c>
      <c r="E65" s="1041"/>
      <c r="F65" s="1134"/>
      <c r="G65" s="1032" t="s">
        <v>1150</v>
      </c>
      <c r="J65" s="1027"/>
    </row>
    <row r="66" spans="1:10" s="1032" customFormat="1" ht="12" customHeight="1">
      <c r="A66" s="1042" t="s">
        <v>107</v>
      </c>
      <c r="B66" s="1043"/>
      <c r="C66" s="1044">
        <f>SUM(C61:C65)</f>
        <v>0</v>
      </c>
      <c r="D66" s="1044">
        <f>SUM(D61:D65)</f>
        <v>352523</v>
      </c>
      <c r="E66" s="1045">
        <v>0</v>
      </c>
      <c r="J66" s="1027"/>
    </row>
    <row r="67" spans="1:10" s="1032" customFormat="1" ht="12" customHeight="1">
      <c r="A67" s="1030"/>
      <c r="B67" s="1055"/>
      <c r="C67" s="1051"/>
      <c r="D67" s="1051"/>
      <c r="J67" s="1027"/>
    </row>
    <row r="68" spans="1:10" s="1032" customFormat="1" ht="12" customHeight="1">
      <c r="A68" s="643"/>
      <c r="B68" s="1033"/>
      <c r="C68" s="1047"/>
      <c r="D68" s="1047"/>
      <c r="J68" s="1027"/>
    </row>
    <row r="69" spans="1:10" s="1032" customFormat="1" ht="12" customHeight="1">
      <c r="A69" s="1048" t="s">
        <v>1042</v>
      </c>
      <c r="B69" s="1056"/>
      <c r="C69" s="1047"/>
      <c r="D69" s="1047"/>
      <c r="J69" s="1027"/>
    </row>
    <row r="70" spans="1:10" s="1032" customFormat="1" ht="12" customHeight="1">
      <c r="A70" s="652" t="s">
        <v>74</v>
      </c>
      <c r="B70" s="558" t="s">
        <v>1043</v>
      </c>
      <c r="C70" s="654">
        <v>10000</v>
      </c>
      <c r="D70" s="1126">
        <f>2000+3790</f>
        <v>5790</v>
      </c>
      <c r="E70" s="1041">
        <f aca="true" t="shared" si="2" ref="E70:E75">D70/C70</f>
        <v>0.579</v>
      </c>
      <c r="F70" s="1134" t="s">
        <v>1150</v>
      </c>
      <c r="J70" s="1027"/>
    </row>
    <row r="71" spans="1:10" s="1032" customFormat="1" ht="12" customHeight="1">
      <c r="A71" s="652" t="s">
        <v>75</v>
      </c>
      <c r="B71" s="977" t="s">
        <v>1044</v>
      </c>
      <c r="C71" s="654">
        <v>10000</v>
      </c>
      <c r="D71" s="654">
        <v>1000</v>
      </c>
      <c r="E71" s="1041">
        <f t="shared" si="2"/>
        <v>0.1</v>
      </c>
      <c r="F71" s="1032" t="s">
        <v>1150</v>
      </c>
      <c r="J71" s="1027"/>
    </row>
    <row r="72" spans="1:10" s="1032" customFormat="1" ht="12" customHeight="1" hidden="1">
      <c r="A72" s="652" t="s">
        <v>76</v>
      </c>
      <c r="B72" s="977" t="s">
        <v>1045</v>
      </c>
      <c r="C72" s="654">
        <v>1559592</v>
      </c>
      <c r="D72" s="654">
        <v>0</v>
      </c>
      <c r="E72" s="1041">
        <f t="shared" si="2"/>
        <v>0</v>
      </c>
      <c r="J72" s="1027"/>
    </row>
    <row r="73" spans="1:10" s="1032" customFormat="1" ht="12" customHeight="1" hidden="1">
      <c r="A73" s="652" t="s">
        <v>77</v>
      </c>
      <c r="B73" s="977" t="s">
        <v>1046</v>
      </c>
      <c r="C73" s="654">
        <v>70000</v>
      </c>
      <c r="D73" s="654">
        <v>0</v>
      </c>
      <c r="E73" s="1041">
        <f t="shared" si="2"/>
        <v>0</v>
      </c>
      <c r="J73" s="1027"/>
    </row>
    <row r="74" spans="1:10" s="1032" customFormat="1" ht="12" customHeight="1" hidden="1">
      <c r="A74" s="652" t="s">
        <v>78</v>
      </c>
      <c r="B74" s="977" t="s">
        <v>1047</v>
      </c>
      <c r="C74" s="654">
        <v>635</v>
      </c>
      <c r="D74" s="654">
        <v>0</v>
      </c>
      <c r="E74" s="1041">
        <f t="shared" si="2"/>
        <v>0</v>
      </c>
      <c r="J74" s="1027"/>
    </row>
    <row r="75" spans="1:10" s="1032" customFormat="1" ht="12" customHeight="1" hidden="1">
      <c r="A75" s="652" t="s">
        <v>79</v>
      </c>
      <c r="B75" s="977" t="s">
        <v>1048</v>
      </c>
      <c r="C75" s="654">
        <v>5000</v>
      </c>
      <c r="D75" s="654">
        <v>0</v>
      </c>
      <c r="E75" s="1041">
        <f t="shared" si="2"/>
        <v>0</v>
      </c>
      <c r="J75" s="1027"/>
    </row>
    <row r="76" spans="1:10" s="1032" customFormat="1" ht="12" customHeight="1" hidden="1">
      <c r="A76" s="652" t="s">
        <v>80</v>
      </c>
      <c r="B76" s="977" t="s">
        <v>1049</v>
      </c>
      <c r="C76" s="654">
        <v>200</v>
      </c>
      <c r="D76" s="654">
        <v>0</v>
      </c>
      <c r="E76" s="1041">
        <f>D76/C76</f>
        <v>0</v>
      </c>
      <c r="J76" s="1027"/>
    </row>
    <row r="77" spans="1:10" s="1032" customFormat="1" ht="12" customHeight="1" hidden="1">
      <c r="A77" s="652" t="s">
        <v>81</v>
      </c>
      <c r="B77" s="977" t="s">
        <v>1050</v>
      </c>
      <c r="C77" s="654">
        <v>2470</v>
      </c>
      <c r="D77" s="654">
        <v>0</v>
      </c>
      <c r="E77" s="1041">
        <f>D77/C77</f>
        <v>0</v>
      </c>
      <c r="J77" s="1027"/>
    </row>
    <row r="78" spans="1:10" s="1032" customFormat="1" ht="12" customHeight="1" hidden="1">
      <c r="A78" s="652" t="s">
        <v>82</v>
      </c>
      <c r="B78" s="558" t="s">
        <v>1051</v>
      </c>
      <c r="C78" s="654">
        <v>3500</v>
      </c>
      <c r="D78" s="654">
        <v>0</v>
      </c>
      <c r="E78" s="1041">
        <f>D78/C78</f>
        <v>0</v>
      </c>
      <c r="J78" s="1027"/>
    </row>
    <row r="79" spans="1:10" s="1032" customFormat="1" ht="12" customHeight="1" hidden="1">
      <c r="A79" s="652" t="s">
        <v>83</v>
      </c>
      <c r="B79" s="558" t="s">
        <v>1052</v>
      </c>
      <c r="C79" s="654">
        <v>750</v>
      </c>
      <c r="D79" s="654">
        <v>0</v>
      </c>
      <c r="E79" s="1041">
        <f>D79/C79</f>
        <v>0</v>
      </c>
      <c r="J79" s="1027"/>
    </row>
    <row r="80" spans="1:10" s="1032" customFormat="1" ht="12" customHeight="1" hidden="1">
      <c r="A80" s="652" t="s">
        <v>84</v>
      </c>
      <c r="B80" s="558" t="s">
        <v>1053</v>
      </c>
      <c r="C80" s="654">
        <v>45328</v>
      </c>
      <c r="D80" s="654">
        <v>0</v>
      </c>
      <c r="E80" s="1041">
        <f>D80/C80</f>
        <v>0</v>
      </c>
      <c r="J80" s="1027"/>
    </row>
    <row r="81" spans="1:10" s="1032" customFormat="1" ht="12" customHeight="1">
      <c r="A81" s="652" t="s">
        <v>85</v>
      </c>
      <c r="B81" s="977" t="s">
        <v>1054</v>
      </c>
      <c r="C81" s="654">
        <v>0</v>
      </c>
      <c r="D81" s="654">
        <v>3000</v>
      </c>
      <c r="E81" s="1041">
        <v>0</v>
      </c>
      <c r="F81" s="1032" t="s">
        <v>1150</v>
      </c>
      <c r="J81" s="1027"/>
    </row>
    <row r="82" spans="1:10" s="1032" customFormat="1" ht="12" customHeight="1">
      <c r="A82" s="652" t="s">
        <v>86</v>
      </c>
      <c r="B82" s="977" t="s">
        <v>1055</v>
      </c>
      <c r="C82" s="654">
        <v>0</v>
      </c>
      <c r="D82" s="1126">
        <f>6000-191+1769-97+504+725</f>
        <v>8710</v>
      </c>
      <c r="E82" s="1041">
        <v>0</v>
      </c>
      <c r="F82" s="1134" t="s">
        <v>1150</v>
      </c>
      <c r="J82" s="1027"/>
    </row>
    <row r="83" spans="1:11" s="1032" customFormat="1" ht="12" customHeight="1">
      <c r="A83" s="652" t="s">
        <v>87</v>
      </c>
      <c r="B83" s="977" t="s">
        <v>1056</v>
      </c>
      <c r="C83" s="654">
        <v>0</v>
      </c>
      <c r="D83" s="654">
        <v>50000</v>
      </c>
      <c r="E83" s="1041">
        <v>0</v>
      </c>
      <c r="F83" s="1032" t="s">
        <v>1150</v>
      </c>
      <c r="J83" s="1027"/>
      <c r="K83" s="1057"/>
    </row>
    <row r="84" spans="1:10" s="1032" customFormat="1" ht="12" customHeight="1">
      <c r="A84" s="652" t="s">
        <v>88</v>
      </c>
      <c r="B84" s="977" t="s">
        <v>1057</v>
      </c>
      <c r="C84" s="1040">
        <v>0</v>
      </c>
      <c r="D84" s="1040">
        <v>10000</v>
      </c>
      <c r="E84" s="1041">
        <v>0</v>
      </c>
      <c r="F84" s="1032" t="s">
        <v>1150</v>
      </c>
      <c r="J84" s="1027"/>
    </row>
    <row r="85" spans="1:10" s="1032" customFormat="1" ht="12" customHeight="1">
      <c r="A85" s="652" t="s">
        <v>89</v>
      </c>
      <c r="B85" s="977" t="s">
        <v>1058</v>
      </c>
      <c r="C85" s="654">
        <v>0</v>
      </c>
      <c r="D85" s="654">
        <v>15000</v>
      </c>
      <c r="E85" s="1041">
        <v>0</v>
      </c>
      <c r="F85" s="1032" t="s">
        <v>1150</v>
      </c>
      <c r="J85" s="1027"/>
    </row>
    <row r="86" spans="1:10" s="1032" customFormat="1" ht="12" customHeight="1">
      <c r="A86" s="652" t="s">
        <v>90</v>
      </c>
      <c r="B86" s="977" t="s">
        <v>1059</v>
      </c>
      <c r="C86" s="654">
        <v>0</v>
      </c>
      <c r="D86" s="654">
        <v>90000</v>
      </c>
      <c r="E86" s="1041">
        <v>0</v>
      </c>
      <c r="F86" s="1032" t="s">
        <v>1150</v>
      </c>
      <c r="J86" s="1027"/>
    </row>
    <row r="87" spans="1:10" s="1032" customFormat="1" ht="12" customHeight="1">
      <c r="A87" s="652"/>
      <c r="B87" s="1235" t="s">
        <v>1315</v>
      </c>
      <c r="C87" s="860">
        <v>0</v>
      </c>
      <c r="D87" s="860">
        <v>89000</v>
      </c>
      <c r="E87" s="1041"/>
      <c r="J87" s="1027"/>
    </row>
    <row r="88" spans="1:10" s="1032" customFormat="1" ht="12" customHeight="1">
      <c r="A88" s="652"/>
      <c r="B88" s="1235" t="s">
        <v>1316</v>
      </c>
      <c r="C88" s="860">
        <v>0</v>
      </c>
      <c r="D88" s="860">
        <v>1000</v>
      </c>
      <c r="E88" s="1041"/>
      <c r="J88" s="1027"/>
    </row>
    <row r="89" spans="1:10" s="1032" customFormat="1" ht="12" customHeight="1">
      <c r="A89" s="652" t="s">
        <v>91</v>
      </c>
      <c r="B89" s="977" t="s">
        <v>1060</v>
      </c>
      <c r="C89" s="652">
        <v>0</v>
      </c>
      <c r="D89" s="654">
        <v>4400</v>
      </c>
      <c r="E89" s="1041">
        <v>0</v>
      </c>
      <c r="F89" s="1032" t="s">
        <v>1150</v>
      </c>
      <c r="J89" s="1027"/>
    </row>
    <row r="90" spans="1:10" s="1032" customFormat="1" ht="12" customHeight="1">
      <c r="A90" s="652" t="s">
        <v>92</v>
      </c>
      <c r="B90" s="977" t="s">
        <v>1061</v>
      </c>
      <c r="C90" s="652">
        <v>0</v>
      </c>
      <c r="D90" s="1126">
        <f>1000-146-95</f>
        <v>759</v>
      </c>
      <c r="E90" s="1041">
        <v>0</v>
      </c>
      <c r="F90" s="1134" t="s">
        <v>1150</v>
      </c>
      <c r="J90" s="1027"/>
    </row>
    <row r="91" spans="1:10" s="1032" customFormat="1" ht="12" customHeight="1">
      <c r="A91" s="652" t="s">
        <v>93</v>
      </c>
      <c r="B91" s="1032" t="s">
        <v>1062</v>
      </c>
      <c r="C91" s="1039">
        <v>0</v>
      </c>
      <c r="D91" s="654">
        <v>200</v>
      </c>
      <c r="E91" s="1041">
        <v>0</v>
      </c>
      <c r="F91" s="1032" t="s">
        <v>1150</v>
      </c>
      <c r="J91" s="1027"/>
    </row>
    <row r="92" spans="1:10" s="1032" customFormat="1" ht="12" customHeight="1">
      <c r="A92" s="652" t="s">
        <v>94</v>
      </c>
      <c r="B92" s="558" t="s">
        <v>1063</v>
      </c>
      <c r="C92" s="1039">
        <v>0</v>
      </c>
      <c r="D92" s="1126">
        <f>2540-2540</f>
        <v>0</v>
      </c>
      <c r="E92" s="1041">
        <v>0</v>
      </c>
      <c r="F92" s="1134" t="s">
        <v>1150</v>
      </c>
      <c r="J92" s="1027"/>
    </row>
    <row r="93" spans="1:10" s="1032" customFormat="1" ht="12" customHeight="1">
      <c r="A93" s="652" t="s">
        <v>95</v>
      </c>
      <c r="B93" s="558" t="s">
        <v>1156</v>
      </c>
      <c r="C93" s="1039">
        <v>0</v>
      </c>
      <c r="D93" s="654">
        <v>8500</v>
      </c>
      <c r="E93" s="1041">
        <v>0</v>
      </c>
      <c r="F93" s="1032" t="s">
        <v>1150</v>
      </c>
      <c r="J93" s="1027"/>
    </row>
    <row r="94" spans="1:10" s="1032" customFormat="1" ht="12" customHeight="1">
      <c r="A94" s="652" t="s">
        <v>202</v>
      </c>
      <c r="B94" s="558" t="s">
        <v>1204</v>
      </c>
      <c r="C94" s="1039"/>
      <c r="D94" s="1207">
        <f>76+24</f>
        <v>100</v>
      </c>
      <c r="E94" s="1226"/>
      <c r="F94" s="1227" t="s">
        <v>1150</v>
      </c>
      <c r="J94" s="1027"/>
    </row>
    <row r="95" spans="1:10" s="1032" customFormat="1" ht="12" customHeight="1">
      <c r="A95" s="652" t="s">
        <v>203</v>
      </c>
      <c r="B95" s="558" t="s">
        <v>1224</v>
      </c>
      <c r="C95" s="1058"/>
      <c r="D95" s="1207">
        <v>500</v>
      </c>
      <c r="E95" s="1228"/>
      <c r="F95" s="1227" t="s">
        <v>1150</v>
      </c>
      <c r="J95" s="1027"/>
    </row>
    <row r="96" spans="1:10" s="1032" customFormat="1" ht="12" customHeight="1">
      <c r="A96" s="652" t="s">
        <v>204</v>
      </c>
      <c r="B96" s="558" t="str">
        <f>'[7]2c'!B65</f>
        <v>Dél-Kelet Európai Transznacionális Program (SEERISK) SEE/C/002/2.2/X</v>
      </c>
      <c r="C96" s="1058"/>
      <c r="D96" s="1207">
        <v>220</v>
      </c>
      <c r="E96" s="1228"/>
      <c r="F96" s="1227" t="s">
        <v>1150</v>
      </c>
      <c r="J96" s="1027"/>
    </row>
    <row r="97" spans="1:10" s="1032" customFormat="1" ht="12" customHeight="1">
      <c r="A97" s="652" t="s">
        <v>1064</v>
      </c>
      <c r="B97" s="558" t="s">
        <v>1211</v>
      </c>
      <c r="C97" s="1058"/>
      <c r="D97" s="1207">
        <v>2000</v>
      </c>
      <c r="E97" s="1228"/>
      <c r="F97" s="1227" t="s">
        <v>1150</v>
      </c>
      <c r="J97" s="1027"/>
    </row>
    <row r="98" spans="1:10" s="1032" customFormat="1" ht="12" customHeight="1">
      <c r="A98" s="652" t="s">
        <v>1065</v>
      </c>
      <c r="B98" s="558" t="s">
        <v>1212</v>
      </c>
      <c r="C98" s="652"/>
      <c r="D98" s="1207">
        <v>635</v>
      </c>
      <c r="E98" s="1226"/>
      <c r="F98" s="1227" t="s">
        <v>1150</v>
      </c>
      <c r="J98" s="1027"/>
    </row>
    <row r="99" spans="1:10" s="1032" customFormat="1" ht="12" customHeight="1">
      <c r="A99" s="652" t="s">
        <v>1066</v>
      </c>
      <c r="B99" s="1189" t="s">
        <v>1263</v>
      </c>
      <c r="C99" s="1190"/>
      <c r="D99" s="1191">
        <v>10000</v>
      </c>
      <c r="E99" s="1192"/>
      <c r="F99" s="1188" t="s">
        <v>1150</v>
      </c>
      <c r="J99" s="1027"/>
    </row>
    <row r="100" spans="1:10" s="1032" customFormat="1" ht="12" customHeight="1">
      <c r="A100" s="652"/>
      <c r="B100" s="1231" t="s">
        <v>1303</v>
      </c>
      <c r="C100" s="1126">
        <v>0</v>
      </c>
      <c r="D100" s="1126">
        <v>9104</v>
      </c>
      <c r="E100" s="1041"/>
      <c r="F100" s="1134"/>
      <c r="J100" s="1027"/>
    </row>
    <row r="101" spans="1:10" s="1032" customFormat="1" ht="12" customHeight="1">
      <c r="A101" s="652"/>
      <c r="B101" s="1231" t="s">
        <v>1304</v>
      </c>
      <c r="C101" s="1126">
        <v>0</v>
      </c>
      <c r="D101" s="1126">
        <f>10000+20000</f>
        <v>30000</v>
      </c>
      <c r="E101" s="1251"/>
      <c r="F101" s="1134"/>
      <c r="J101" s="1027"/>
    </row>
    <row r="102" spans="1:10" s="1032" customFormat="1" ht="12" customHeight="1">
      <c r="A102" s="652"/>
      <c r="B102" s="1231" t="s">
        <v>1305</v>
      </c>
      <c r="C102" s="1126">
        <v>0</v>
      </c>
      <c r="D102" s="1126">
        <f>191+1848</f>
        <v>2039</v>
      </c>
      <c r="E102" s="1041"/>
      <c r="F102" s="1134"/>
      <c r="J102" s="1027"/>
    </row>
    <row r="103" spans="1:10" s="1032" customFormat="1" ht="12" customHeight="1">
      <c r="A103" s="652"/>
      <c r="B103" s="1231" t="s">
        <v>1306</v>
      </c>
      <c r="C103" s="1126">
        <v>0</v>
      </c>
      <c r="D103" s="1126">
        <v>893</v>
      </c>
      <c r="E103" s="1041"/>
      <c r="F103" s="1134"/>
      <c r="J103" s="1027"/>
    </row>
    <row r="104" spans="1:10" s="1032" customFormat="1" ht="12" customHeight="1">
      <c r="A104" s="652"/>
      <c r="B104" s="1231" t="s">
        <v>1307</v>
      </c>
      <c r="C104" s="1126">
        <v>0</v>
      </c>
      <c r="D104" s="1126">
        <v>672</v>
      </c>
      <c r="E104" s="1041"/>
      <c r="F104" s="1134"/>
      <c r="J104" s="1027"/>
    </row>
    <row r="105" spans="1:10" s="1032" customFormat="1" ht="12" customHeight="1">
      <c r="A105" s="652"/>
      <c r="B105" s="1231" t="s">
        <v>1308</v>
      </c>
      <c r="C105" s="1126">
        <v>0</v>
      </c>
      <c r="D105" s="1126">
        <v>89</v>
      </c>
      <c r="E105" s="1041"/>
      <c r="F105" s="1134"/>
      <c r="J105" s="1027"/>
    </row>
    <row r="106" spans="1:10" s="1032" customFormat="1" ht="12" customHeight="1">
      <c r="A106" s="652"/>
      <c r="B106" s="1231" t="s">
        <v>1309</v>
      </c>
      <c r="C106" s="1126">
        <v>0</v>
      </c>
      <c r="D106" s="1126">
        <v>16</v>
      </c>
      <c r="E106" s="1041"/>
      <c r="F106" s="1134"/>
      <c r="J106" s="1027"/>
    </row>
    <row r="107" spans="1:10" s="1032" customFormat="1" ht="12" customHeight="1">
      <c r="A107" s="652"/>
      <c r="B107" s="1231" t="s">
        <v>1310</v>
      </c>
      <c r="C107" s="1126">
        <v>0</v>
      </c>
      <c r="D107" s="1126">
        <v>5</v>
      </c>
      <c r="E107" s="1041"/>
      <c r="F107" s="1134"/>
      <c r="J107" s="1027"/>
    </row>
    <row r="108" spans="1:10" s="1032" customFormat="1" ht="12" customHeight="1">
      <c r="A108" s="652"/>
      <c r="B108" s="1231" t="s">
        <v>1311</v>
      </c>
      <c r="C108" s="1126">
        <v>0</v>
      </c>
      <c r="D108" s="1126">
        <v>203</v>
      </c>
      <c r="E108" s="1041"/>
      <c r="F108" s="1134"/>
      <c r="J108" s="1027"/>
    </row>
    <row r="109" spans="1:10" s="1032" customFormat="1" ht="12" customHeight="1">
      <c r="A109" s="652"/>
      <c r="B109" s="1231" t="s">
        <v>1312</v>
      </c>
      <c r="C109" s="1126">
        <v>0</v>
      </c>
      <c r="D109" s="1126">
        <v>451</v>
      </c>
      <c r="E109" s="1041"/>
      <c r="F109" s="1134"/>
      <c r="J109" s="1027"/>
    </row>
    <row r="110" spans="1:10" s="1032" customFormat="1" ht="12" customHeight="1">
      <c r="A110" s="652"/>
      <c r="B110" s="1231" t="s">
        <v>1313</v>
      </c>
      <c r="C110" s="1126">
        <v>0</v>
      </c>
      <c r="D110" s="1126">
        <v>5460</v>
      </c>
      <c r="E110" s="1041"/>
      <c r="F110" s="1134"/>
      <c r="J110" s="1027"/>
    </row>
    <row r="111" spans="1:10" s="1032" customFormat="1" ht="12" customHeight="1">
      <c r="A111" s="652"/>
      <c r="B111" s="1250" t="s">
        <v>1351</v>
      </c>
      <c r="C111" s="1244">
        <v>0</v>
      </c>
      <c r="D111" s="1244">
        <v>48261</v>
      </c>
      <c r="E111" s="1041"/>
      <c r="F111" s="1252"/>
      <c r="J111" s="1027"/>
    </row>
    <row r="112" spans="1:10" s="1032" customFormat="1" ht="12" customHeight="1">
      <c r="A112" s="652"/>
      <c r="B112" s="1250" t="s">
        <v>1355</v>
      </c>
      <c r="C112" s="1244">
        <v>0</v>
      </c>
      <c r="D112" s="1244">
        <v>361950</v>
      </c>
      <c r="E112" s="1041"/>
      <c r="F112" s="1252"/>
      <c r="J112" s="1027"/>
    </row>
    <row r="113" spans="1:10" s="1032" customFormat="1" ht="12" customHeight="1">
      <c r="A113" s="652"/>
      <c r="B113" s="1250" t="s">
        <v>1357</v>
      </c>
      <c r="C113" s="1244">
        <v>0</v>
      </c>
      <c r="D113" s="1244">
        <v>546</v>
      </c>
      <c r="E113" s="1041"/>
      <c r="F113" s="1252"/>
      <c r="J113" s="1027"/>
    </row>
    <row r="114" spans="1:10" s="1032" customFormat="1" ht="12" customHeight="1">
      <c r="A114" s="652"/>
      <c r="B114" s="1250" t="s">
        <v>1358</v>
      </c>
      <c r="C114" s="1244">
        <v>0</v>
      </c>
      <c r="D114" s="1244">
        <v>189</v>
      </c>
      <c r="E114" s="1041"/>
      <c r="F114" s="1252"/>
      <c r="J114" s="1027"/>
    </row>
    <row r="115" spans="1:10" s="1032" customFormat="1" ht="12" customHeight="1">
      <c r="A115" s="652"/>
      <c r="B115" s="1250" t="s">
        <v>1349</v>
      </c>
      <c r="C115" s="1244">
        <v>0</v>
      </c>
      <c r="D115" s="1244">
        <v>53115</v>
      </c>
      <c r="E115" s="1041"/>
      <c r="F115" s="1252"/>
      <c r="J115" s="1027"/>
    </row>
    <row r="116" spans="1:10" s="1032" customFormat="1" ht="12" customHeight="1">
      <c r="A116" s="652"/>
      <c r="B116" s="1250" t="s">
        <v>1362</v>
      </c>
      <c r="C116" s="1244">
        <v>0</v>
      </c>
      <c r="D116" s="1244">
        <v>1060</v>
      </c>
      <c r="E116" s="1041"/>
      <c r="F116" s="1252"/>
      <c r="J116" s="1027"/>
    </row>
    <row r="117" spans="1:10" s="1032" customFormat="1" ht="12" customHeight="1">
      <c r="A117" s="652"/>
      <c r="B117" s="1250" t="s">
        <v>1363</v>
      </c>
      <c r="C117" s="1244">
        <v>0</v>
      </c>
      <c r="D117" s="1244">
        <v>7400</v>
      </c>
      <c r="E117" s="1041"/>
      <c r="F117" s="1252"/>
      <c r="J117" s="1027"/>
    </row>
    <row r="118" spans="1:10" s="1032" customFormat="1" ht="12" customHeight="1" thickBot="1">
      <c r="A118" s="652"/>
      <c r="B118" s="1250" t="s">
        <v>1364</v>
      </c>
      <c r="C118" s="1244">
        <v>0</v>
      </c>
      <c r="D118" s="1244">
        <v>1524</v>
      </c>
      <c r="E118" s="1041"/>
      <c r="F118" s="1252"/>
      <c r="J118" s="1027"/>
    </row>
    <row r="119" spans="1:10" s="1032" customFormat="1" ht="12" customHeight="1" hidden="1">
      <c r="A119" s="652"/>
      <c r="B119" s="1250"/>
      <c r="C119" s="1244"/>
      <c r="D119" s="1244"/>
      <c r="E119" s="1041"/>
      <c r="F119" s="1252"/>
      <c r="J119" s="1027"/>
    </row>
    <row r="120" spans="1:10" s="1032" customFormat="1" ht="12" customHeight="1" hidden="1">
      <c r="A120" s="652"/>
      <c r="B120" s="1250"/>
      <c r="C120" s="1244"/>
      <c r="D120" s="1244"/>
      <c r="E120" s="1041"/>
      <c r="F120" s="1252"/>
      <c r="J120" s="1027"/>
    </row>
    <row r="121" spans="1:10" s="1032" customFormat="1" ht="12" customHeight="1" hidden="1">
      <c r="A121" s="652"/>
      <c r="B121" s="1250"/>
      <c r="C121" s="1244"/>
      <c r="D121" s="1244"/>
      <c r="E121" s="1041"/>
      <c r="F121" s="1252"/>
      <c r="J121" s="1027"/>
    </row>
    <row r="122" spans="1:10" s="1032" customFormat="1" ht="12" customHeight="1" hidden="1" thickBot="1">
      <c r="A122" s="652" t="s">
        <v>1067</v>
      </c>
      <c r="B122" s="1250"/>
      <c r="C122" s="1249">
        <v>0</v>
      </c>
      <c r="D122" s="1244"/>
      <c r="E122" s="1041"/>
      <c r="F122" s="1252"/>
      <c r="J122" s="1027"/>
    </row>
    <row r="123" spans="1:10" s="643" customFormat="1" ht="12" customHeight="1">
      <c r="A123" s="1042" t="s">
        <v>107</v>
      </c>
      <c r="B123" s="1043"/>
      <c r="C123" s="1044">
        <f>SUM(C70:C122)</f>
        <v>1707475</v>
      </c>
      <c r="D123" s="1044">
        <f>SUM(D70:D122)-D87-D88</f>
        <v>733791</v>
      </c>
      <c r="E123" s="1045">
        <f>D123/C123</f>
        <v>0.4297521193575309</v>
      </c>
      <c r="J123" s="685"/>
    </row>
    <row r="124" spans="1:10" s="643" customFormat="1" ht="12" customHeight="1">
      <c r="A124" s="1032"/>
      <c r="B124" s="1046"/>
      <c r="D124" s="685"/>
      <c r="J124" s="685"/>
    </row>
    <row r="125" spans="3:10" s="1033" customFormat="1" ht="25.5" customHeight="1" hidden="1">
      <c r="C125" s="1059" t="s">
        <v>1068</v>
      </c>
      <c r="D125" s="1034" t="s">
        <v>1069</v>
      </c>
      <c r="E125" s="1035" t="s">
        <v>552</v>
      </c>
      <c r="J125" s="1036"/>
    </row>
    <row r="126" spans="1:10" s="643" customFormat="1" ht="12" customHeight="1">
      <c r="A126" s="1037" t="s">
        <v>1070</v>
      </c>
      <c r="B126" s="1033"/>
      <c r="C126" s="1060"/>
      <c r="D126" s="685"/>
      <c r="E126" s="1032"/>
      <c r="J126" s="685"/>
    </row>
    <row r="127" spans="1:10" s="643" customFormat="1" ht="12" customHeight="1">
      <c r="A127" s="1039" t="s">
        <v>74</v>
      </c>
      <c r="B127" s="977" t="s">
        <v>1157</v>
      </c>
      <c r="C127" s="652">
        <v>0</v>
      </c>
      <c r="D127" s="1126">
        <f>3400+3747</f>
        <v>7147</v>
      </c>
      <c r="E127" s="1041">
        <v>0</v>
      </c>
      <c r="F127" s="1134" t="s">
        <v>1150</v>
      </c>
      <c r="J127" s="685"/>
    </row>
    <row r="128" spans="1:10" s="643" customFormat="1" ht="12" customHeight="1">
      <c r="A128" s="1039" t="s">
        <v>75</v>
      </c>
      <c r="B128" s="977" t="s">
        <v>1158</v>
      </c>
      <c r="C128" s="652">
        <v>0</v>
      </c>
      <c r="D128" s="1126">
        <f>3700+1449</f>
        <v>5149</v>
      </c>
      <c r="E128" s="1041">
        <v>0</v>
      </c>
      <c r="F128" s="1134" t="s">
        <v>1150</v>
      </c>
      <c r="J128" s="685"/>
    </row>
    <row r="129" spans="1:10" s="643" customFormat="1" ht="12" customHeight="1">
      <c r="A129" s="1039" t="s">
        <v>76</v>
      </c>
      <c r="B129" s="977" t="s">
        <v>1159</v>
      </c>
      <c r="C129" s="652">
        <v>0</v>
      </c>
      <c r="D129" s="1126">
        <f>4300-3007</f>
        <v>1293</v>
      </c>
      <c r="E129" s="1041">
        <v>0</v>
      </c>
      <c r="F129" s="1134" t="s">
        <v>1150</v>
      </c>
      <c r="J129" s="685"/>
    </row>
    <row r="130" spans="1:10" s="643" customFormat="1" ht="12" customHeight="1">
      <c r="A130" s="1039" t="s">
        <v>77</v>
      </c>
      <c r="B130" s="558" t="s">
        <v>1160</v>
      </c>
      <c r="C130" s="654">
        <v>0</v>
      </c>
      <c r="D130" s="1126">
        <f>4600-505</f>
        <v>4095</v>
      </c>
      <c r="E130" s="1041">
        <v>0</v>
      </c>
      <c r="F130" s="1134" t="s">
        <v>1150</v>
      </c>
      <c r="J130" s="685"/>
    </row>
    <row r="131" spans="1:10" s="643" customFormat="1" ht="12" customHeight="1">
      <c r="A131" s="1039" t="s">
        <v>78</v>
      </c>
      <c r="B131" s="558" t="s">
        <v>1161</v>
      </c>
      <c r="C131" s="1061">
        <v>0</v>
      </c>
      <c r="D131" s="1126">
        <f>4500-1675</f>
        <v>2825</v>
      </c>
      <c r="E131" s="1041">
        <v>0</v>
      </c>
      <c r="F131" s="1134" t="s">
        <v>1150</v>
      </c>
      <c r="J131" s="685"/>
    </row>
    <row r="132" spans="1:10" s="643" customFormat="1" ht="12" customHeight="1">
      <c r="A132" s="1039" t="s">
        <v>79</v>
      </c>
      <c r="B132" s="558" t="s">
        <v>1162</v>
      </c>
      <c r="C132" s="1061">
        <v>0</v>
      </c>
      <c r="D132" s="1126">
        <f>17500+4872</f>
        <v>22372</v>
      </c>
      <c r="E132" s="1041">
        <v>0</v>
      </c>
      <c r="F132" s="1134" t="s">
        <v>1150</v>
      </c>
      <c r="J132" s="685"/>
    </row>
    <row r="133" spans="1:10" s="643" customFormat="1" ht="12" customHeight="1">
      <c r="A133" s="1039" t="s">
        <v>80</v>
      </c>
      <c r="B133" s="558" t="s">
        <v>1163</v>
      </c>
      <c r="C133" s="1061">
        <v>0</v>
      </c>
      <c r="D133" s="1126">
        <f>2500-354</f>
        <v>2146</v>
      </c>
      <c r="E133" s="1041">
        <v>0</v>
      </c>
      <c r="F133" s="1134" t="s">
        <v>1150</v>
      </c>
      <c r="J133" s="685"/>
    </row>
    <row r="134" spans="1:10" s="643" customFormat="1" ht="12" customHeight="1">
      <c r="A134" s="1039" t="s">
        <v>81</v>
      </c>
      <c r="B134" s="558" t="s">
        <v>1164</v>
      </c>
      <c r="C134" s="1061">
        <v>0</v>
      </c>
      <c r="D134" s="1126">
        <f>3000+934</f>
        <v>3934</v>
      </c>
      <c r="E134" s="1041">
        <v>0</v>
      </c>
      <c r="F134" s="1134" t="s">
        <v>1150</v>
      </c>
      <c r="J134" s="685"/>
    </row>
    <row r="135" spans="1:10" s="1032" customFormat="1" ht="12" customHeight="1">
      <c r="A135" s="1039" t="s">
        <v>82</v>
      </c>
      <c r="B135" s="558" t="s">
        <v>1165</v>
      </c>
      <c r="C135" s="1061">
        <v>0</v>
      </c>
      <c r="D135" s="1126">
        <f>9800-550</f>
        <v>9250</v>
      </c>
      <c r="E135" s="1041">
        <v>0</v>
      </c>
      <c r="F135" s="1134" t="s">
        <v>1150</v>
      </c>
      <c r="J135" s="1027"/>
    </row>
    <row r="136" spans="1:10" s="1032" customFormat="1" ht="12" customHeight="1">
      <c r="A136" s="1039" t="s">
        <v>83</v>
      </c>
      <c r="B136" s="558" t="s">
        <v>1166</v>
      </c>
      <c r="C136" s="1061">
        <v>0</v>
      </c>
      <c r="D136" s="1126">
        <f>7200-1121</f>
        <v>6079</v>
      </c>
      <c r="E136" s="1041">
        <v>0</v>
      </c>
      <c r="F136" s="1134" t="s">
        <v>1150</v>
      </c>
      <c r="J136" s="1027"/>
    </row>
    <row r="137" spans="1:10" s="1032" customFormat="1" ht="12" customHeight="1">
      <c r="A137" s="1039" t="s">
        <v>84</v>
      </c>
      <c r="B137" s="558" t="s">
        <v>1167</v>
      </c>
      <c r="C137" s="1061">
        <v>0</v>
      </c>
      <c r="D137" s="1126">
        <f>12000+1923</f>
        <v>13923</v>
      </c>
      <c r="E137" s="1041">
        <v>0</v>
      </c>
      <c r="F137" s="1134" t="s">
        <v>1150</v>
      </c>
      <c r="J137" s="1027"/>
    </row>
    <row r="138" spans="1:10" s="1032" customFormat="1" ht="12" customHeight="1">
      <c r="A138" s="1039" t="s">
        <v>85</v>
      </c>
      <c r="B138" s="558" t="s">
        <v>1168</v>
      </c>
      <c r="C138" s="1061">
        <v>0</v>
      </c>
      <c r="D138" s="1126">
        <f>1500+240</f>
        <v>1740</v>
      </c>
      <c r="E138" s="1041">
        <v>0</v>
      </c>
      <c r="F138" s="1134" t="s">
        <v>1150</v>
      </c>
      <c r="J138" s="1027"/>
    </row>
    <row r="139" spans="1:10" s="1032" customFormat="1" ht="12" customHeight="1">
      <c r="A139" s="1039" t="s">
        <v>86</v>
      </c>
      <c r="B139" s="558" t="s">
        <v>1192</v>
      </c>
      <c r="C139" s="1061">
        <v>0</v>
      </c>
      <c r="D139" s="1126">
        <f>2500-510</f>
        <v>1990</v>
      </c>
      <c r="E139" s="1041">
        <v>0</v>
      </c>
      <c r="F139" s="1134" t="s">
        <v>1150</v>
      </c>
      <c r="J139" s="1027"/>
    </row>
    <row r="140" spans="1:10" s="1032" customFormat="1" ht="12" customHeight="1">
      <c r="A140" s="1039" t="s">
        <v>87</v>
      </c>
      <c r="B140" s="558" t="s">
        <v>1169</v>
      </c>
      <c r="C140" s="1061">
        <v>0</v>
      </c>
      <c r="D140" s="1126">
        <f>14200-1124</f>
        <v>13076</v>
      </c>
      <c r="E140" s="1041">
        <v>0</v>
      </c>
      <c r="F140" s="1134" t="s">
        <v>1150</v>
      </c>
      <c r="J140" s="1027"/>
    </row>
    <row r="141" spans="1:10" s="1032" customFormat="1" ht="12" customHeight="1">
      <c r="A141" s="1039" t="s">
        <v>88</v>
      </c>
      <c r="B141" s="558"/>
      <c r="C141" s="1061"/>
      <c r="D141" s="654"/>
      <c r="E141" s="1041"/>
      <c r="J141" s="1027"/>
    </row>
    <row r="142" spans="1:10" s="1032" customFormat="1" ht="12" customHeight="1">
      <c r="A142" s="1039" t="s">
        <v>89</v>
      </c>
      <c r="B142" s="1039"/>
      <c r="C142" s="1039"/>
      <c r="D142" s="654"/>
      <c r="E142" s="1041"/>
      <c r="J142" s="1027"/>
    </row>
    <row r="143" spans="1:10" s="1032" customFormat="1" ht="12" customHeight="1" thickBot="1">
      <c r="A143" s="1039" t="s">
        <v>90</v>
      </c>
      <c r="B143" s="1039"/>
      <c r="C143" s="1039"/>
      <c r="D143" s="654"/>
      <c r="E143" s="1041"/>
      <c r="J143" s="1027"/>
    </row>
    <row r="144" spans="1:10" s="1032" customFormat="1" ht="12" customHeight="1">
      <c r="A144" s="1042" t="s">
        <v>107</v>
      </c>
      <c r="B144" s="1043"/>
      <c r="C144" s="1044">
        <f>SUM(C127:C143)</f>
        <v>0</v>
      </c>
      <c r="D144" s="1044">
        <f>SUM(D127:D143)</f>
        <v>95019</v>
      </c>
      <c r="E144" s="1045">
        <v>0</v>
      </c>
      <c r="J144" s="1027"/>
    </row>
    <row r="145" spans="2:10" s="1032" customFormat="1" ht="12" customHeight="1">
      <c r="B145" s="1033"/>
      <c r="C145" s="1060"/>
      <c r="D145" s="685"/>
      <c r="J145" s="1027"/>
    </row>
    <row r="146" spans="2:10" s="1032" customFormat="1" ht="30" customHeight="1" hidden="1">
      <c r="B146" s="1033"/>
      <c r="C146" s="1034" t="str">
        <f>C6</f>
        <v>2012. évi         terv</v>
      </c>
      <c r="D146" s="1034" t="str">
        <f>D6</f>
        <v>2013. évi    terv</v>
      </c>
      <c r="E146" s="1035" t="s">
        <v>552</v>
      </c>
      <c r="J146" s="1027"/>
    </row>
    <row r="147" spans="1:10" s="1032" customFormat="1" ht="12" customHeight="1">
      <c r="A147" s="1037" t="s">
        <v>1071</v>
      </c>
      <c r="B147" s="1033"/>
      <c r="C147" s="1060"/>
      <c r="D147" s="685"/>
      <c r="J147" s="1027"/>
    </row>
    <row r="148" spans="1:10" s="1032" customFormat="1" ht="12" customHeight="1">
      <c r="A148" s="1039" t="s">
        <v>74</v>
      </c>
      <c r="B148" s="558" t="s">
        <v>1170</v>
      </c>
      <c r="C148" s="1061">
        <v>0</v>
      </c>
      <c r="D148" s="654">
        <v>2500</v>
      </c>
      <c r="E148" s="1041">
        <v>0</v>
      </c>
      <c r="F148" s="643" t="s">
        <v>1150</v>
      </c>
      <c r="J148" s="1027"/>
    </row>
    <row r="149" spans="1:10" s="1032" customFormat="1" ht="12" customHeight="1" thickBot="1">
      <c r="A149" s="1039" t="s">
        <v>75</v>
      </c>
      <c r="B149" s="1054"/>
      <c r="C149" s="1061"/>
      <c r="D149" s="654"/>
      <c r="E149" s="1041"/>
      <c r="J149" s="1027"/>
    </row>
    <row r="150" spans="1:10" s="1032" customFormat="1" ht="12" customHeight="1" hidden="1">
      <c r="A150" s="1039" t="s">
        <v>76</v>
      </c>
      <c r="B150" s="558"/>
      <c r="C150" s="1061"/>
      <c r="D150" s="654"/>
      <c r="E150" s="1041"/>
      <c r="J150" s="1027"/>
    </row>
    <row r="151" spans="1:10" s="1032" customFormat="1" ht="12" customHeight="1" hidden="1">
      <c r="A151" s="1039" t="s">
        <v>77</v>
      </c>
      <c r="B151" s="558"/>
      <c r="C151" s="1061"/>
      <c r="D151" s="654"/>
      <c r="E151" s="1041"/>
      <c r="J151" s="1027"/>
    </row>
    <row r="152" spans="1:10" s="1032" customFormat="1" ht="12" customHeight="1" hidden="1">
      <c r="A152" s="1039" t="s">
        <v>78</v>
      </c>
      <c r="B152" s="558"/>
      <c r="C152" s="1061"/>
      <c r="D152" s="654"/>
      <c r="E152" s="1041"/>
      <c r="J152" s="1027"/>
    </row>
    <row r="153" spans="1:10" s="1032" customFormat="1" ht="12" customHeight="1" hidden="1">
      <c r="A153" s="1039" t="s">
        <v>79</v>
      </c>
      <c r="B153" s="558"/>
      <c r="C153" s="1061"/>
      <c r="D153" s="654"/>
      <c r="E153" s="1041"/>
      <c r="J153" s="1027"/>
    </row>
    <row r="154" spans="1:10" s="1032" customFormat="1" ht="12" customHeight="1" hidden="1">
      <c r="A154" s="1039" t="s">
        <v>80</v>
      </c>
      <c r="B154" s="558"/>
      <c r="C154" s="1061"/>
      <c r="D154" s="654"/>
      <c r="E154" s="1041"/>
      <c r="J154" s="1027"/>
    </row>
    <row r="155" spans="1:10" s="1032" customFormat="1" ht="12" customHeight="1" hidden="1">
      <c r="A155" s="1039" t="s">
        <v>81</v>
      </c>
      <c r="B155" s="558"/>
      <c r="C155" s="1061"/>
      <c r="D155" s="654"/>
      <c r="E155" s="1041"/>
      <c r="J155" s="1027"/>
    </row>
    <row r="156" spans="1:10" s="1032" customFormat="1" ht="12.75" customHeight="1" hidden="1">
      <c r="A156" s="1039" t="s">
        <v>82</v>
      </c>
      <c r="B156" s="558"/>
      <c r="C156" s="1061"/>
      <c r="D156" s="654"/>
      <c r="E156" s="1041"/>
      <c r="J156" s="1027"/>
    </row>
    <row r="157" spans="1:10" s="1032" customFormat="1" ht="12.75" customHeight="1" hidden="1">
      <c r="A157" s="1039" t="s">
        <v>83</v>
      </c>
      <c r="B157" s="558"/>
      <c r="C157" s="1061"/>
      <c r="D157" s="654"/>
      <c r="E157" s="1041"/>
      <c r="J157" s="1027"/>
    </row>
    <row r="158" spans="1:10" s="1032" customFormat="1" ht="12.75" customHeight="1" hidden="1">
      <c r="A158" s="1039" t="s">
        <v>84</v>
      </c>
      <c r="B158" s="558"/>
      <c r="C158" s="1061"/>
      <c r="D158" s="654"/>
      <c r="E158" s="1041"/>
      <c r="J158" s="1027"/>
    </row>
    <row r="159" spans="1:10" s="1032" customFormat="1" ht="12.75" customHeight="1" hidden="1">
      <c r="A159" s="1039" t="s">
        <v>85</v>
      </c>
      <c r="B159" s="558"/>
      <c r="C159" s="1061"/>
      <c r="D159" s="654"/>
      <c r="E159" s="1041"/>
      <c r="J159" s="1027"/>
    </row>
    <row r="160" spans="1:10" s="1032" customFormat="1" ht="12.75" customHeight="1" hidden="1">
      <c r="A160" s="1039" t="s">
        <v>86</v>
      </c>
      <c r="B160" s="558"/>
      <c r="C160" s="1061"/>
      <c r="D160" s="654"/>
      <c r="E160" s="1041"/>
      <c r="J160" s="1027"/>
    </row>
    <row r="161" spans="1:10" s="1032" customFormat="1" ht="12.75" customHeight="1" hidden="1">
      <c r="A161" s="1039" t="s">
        <v>87</v>
      </c>
      <c r="B161" s="558"/>
      <c r="C161" s="1061"/>
      <c r="D161" s="654"/>
      <c r="E161" s="1041"/>
      <c r="J161" s="1027"/>
    </row>
    <row r="162" spans="1:10" s="1032" customFormat="1" ht="12.75" customHeight="1" hidden="1">
      <c r="A162" s="1039" t="s">
        <v>88</v>
      </c>
      <c r="B162" s="558"/>
      <c r="C162" s="1061"/>
      <c r="D162" s="654"/>
      <c r="E162" s="1041"/>
      <c r="J162" s="1027"/>
    </row>
    <row r="163" spans="1:5" s="1032" customFormat="1" ht="12" customHeight="1">
      <c r="A163" s="1042" t="s">
        <v>107</v>
      </c>
      <c r="B163" s="1043"/>
      <c r="C163" s="1044">
        <f>SUM(C148:C162)</f>
        <v>0</v>
      </c>
      <c r="D163" s="1044">
        <f>SUM(D148:D162)</f>
        <v>2500</v>
      </c>
      <c r="E163" s="1045">
        <v>0</v>
      </c>
    </row>
    <row r="164" spans="1:10" s="643" customFormat="1" ht="12" customHeight="1">
      <c r="A164" s="644"/>
      <c r="B164" s="1050"/>
      <c r="C164" s="1027"/>
      <c r="D164" s="1027"/>
      <c r="J164" s="685"/>
    </row>
    <row r="165" spans="2:10" s="1032" customFormat="1" ht="12" customHeight="1">
      <c r="B165" s="1033"/>
      <c r="C165" s="1060"/>
      <c r="D165" s="685"/>
      <c r="J165" s="1027"/>
    </row>
    <row r="166" spans="1:10" s="1032" customFormat="1" ht="12" customHeight="1">
      <c r="A166" s="1037" t="s">
        <v>1072</v>
      </c>
      <c r="B166" s="1033"/>
      <c r="C166" s="1060"/>
      <c r="D166" s="685"/>
      <c r="J166" s="1027"/>
    </row>
    <row r="167" spans="1:10" s="1032" customFormat="1" ht="12" customHeight="1">
      <c r="A167" s="1039" t="s">
        <v>74</v>
      </c>
      <c r="B167" s="977"/>
      <c r="C167" s="1040"/>
      <c r="D167" s="654"/>
      <c r="E167" s="1041"/>
      <c r="F167" s="643"/>
      <c r="G167" s="643"/>
      <c r="H167" s="643"/>
      <c r="I167" s="643"/>
      <c r="J167" s="1027"/>
    </row>
    <row r="168" spans="1:10" s="1032" customFormat="1" ht="12" customHeight="1" thickBot="1">
      <c r="A168" s="1039" t="s">
        <v>75</v>
      </c>
      <c r="B168" s="558"/>
      <c r="C168" s="1039"/>
      <c r="D168" s="654"/>
      <c r="E168" s="1041"/>
      <c r="F168" s="643"/>
      <c r="G168" s="643"/>
      <c r="H168" s="643"/>
      <c r="I168" s="643"/>
      <c r="J168" s="1027"/>
    </row>
    <row r="169" spans="1:10" s="1032" customFormat="1" ht="12" customHeight="1" hidden="1">
      <c r="A169" s="1039" t="s">
        <v>76</v>
      </c>
      <c r="B169" s="558"/>
      <c r="C169" s="1039"/>
      <c r="D169" s="654"/>
      <c r="E169" s="1041"/>
      <c r="F169" s="643"/>
      <c r="G169" s="643"/>
      <c r="H169" s="643"/>
      <c r="I169" s="643"/>
      <c r="J169" s="1027"/>
    </row>
    <row r="170" spans="1:10" s="1032" customFormat="1" ht="12" customHeight="1" hidden="1">
      <c r="A170" s="1039" t="s">
        <v>77</v>
      </c>
      <c r="B170" s="558"/>
      <c r="C170" s="1039"/>
      <c r="D170" s="654"/>
      <c r="E170" s="1041"/>
      <c r="F170" s="643"/>
      <c r="G170" s="643"/>
      <c r="H170" s="643"/>
      <c r="I170" s="643"/>
      <c r="J170" s="1027"/>
    </row>
    <row r="171" spans="1:10" s="1032" customFormat="1" ht="12" customHeight="1" hidden="1">
      <c r="A171" s="1039" t="s">
        <v>78</v>
      </c>
      <c r="B171" s="558"/>
      <c r="C171" s="1039"/>
      <c r="D171" s="654"/>
      <c r="E171" s="1041"/>
      <c r="F171" s="643"/>
      <c r="G171" s="643"/>
      <c r="H171" s="643"/>
      <c r="I171" s="643"/>
      <c r="J171" s="1027"/>
    </row>
    <row r="172" spans="1:10" s="1032" customFormat="1" ht="12" customHeight="1" hidden="1">
      <c r="A172" s="1039" t="s">
        <v>79</v>
      </c>
      <c r="B172" s="558"/>
      <c r="C172" s="1039"/>
      <c r="D172" s="654"/>
      <c r="E172" s="1041"/>
      <c r="F172" s="643"/>
      <c r="G172" s="643"/>
      <c r="H172" s="643"/>
      <c r="I172" s="643"/>
      <c r="J172" s="1027"/>
    </row>
    <row r="173" spans="1:10" s="1032" customFormat="1" ht="12" customHeight="1" hidden="1">
      <c r="A173" s="1039" t="s">
        <v>80</v>
      </c>
      <c r="B173" s="558"/>
      <c r="C173" s="1039"/>
      <c r="D173" s="654"/>
      <c r="E173" s="1041"/>
      <c r="F173" s="643"/>
      <c r="G173" s="643"/>
      <c r="H173" s="643"/>
      <c r="I173" s="643"/>
      <c r="J173" s="1027"/>
    </row>
    <row r="174" spans="1:10" s="1032" customFormat="1" ht="12" customHeight="1" hidden="1">
      <c r="A174" s="1039" t="s">
        <v>81</v>
      </c>
      <c r="B174" s="558"/>
      <c r="C174" s="1039"/>
      <c r="D174" s="654"/>
      <c r="E174" s="1041"/>
      <c r="F174" s="643"/>
      <c r="G174" s="643"/>
      <c r="H174" s="643"/>
      <c r="I174" s="643"/>
      <c r="J174" s="1027"/>
    </row>
    <row r="175" spans="1:10" s="1032" customFormat="1" ht="12" customHeight="1" hidden="1">
      <c r="A175" s="1039" t="s">
        <v>82</v>
      </c>
      <c r="B175" s="558"/>
      <c r="C175" s="1039"/>
      <c r="D175" s="654"/>
      <c r="E175" s="1041"/>
      <c r="F175" s="643"/>
      <c r="G175" s="643"/>
      <c r="H175" s="643"/>
      <c r="I175" s="643"/>
      <c r="J175" s="1027"/>
    </row>
    <row r="176" spans="1:10" s="1032" customFormat="1" ht="12" customHeight="1" hidden="1">
      <c r="A176" s="1039" t="s">
        <v>83</v>
      </c>
      <c r="B176" s="558"/>
      <c r="C176" s="1039"/>
      <c r="D176" s="654"/>
      <c r="E176" s="1041"/>
      <c r="F176" s="643"/>
      <c r="G176" s="643"/>
      <c r="H176" s="643"/>
      <c r="I176" s="643"/>
      <c r="J176" s="1027"/>
    </row>
    <row r="177" spans="1:10" s="1032" customFormat="1" ht="12" customHeight="1" hidden="1">
      <c r="A177" s="1039" t="s">
        <v>84</v>
      </c>
      <c r="B177" s="558"/>
      <c r="C177" s="1039"/>
      <c r="D177" s="654"/>
      <c r="E177" s="1041"/>
      <c r="F177" s="643"/>
      <c r="G177" s="643"/>
      <c r="H177" s="643"/>
      <c r="I177" s="643"/>
      <c r="J177" s="1027"/>
    </row>
    <row r="178" spans="1:10" s="1032" customFormat="1" ht="12" customHeight="1" hidden="1">
      <c r="A178" s="1039" t="s">
        <v>85</v>
      </c>
      <c r="B178" s="558"/>
      <c r="C178" s="1039"/>
      <c r="D178" s="654"/>
      <c r="E178" s="1041"/>
      <c r="F178" s="643"/>
      <c r="G178" s="643"/>
      <c r="H178" s="643"/>
      <c r="I178" s="643"/>
      <c r="J178" s="1027"/>
    </row>
    <row r="179" spans="1:10" s="1032" customFormat="1" ht="12" customHeight="1">
      <c r="A179" s="1042" t="s">
        <v>107</v>
      </c>
      <c r="B179" s="1043"/>
      <c r="C179" s="1044">
        <f>SUM(C167:C178)</f>
        <v>0</v>
      </c>
      <c r="D179" s="1044">
        <f>SUM(D167:D178)</f>
        <v>0</v>
      </c>
      <c r="E179" s="1045">
        <v>0</v>
      </c>
      <c r="J179" s="1027"/>
    </row>
    <row r="180" spans="2:10" s="1032" customFormat="1" ht="12" customHeight="1">
      <c r="B180" s="1033"/>
      <c r="C180" s="1060"/>
      <c r="D180" s="685"/>
      <c r="J180" s="1027"/>
    </row>
    <row r="181" spans="2:10" s="1032" customFormat="1" ht="12" customHeight="1">
      <c r="B181" s="1033"/>
      <c r="C181" s="1060"/>
      <c r="D181" s="685"/>
      <c r="J181" s="1027"/>
    </row>
    <row r="182" spans="1:10" s="1032" customFormat="1" ht="12" customHeight="1">
      <c r="A182" s="1037" t="s">
        <v>1073</v>
      </c>
      <c r="B182" s="1033"/>
      <c r="C182" s="1060"/>
      <c r="D182" s="685"/>
      <c r="J182" s="1027"/>
    </row>
    <row r="183" spans="1:10" s="1032" customFormat="1" ht="12" customHeight="1">
      <c r="A183" s="1039" t="s">
        <v>74</v>
      </c>
      <c r="B183" s="558"/>
      <c r="C183" s="1061"/>
      <c r="D183" s="654"/>
      <c r="E183" s="1041"/>
      <c r="J183" s="1027"/>
    </row>
    <row r="184" spans="1:10" s="1032" customFormat="1" ht="12" customHeight="1" thickBot="1">
      <c r="A184" s="1039" t="s">
        <v>75</v>
      </c>
      <c r="B184" s="558"/>
      <c r="C184" s="1061"/>
      <c r="D184" s="654"/>
      <c r="E184" s="1041"/>
      <c r="J184" s="1027"/>
    </row>
    <row r="185" spans="1:10" s="1032" customFormat="1" ht="12" customHeight="1" hidden="1">
      <c r="A185" s="1039" t="s">
        <v>76</v>
      </c>
      <c r="B185" s="558"/>
      <c r="C185" s="1061"/>
      <c r="D185" s="654"/>
      <c r="E185" s="1041"/>
      <c r="J185" s="1027"/>
    </row>
    <row r="186" spans="1:10" s="1032" customFormat="1" ht="12" customHeight="1" hidden="1">
      <c r="A186" s="1039" t="s">
        <v>77</v>
      </c>
      <c r="B186" s="558"/>
      <c r="C186" s="1061"/>
      <c r="D186" s="654"/>
      <c r="E186" s="1041"/>
      <c r="J186" s="1027"/>
    </row>
    <row r="187" spans="1:10" s="1032" customFormat="1" ht="12" customHeight="1" hidden="1">
      <c r="A187" s="1039" t="s">
        <v>78</v>
      </c>
      <c r="B187" s="558"/>
      <c r="C187" s="1061"/>
      <c r="D187" s="654"/>
      <c r="E187" s="1041"/>
      <c r="J187" s="1027"/>
    </row>
    <row r="188" spans="1:10" s="1032" customFormat="1" ht="12" customHeight="1" hidden="1">
      <c r="A188" s="1039" t="s">
        <v>79</v>
      </c>
      <c r="B188" s="558"/>
      <c r="C188" s="1061"/>
      <c r="D188" s="654"/>
      <c r="E188" s="1041"/>
      <c r="J188" s="1027"/>
    </row>
    <row r="189" spans="1:10" s="1032" customFormat="1" ht="12" customHeight="1" hidden="1">
      <c r="A189" s="1039" t="s">
        <v>80</v>
      </c>
      <c r="B189" s="558"/>
      <c r="C189" s="1061"/>
      <c r="D189" s="654"/>
      <c r="E189" s="1041"/>
      <c r="J189" s="1027"/>
    </row>
    <row r="190" spans="1:10" s="1032" customFormat="1" ht="12" customHeight="1" hidden="1">
      <c r="A190" s="1039" t="s">
        <v>81</v>
      </c>
      <c r="B190" s="558"/>
      <c r="C190" s="1061"/>
      <c r="D190" s="654"/>
      <c r="E190" s="1041"/>
      <c r="J190" s="1027"/>
    </row>
    <row r="191" spans="1:10" s="1032" customFormat="1" ht="12" customHeight="1" hidden="1">
      <c r="A191" s="1039" t="s">
        <v>82</v>
      </c>
      <c r="B191" s="558"/>
      <c r="C191" s="1061"/>
      <c r="D191" s="654"/>
      <c r="E191" s="1041"/>
      <c r="J191" s="1027"/>
    </row>
    <row r="192" spans="1:10" s="1032" customFormat="1" ht="12" customHeight="1" hidden="1">
      <c r="A192" s="1039" t="s">
        <v>83</v>
      </c>
      <c r="B192" s="558"/>
      <c r="C192" s="1061"/>
      <c r="D192" s="654"/>
      <c r="E192" s="1041"/>
      <c r="J192" s="1027"/>
    </row>
    <row r="193" spans="1:10" s="1032" customFormat="1" ht="12" customHeight="1" hidden="1">
      <c r="A193" s="1039" t="s">
        <v>84</v>
      </c>
      <c r="B193" s="558"/>
      <c r="C193" s="1061"/>
      <c r="D193" s="654"/>
      <c r="E193" s="1041"/>
      <c r="J193" s="1027"/>
    </row>
    <row r="194" spans="1:10" s="1032" customFormat="1" ht="12" customHeight="1" hidden="1">
      <c r="A194" s="1039" t="s">
        <v>85</v>
      </c>
      <c r="B194" s="558"/>
      <c r="C194" s="1061"/>
      <c r="D194" s="654"/>
      <c r="E194" s="1041"/>
      <c r="J194" s="1027"/>
    </row>
    <row r="195" spans="1:10" s="1032" customFormat="1" ht="12" customHeight="1" hidden="1">
      <c r="A195" s="1039" t="s">
        <v>86</v>
      </c>
      <c r="B195" s="558"/>
      <c r="C195" s="1061"/>
      <c r="D195" s="654"/>
      <c r="E195" s="1041"/>
      <c r="J195" s="1027"/>
    </row>
    <row r="196" spans="1:10" s="1032" customFormat="1" ht="12" customHeight="1" hidden="1">
      <c r="A196" s="1039" t="s">
        <v>87</v>
      </c>
      <c r="B196" s="558"/>
      <c r="C196" s="1061"/>
      <c r="D196" s="654"/>
      <c r="E196" s="1041"/>
      <c r="J196" s="1027"/>
    </row>
    <row r="197" spans="1:10" s="1032" customFormat="1" ht="12" customHeight="1" hidden="1">
      <c r="A197" s="1039" t="s">
        <v>88</v>
      </c>
      <c r="B197" s="558"/>
      <c r="C197" s="1061"/>
      <c r="D197" s="654"/>
      <c r="E197" s="1041"/>
      <c r="J197" s="1027"/>
    </row>
    <row r="198" spans="1:10" s="1032" customFormat="1" ht="12" customHeight="1" hidden="1">
      <c r="A198" s="1039" t="s">
        <v>89</v>
      </c>
      <c r="B198" s="558"/>
      <c r="C198" s="1061"/>
      <c r="D198" s="654"/>
      <c r="E198" s="1041"/>
      <c r="J198" s="1027"/>
    </row>
    <row r="199" spans="1:10" s="1032" customFormat="1" ht="12" customHeight="1">
      <c r="A199" s="1042" t="s">
        <v>107</v>
      </c>
      <c r="B199" s="1043"/>
      <c r="C199" s="1044">
        <f>SUM(C183:C198)</f>
        <v>0</v>
      </c>
      <c r="D199" s="1044">
        <f>SUM(D183:D198)</f>
        <v>0</v>
      </c>
      <c r="E199" s="1045">
        <v>0</v>
      </c>
      <c r="J199" s="1027">
        <v>80000</v>
      </c>
    </row>
    <row r="200" spans="2:10" s="1032" customFormat="1" ht="12" customHeight="1">
      <c r="B200" s="1033"/>
      <c r="C200" s="1060"/>
      <c r="D200" s="685"/>
      <c r="J200" s="1027"/>
    </row>
    <row r="201" spans="2:10" s="1032" customFormat="1" ht="12" customHeight="1">
      <c r="B201" s="1033"/>
      <c r="C201" s="1060"/>
      <c r="D201" s="685"/>
      <c r="J201" s="1027"/>
    </row>
    <row r="202" spans="1:10" s="1032" customFormat="1" ht="12" customHeight="1">
      <c r="A202" s="1037" t="s">
        <v>1074</v>
      </c>
      <c r="B202" s="1033"/>
      <c r="C202" s="1060"/>
      <c r="D202" s="685"/>
      <c r="J202" s="1027"/>
    </row>
    <row r="203" spans="1:10" s="1032" customFormat="1" ht="12" customHeight="1">
      <c r="A203" s="1039" t="s">
        <v>74</v>
      </c>
      <c r="B203" s="977" t="s">
        <v>1075</v>
      </c>
      <c r="C203" s="1040">
        <v>370</v>
      </c>
      <c r="D203" s="654">
        <v>0</v>
      </c>
      <c r="E203" s="1041">
        <f>D203/C203</f>
        <v>0</v>
      </c>
      <c r="J203" s="1027"/>
    </row>
    <row r="204" spans="1:10" s="643" customFormat="1" ht="12" customHeight="1">
      <c r="A204" s="652" t="s">
        <v>75</v>
      </c>
      <c r="B204" s="977" t="s">
        <v>1076</v>
      </c>
      <c r="C204" s="1040">
        <v>0</v>
      </c>
      <c r="D204" s="1126">
        <f>10160-199-217</f>
        <v>9744</v>
      </c>
      <c r="E204" s="1041">
        <v>0</v>
      </c>
      <c r="F204" s="1134" t="s">
        <v>1150</v>
      </c>
      <c r="J204" s="685"/>
    </row>
    <row r="205" spans="1:10" s="643" customFormat="1" ht="12" customHeight="1">
      <c r="A205" s="652" t="s">
        <v>76</v>
      </c>
      <c r="B205" s="977" t="s">
        <v>1077</v>
      </c>
      <c r="C205" s="1061">
        <v>0</v>
      </c>
      <c r="D205" s="1126">
        <f>1500-775-229-53</f>
        <v>443</v>
      </c>
      <c r="E205" s="1192">
        <v>0</v>
      </c>
      <c r="F205" s="1188" t="s">
        <v>1150</v>
      </c>
      <c r="G205" s="643" t="s">
        <v>1078</v>
      </c>
      <c r="J205" s="685"/>
    </row>
    <row r="206" spans="1:10" s="1032" customFormat="1" ht="12" customHeight="1">
      <c r="A206" s="1039" t="s">
        <v>77</v>
      </c>
      <c r="B206" s="977" t="s">
        <v>1079</v>
      </c>
      <c r="C206" s="1061">
        <v>0</v>
      </c>
      <c r="D206" s="1126">
        <f>2500-260</f>
        <v>2240</v>
      </c>
      <c r="E206" s="1041">
        <v>0</v>
      </c>
      <c r="F206" s="1134" t="s">
        <v>1150</v>
      </c>
      <c r="J206" s="1027"/>
    </row>
    <row r="207" spans="1:10" s="1032" customFormat="1" ht="12" customHeight="1">
      <c r="A207" s="652" t="s">
        <v>78</v>
      </c>
      <c r="B207" s="652" t="s">
        <v>1080</v>
      </c>
      <c r="C207" s="1040">
        <v>0</v>
      </c>
      <c r="D207" s="1040">
        <v>1750</v>
      </c>
      <c r="E207" s="1041">
        <v>0</v>
      </c>
      <c r="F207" s="1032" t="s">
        <v>1150</v>
      </c>
      <c r="J207" s="1027"/>
    </row>
    <row r="208" spans="1:10" s="1032" customFormat="1" ht="12" customHeight="1" thickBot="1">
      <c r="A208" s="652" t="s">
        <v>79</v>
      </c>
      <c r="B208" s="652" t="s">
        <v>1213</v>
      </c>
      <c r="C208" s="1040"/>
      <c r="D208" s="1225">
        <v>775</v>
      </c>
      <c r="E208" s="1226"/>
      <c r="F208" s="1227"/>
      <c r="J208" s="1027"/>
    </row>
    <row r="209" spans="1:10" s="1032" customFormat="1" ht="12" customHeight="1" hidden="1">
      <c r="A209" s="1039" t="s">
        <v>80</v>
      </c>
      <c r="B209" s="977"/>
      <c r="C209" s="1061"/>
      <c r="D209" s="654"/>
      <c r="E209" s="1041"/>
      <c r="J209" s="1027"/>
    </row>
    <row r="210" spans="1:10" s="1032" customFormat="1" ht="12" customHeight="1" hidden="1">
      <c r="A210" s="652" t="s">
        <v>81</v>
      </c>
      <c r="B210" s="977"/>
      <c r="C210" s="1061"/>
      <c r="D210" s="654"/>
      <c r="E210" s="1041"/>
      <c r="J210" s="1027"/>
    </row>
    <row r="211" spans="1:10" s="1032" customFormat="1" ht="12" customHeight="1" hidden="1">
      <c r="A211" s="652" t="s">
        <v>82</v>
      </c>
      <c r="B211" s="977"/>
      <c r="C211" s="1061"/>
      <c r="D211" s="654"/>
      <c r="E211" s="1041"/>
      <c r="J211" s="1027"/>
    </row>
    <row r="212" spans="1:10" s="1032" customFormat="1" ht="12" customHeight="1" hidden="1">
      <c r="A212" s="652" t="s">
        <v>83</v>
      </c>
      <c r="B212" s="977"/>
      <c r="C212" s="1061"/>
      <c r="D212" s="654"/>
      <c r="E212" s="1041"/>
      <c r="J212" s="1027"/>
    </row>
    <row r="213" spans="1:10" s="1032" customFormat="1" ht="12" customHeight="1" hidden="1">
      <c r="A213" s="652" t="s">
        <v>84</v>
      </c>
      <c r="B213" s="977"/>
      <c r="C213" s="1061"/>
      <c r="D213" s="654"/>
      <c r="E213" s="1041"/>
      <c r="J213" s="1027"/>
    </row>
    <row r="214" spans="1:10" s="1032" customFormat="1" ht="12" customHeight="1" hidden="1">
      <c r="A214" s="652" t="s">
        <v>85</v>
      </c>
      <c r="B214" s="977"/>
      <c r="C214" s="1061"/>
      <c r="D214" s="654"/>
      <c r="E214" s="1041"/>
      <c r="J214" s="1027"/>
    </row>
    <row r="215" spans="1:10" s="1032" customFormat="1" ht="12" customHeight="1">
      <c r="A215" s="1042" t="s">
        <v>107</v>
      </c>
      <c r="B215" s="1043"/>
      <c r="C215" s="1044">
        <f>SUM(C203:C214)</f>
        <v>370</v>
      </c>
      <c r="D215" s="1044">
        <f>SUM(D203:D214)</f>
        <v>14952</v>
      </c>
      <c r="E215" s="1045">
        <f>D215/C215</f>
        <v>40.41081081081081</v>
      </c>
      <c r="J215" s="1027"/>
    </row>
    <row r="216" spans="2:10" s="1032" customFormat="1" ht="12" customHeight="1">
      <c r="B216" s="1033"/>
      <c r="C216" s="1060"/>
      <c r="D216" s="685"/>
      <c r="J216" s="1027"/>
    </row>
    <row r="217" s="1032" customFormat="1" ht="12" customHeight="1">
      <c r="J217" s="1027"/>
    </row>
    <row r="218" spans="1:10" s="1032" customFormat="1" ht="12" customHeight="1">
      <c r="A218" s="1037" t="s">
        <v>1081</v>
      </c>
      <c r="B218" s="1033"/>
      <c r="C218" s="685"/>
      <c r="D218" s="685"/>
      <c r="J218" s="1027"/>
    </row>
    <row r="219" spans="1:10" s="1032" customFormat="1" ht="12" customHeight="1">
      <c r="A219" s="1039" t="s">
        <v>74</v>
      </c>
      <c r="B219" s="977"/>
      <c r="C219" s="654"/>
      <c r="D219" s="654"/>
      <c r="E219" s="1041"/>
      <c r="J219" s="1027"/>
    </row>
    <row r="220" spans="1:10" s="1032" customFormat="1" ht="12" customHeight="1" thickBot="1">
      <c r="A220" s="1039" t="s">
        <v>75</v>
      </c>
      <c r="B220" s="1052"/>
      <c r="C220" s="654"/>
      <c r="D220" s="654"/>
      <c r="E220" s="1041"/>
      <c r="J220" s="1027"/>
    </row>
    <row r="221" spans="1:10" s="1032" customFormat="1" ht="12" customHeight="1" hidden="1">
      <c r="A221" s="1062" t="s">
        <v>76</v>
      </c>
      <c r="B221" s="1052"/>
      <c r="C221" s="654"/>
      <c r="D221" s="654"/>
      <c r="E221" s="1041"/>
      <c r="J221" s="1027"/>
    </row>
    <row r="222" spans="1:10" s="1032" customFormat="1" ht="12" customHeight="1" hidden="1">
      <c r="A222" s="1062" t="s">
        <v>77</v>
      </c>
      <c r="B222" s="1052"/>
      <c r="C222" s="654"/>
      <c r="D222" s="654"/>
      <c r="E222" s="1041"/>
      <c r="J222" s="1027"/>
    </row>
    <row r="223" spans="1:10" s="1032" customFormat="1" ht="12" customHeight="1" hidden="1">
      <c r="A223" s="1039" t="s">
        <v>78</v>
      </c>
      <c r="B223" s="1052"/>
      <c r="C223" s="654"/>
      <c r="D223" s="654"/>
      <c r="E223" s="1041"/>
      <c r="J223" s="1027"/>
    </row>
    <row r="224" spans="1:10" s="1032" customFormat="1" ht="12" customHeight="1" hidden="1">
      <c r="A224" s="1039" t="s">
        <v>79</v>
      </c>
      <c r="B224" s="1052"/>
      <c r="C224" s="654"/>
      <c r="D224" s="654"/>
      <c r="E224" s="1041"/>
      <c r="J224" s="1027"/>
    </row>
    <row r="225" spans="1:10" s="1032" customFormat="1" ht="12" customHeight="1" hidden="1">
      <c r="A225" s="1062" t="s">
        <v>80</v>
      </c>
      <c r="B225" s="1052"/>
      <c r="C225" s="654"/>
      <c r="D225" s="654"/>
      <c r="E225" s="1041"/>
      <c r="J225" s="1027"/>
    </row>
    <row r="226" spans="1:10" s="1032" customFormat="1" ht="12" customHeight="1" hidden="1">
      <c r="A226" s="1039" t="s">
        <v>81</v>
      </c>
      <c r="B226" s="1052"/>
      <c r="C226" s="654"/>
      <c r="D226" s="654"/>
      <c r="E226" s="1041"/>
      <c r="J226" s="1027"/>
    </row>
    <row r="227" spans="1:10" s="1032" customFormat="1" ht="12" customHeight="1" hidden="1">
      <c r="A227" s="1039" t="s">
        <v>82</v>
      </c>
      <c r="B227" s="1052"/>
      <c r="C227" s="654"/>
      <c r="D227" s="654"/>
      <c r="E227" s="1041"/>
      <c r="J227" s="1027"/>
    </row>
    <row r="228" spans="1:10" s="1032" customFormat="1" ht="12" customHeight="1" hidden="1">
      <c r="A228" s="1039" t="s">
        <v>83</v>
      </c>
      <c r="B228" s="1052"/>
      <c r="C228" s="654"/>
      <c r="D228" s="654"/>
      <c r="E228" s="1041"/>
      <c r="J228" s="1027"/>
    </row>
    <row r="229" spans="1:10" s="1032" customFormat="1" ht="12" customHeight="1" hidden="1">
      <c r="A229" s="1062" t="s">
        <v>84</v>
      </c>
      <c r="B229" s="1052"/>
      <c r="C229" s="654"/>
      <c r="D229" s="654"/>
      <c r="E229" s="1041"/>
      <c r="J229" s="1027"/>
    </row>
    <row r="230" spans="1:10" s="1032" customFormat="1" ht="12" customHeight="1" hidden="1">
      <c r="A230" s="1039" t="s">
        <v>85</v>
      </c>
      <c r="B230" s="1052"/>
      <c r="C230" s="654"/>
      <c r="D230" s="654"/>
      <c r="E230" s="1041"/>
      <c r="J230" s="1027"/>
    </row>
    <row r="231" spans="1:10" s="1032" customFormat="1" ht="12" customHeight="1" hidden="1">
      <c r="A231" s="1039" t="s">
        <v>86</v>
      </c>
      <c r="B231" s="1052"/>
      <c r="C231" s="654"/>
      <c r="D231" s="654"/>
      <c r="E231" s="1041"/>
      <c r="J231" s="1027"/>
    </row>
    <row r="232" spans="1:10" s="1032" customFormat="1" ht="12" customHeight="1" hidden="1">
      <c r="A232" s="1039" t="s">
        <v>87</v>
      </c>
      <c r="B232" s="1052"/>
      <c r="C232" s="654"/>
      <c r="D232" s="654"/>
      <c r="E232" s="1041"/>
      <c r="J232" s="1027"/>
    </row>
    <row r="233" spans="1:10" s="1032" customFormat="1" ht="12" customHeight="1" hidden="1">
      <c r="A233" s="1062" t="s">
        <v>88</v>
      </c>
      <c r="B233" s="1052"/>
      <c r="C233" s="654"/>
      <c r="D233" s="654"/>
      <c r="E233" s="1041"/>
      <c r="J233" s="1027"/>
    </row>
    <row r="234" spans="1:10" s="1032" customFormat="1" ht="12" customHeight="1" hidden="1">
      <c r="A234" s="1032" t="s">
        <v>89</v>
      </c>
      <c r="B234" s="1056"/>
      <c r="C234" s="685"/>
      <c r="D234" s="685"/>
      <c r="E234" s="1063"/>
      <c r="J234" s="1027"/>
    </row>
    <row r="235" spans="1:10" s="1032" customFormat="1" ht="12" customHeight="1">
      <c r="A235" s="1042" t="s">
        <v>107</v>
      </c>
      <c r="B235" s="1043"/>
      <c r="C235" s="1044">
        <f>SUM(C219:C234)</f>
        <v>0</v>
      </c>
      <c r="D235" s="1044">
        <f>SUM(D219:D234)</f>
        <v>0</v>
      </c>
      <c r="E235" s="1045">
        <v>0</v>
      </c>
      <c r="J235" s="1027"/>
    </row>
    <row r="236" spans="1:10" s="1032" customFormat="1" ht="12" customHeight="1">
      <c r="A236" s="1064"/>
      <c r="B236" s="1056"/>
      <c r="C236" s="646"/>
      <c r="D236" s="685"/>
      <c r="J236" s="1027"/>
    </row>
    <row r="237" spans="1:10" s="1032" customFormat="1" ht="12" customHeight="1">
      <c r="A237" s="1037"/>
      <c r="B237" s="1033"/>
      <c r="C237" s="685"/>
      <c r="D237" s="685"/>
      <c r="J237" s="1027"/>
    </row>
    <row r="238" spans="1:10" s="1032" customFormat="1" ht="12" customHeight="1">
      <c r="A238" s="1037" t="s">
        <v>1082</v>
      </c>
      <c r="B238" s="1033"/>
      <c r="C238" s="685"/>
      <c r="D238" s="685"/>
      <c r="J238" s="1027"/>
    </row>
    <row r="239" spans="1:10" s="1032" customFormat="1" ht="12" customHeight="1">
      <c r="A239" s="1062" t="s">
        <v>74</v>
      </c>
      <c r="B239" s="558"/>
      <c r="C239" s="654"/>
      <c r="D239" s="654"/>
      <c r="E239" s="1041"/>
      <c r="J239" s="1027"/>
    </row>
    <row r="240" spans="1:10" s="1032" customFormat="1" ht="12" customHeight="1" thickBot="1">
      <c r="A240" s="1039" t="s">
        <v>75</v>
      </c>
      <c r="B240" s="558"/>
      <c r="C240" s="654"/>
      <c r="D240" s="654"/>
      <c r="E240" s="1041"/>
      <c r="J240" s="1027"/>
    </row>
    <row r="241" spans="1:10" s="1032" customFormat="1" ht="12" customHeight="1" hidden="1">
      <c r="A241" s="1039" t="s">
        <v>76</v>
      </c>
      <c r="B241" s="558"/>
      <c r="C241" s="654"/>
      <c r="D241" s="654"/>
      <c r="E241" s="1041"/>
      <c r="J241" s="1027"/>
    </row>
    <row r="242" spans="1:10" s="1032" customFormat="1" ht="12" customHeight="1" hidden="1">
      <c r="A242" s="1039" t="s">
        <v>77</v>
      </c>
      <c r="B242" s="558"/>
      <c r="C242" s="654"/>
      <c r="D242" s="654"/>
      <c r="E242" s="1041"/>
      <c r="J242" s="1027"/>
    </row>
    <row r="243" spans="1:10" s="1032" customFormat="1" ht="12" customHeight="1" hidden="1">
      <c r="A243" s="1039" t="s">
        <v>78</v>
      </c>
      <c r="B243" s="558"/>
      <c r="C243" s="654"/>
      <c r="D243" s="654"/>
      <c r="E243" s="1041"/>
      <c r="J243" s="1027"/>
    </row>
    <row r="244" spans="1:10" s="1032" customFormat="1" ht="12" customHeight="1" hidden="1">
      <c r="A244" s="1039" t="s">
        <v>79</v>
      </c>
      <c r="B244" s="558"/>
      <c r="C244" s="654"/>
      <c r="D244" s="654"/>
      <c r="E244" s="1041"/>
      <c r="J244" s="1027"/>
    </row>
    <row r="245" spans="1:10" s="1032" customFormat="1" ht="12" customHeight="1" hidden="1">
      <c r="A245" s="1039" t="s">
        <v>80</v>
      </c>
      <c r="B245" s="558"/>
      <c r="C245" s="654"/>
      <c r="D245" s="654"/>
      <c r="E245" s="1041"/>
      <c r="J245" s="1027"/>
    </row>
    <row r="246" spans="1:10" s="1032" customFormat="1" ht="12" customHeight="1" hidden="1">
      <c r="A246" s="1039" t="s">
        <v>81</v>
      </c>
      <c r="B246" s="558"/>
      <c r="C246" s="654"/>
      <c r="D246" s="654"/>
      <c r="E246" s="1041"/>
      <c r="J246" s="1027"/>
    </row>
    <row r="247" spans="1:10" s="1032" customFormat="1" ht="12" customHeight="1" hidden="1">
      <c r="A247" s="1039" t="s">
        <v>82</v>
      </c>
      <c r="B247" s="558"/>
      <c r="C247" s="654"/>
      <c r="D247" s="654"/>
      <c r="E247" s="1041"/>
      <c r="J247" s="1027"/>
    </row>
    <row r="248" spans="1:10" s="1032" customFormat="1" ht="12" customHeight="1" hidden="1">
      <c r="A248" s="1039" t="s">
        <v>83</v>
      </c>
      <c r="B248" s="558"/>
      <c r="C248" s="654"/>
      <c r="D248" s="654"/>
      <c r="E248" s="1041"/>
      <c r="J248" s="1027"/>
    </row>
    <row r="249" spans="1:10" s="1032" customFormat="1" ht="12" customHeight="1" hidden="1">
      <c r="A249" s="1039" t="s">
        <v>84</v>
      </c>
      <c r="B249" s="558"/>
      <c r="C249" s="654"/>
      <c r="D249" s="654"/>
      <c r="E249" s="1041"/>
      <c r="J249" s="1027"/>
    </row>
    <row r="250" spans="1:10" s="1032" customFormat="1" ht="12" customHeight="1" hidden="1">
      <c r="A250" s="1039" t="s">
        <v>85</v>
      </c>
      <c r="B250" s="558"/>
      <c r="C250" s="654"/>
      <c r="D250" s="654"/>
      <c r="E250" s="1041"/>
      <c r="J250" s="1027"/>
    </row>
    <row r="251" spans="1:10" s="1032" customFormat="1" ht="12" customHeight="1" hidden="1">
      <c r="A251" s="1039" t="s">
        <v>86</v>
      </c>
      <c r="B251" s="558"/>
      <c r="C251" s="654"/>
      <c r="D251" s="654"/>
      <c r="E251" s="1041"/>
      <c r="J251" s="1027"/>
    </row>
    <row r="252" spans="1:10" s="1032" customFormat="1" ht="12" customHeight="1" hidden="1">
      <c r="A252" s="1039" t="s">
        <v>87</v>
      </c>
      <c r="B252" s="558"/>
      <c r="C252" s="654"/>
      <c r="D252" s="654"/>
      <c r="E252" s="1041"/>
      <c r="J252" s="1027"/>
    </row>
    <row r="253" spans="1:10" s="1032" customFormat="1" ht="12" customHeight="1" hidden="1">
      <c r="A253" s="1039" t="s">
        <v>88</v>
      </c>
      <c r="B253" s="558"/>
      <c r="C253" s="654"/>
      <c r="D253" s="654"/>
      <c r="E253" s="1041"/>
      <c r="J253" s="1027"/>
    </row>
    <row r="254" spans="1:10" s="1032" customFormat="1" ht="12" customHeight="1">
      <c r="A254" s="1042" t="s">
        <v>107</v>
      </c>
      <c r="B254" s="1043"/>
      <c r="C254" s="1044">
        <f>SUM(C239:C253)</f>
        <v>0</v>
      </c>
      <c r="D254" s="1044">
        <f>SUM(D239:D253)</f>
        <v>0</v>
      </c>
      <c r="E254" s="1045">
        <v>0</v>
      </c>
      <c r="J254" s="1027">
        <v>15000</v>
      </c>
    </row>
    <row r="255" spans="2:10" s="1032" customFormat="1" ht="12" customHeight="1">
      <c r="B255" s="1033"/>
      <c r="C255" s="685"/>
      <c r="D255" s="685"/>
      <c r="J255" s="1027"/>
    </row>
    <row r="256" spans="1:10" s="1066" customFormat="1" ht="12" customHeight="1">
      <c r="A256" s="1065"/>
      <c r="B256" s="1055"/>
      <c r="C256" s="646"/>
      <c r="D256" s="646"/>
      <c r="J256" s="1067"/>
    </row>
    <row r="257" spans="1:10" s="1066" customFormat="1" ht="12" customHeight="1">
      <c r="A257" s="1030" t="s">
        <v>1083</v>
      </c>
      <c r="B257" s="1055"/>
      <c r="C257" s="646"/>
      <c r="D257" s="646"/>
      <c r="J257" s="1067"/>
    </row>
    <row r="258" spans="1:10" s="1032" customFormat="1" ht="12" customHeight="1">
      <c r="A258" s="1039" t="s">
        <v>74</v>
      </c>
      <c r="B258" s="558" t="s">
        <v>1196</v>
      </c>
      <c r="C258" s="654">
        <v>0</v>
      </c>
      <c r="D258" s="654">
        <v>1400</v>
      </c>
      <c r="E258" s="1041">
        <v>0</v>
      </c>
      <c r="F258" s="643" t="s">
        <v>1150</v>
      </c>
      <c r="J258" s="1027"/>
    </row>
    <row r="259" spans="1:10" s="1032" customFormat="1" ht="12" customHeight="1" thickBot="1">
      <c r="A259" s="1039" t="s">
        <v>75</v>
      </c>
      <c r="B259" s="558" t="s">
        <v>1197</v>
      </c>
      <c r="C259" s="654">
        <v>0</v>
      </c>
      <c r="D259" s="654">
        <v>6000</v>
      </c>
      <c r="E259" s="1041">
        <v>0</v>
      </c>
      <c r="F259" s="643" t="s">
        <v>1150</v>
      </c>
      <c r="J259" s="1027"/>
    </row>
    <row r="260" spans="1:10" s="1032" customFormat="1" ht="12" customHeight="1" hidden="1">
      <c r="A260" s="1039" t="s">
        <v>76</v>
      </c>
      <c r="B260" s="558"/>
      <c r="C260" s="654"/>
      <c r="D260" s="654"/>
      <c r="E260" s="1041"/>
      <c r="J260" s="1027"/>
    </row>
    <row r="261" spans="1:10" s="1032" customFormat="1" ht="12" customHeight="1" hidden="1">
      <c r="A261" s="1039" t="s">
        <v>77</v>
      </c>
      <c r="B261" s="558"/>
      <c r="C261" s="654"/>
      <c r="D261" s="654"/>
      <c r="E261" s="1041"/>
      <c r="J261" s="1027"/>
    </row>
    <row r="262" spans="1:10" s="1032" customFormat="1" ht="12" customHeight="1" hidden="1">
      <c r="A262" s="1039" t="s">
        <v>78</v>
      </c>
      <c r="B262" s="558"/>
      <c r="C262" s="654"/>
      <c r="D262" s="654"/>
      <c r="E262" s="1041"/>
      <c r="J262" s="1027"/>
    </row>
    <row r="263" spans="1:10" s="1032" customFormat="1" ht="12" customHeight="1" hidden="1">
      <c r="A263" s="1032" t="s">
        <v>79</v>
      </c>
      <c r="B263" s="1033"/>
      <c r="C263" s="685"/>
      <c r="D263" s="685"/>
      <c r="E263" s="649"/>
      <c r="J263" s="1027"/>
    </row>
    <row r="264" spans="1:10" s="1032" customFormat="1" ht="12" customHeight="1">
      <c r="A264" s="1042" t="s">
        <v>107</v>
      </c>
      <c r="B264" s="1043"/>
      <c r="C264" s="1044">
        <f>SUM(C258:C263)</f>
        <v>0</v>
      </c>
      <c r="D264" s="1044">
        <f>SUM(D258:D263)</f>
        <v>7400</v>
      </c>
      <c r="E264" s="1045">
        <v>0</v>
      </c>
      <c r="J264" s="1027"/>
    </row>
    <row r="265" spans="2:10" s="1032" customFormat="1" ht="12" customHeight="1">
      <c r="B265" s="1046"/>
      <c r="C265" s="685"/>
      <c r="D265" s="685"/>
      <c r="J265" s="1027"/>
    </row>
    <row r="266" spans="1:10" s="1032" customFormat="1" ht="12" customHeight="1">
      <c r="A266" s="1068" t="s">
        <v>1084</v>
      </c>
      <c r="B266" s="1069"/>
      <c r="C266" s="1070">
        <f>C31+C57+C66+C123+C144+C163+C179+C199+C215+C235+C254+C264</f>
        <v>3828112</v>
      </c>
      <c r="D266" s="1070">
        <f>D31+D57+D66+D123+D144+D163+D179+D199+D215+D235+D254+D264</f>
        <v>1695625</v>
      </c>
      <c r="E266" s="1071">
        <f>D266/C266</f>
        <v>0.44294027969923555</v>
      </c>
      <c r="J266" s="1027"/>
    </row>
    <row r="267" spans="1:10" s="1066" customFormat="1" ht="12" customHeight="1">
      <c r="A267" s="1065"/>
      <c r="B267" s="1055"/>
      <c r="C267" s="646"/>
      <c r="D267" s="646"/>
      <c r="J267" s="1067"/>
    </row>
    <row r="268" spans="1:10" s="1032" customFormat="1" ht="51.75" customHeight="1">
      <c r="A268" s="1037" t="s">
        <v>1085</v>
      </c>
      <c r="B268" s="1033"/>
      <c r="C268" s="685"/>
      <c r="D268" s="685"/>
      <c r="J268" s="1027"/>
    </row>
    <row r="269" spans="1:10" s="1032" customFormat="1" ht="30.75" customHeight="1" hidden="1">
      <c r="A269" s="1037"/>
      <c r="B269" s="1033"/>
      <c r="C269" s="1072" t="str">
        <f>C6</f>
        <v>2012. évi         terv</v>
      </c>
      <c r="D269" s="1034" t="str">
        <f>D6</f>
        <v>2013. évi    terv</v>
      </c>
      <c r="E269" s="1035" t="s">
        <v>552</v>
      </c>
      <c r="J269" s="1027"/>
    </row>
    <row r="270" spans="1:10" s="1032" customFormat="1" ht="12" customHeight="1">
      <c r="A270" s="1037" t="s">
        <v>1086</v>
      </c>
      <c r="B270" s="1033"/>
      <c r="C270" s="646"/>
      <c r="D270" s="646"/>
      <c r="E270" s="1066"/>
      <c r="J270" s="1027"/>
    </row>
    <row r="271" spans="1:10" s="1032" customFormat="1" ht="12" customHeight="1">
      <c r="A271" s="1039" t="s">
        <v>74</v>
      </c>
      <c r="B271" s="558" t="s">
        <v>1087</v>
      </c>
      <c r="C271" s="654">
        <v>3160</v>
      </c>
      <c r="D271" s="654">
        <v>0</v>
      </c>
      <c r="E271" s="1041">
        <f>D271/C271</f>
        <v>0</v>
      </c>
      <c r="J271" s="1027"/>
    </row>
    <row r="272" spans="1:10" s="1032" customFormat="1" ht="12" customHeight="1">
      <c r="A272" s="1039" t="s">
        <v>75</v>
      </c>
      <c r="B272" s="558" t="s">
        <v>1088</v>
      </c>
      <c r="C272" s="654">
        <v>4120</v>
      </c>
      <c r="D272" s="654">
        <v>0</v>
      </c>
      <c r="E272" s="1041">
        <f>D272/C272</f>
        <v>0</v>
      </c>
      <c r="J272" s="1027"/>
    </row>
    <row r="273" spans="1:10" s="1032" customFormat="1" ht="12" customHeight="1">
      <c r="A273" s="1039" t="s">
        <v>76</v>
      </c>
      <c r="B273" s="977" t="s">
        <v>1089</v>
      </c>
      <c r="C273" s="654">
        <v>0</v>
      </c>
      <c r="D273" s="654">
        <v>390000</v>
      </c>
      <c r="E273" s="1041">
        <v>0</v>
      </c>
      <c r="F273" s="1032" t="s">
        <v>1150</v>
      </c>
      <c r="J273" s="1027"/>
    </row>
    <row r="274" spans="1:10" s="1032" customFormat="1" ht="12" customHeight="1">
      <c r="A274" s="1039" t="s">
        <v>77</v>
      </c>
      <c r="B274" s="977" t="s">
        <v>1090</v>
      </c>
      <c r="C274" s="654">
        <v>0</v>
      </c>
      <c r="D274" s="1244">
        <f>6000+7678</f>
        <v>13678</v>
      </c>
      <c r="E274" s="1041">
        <v>0</v>
      </c>
      <c r="F274" s="1252" t="s">
        <v>1150</v>
      </c>
      <c r="J274" s="1027"/>
    </row>
    <row r="275" spans="1:10" s="1032" customFormat="1" ht="12" customHeight="1" thickBot="1">
      <c r="A275" s="1039" t="s">
        <v>78</v>
      </c>
      <c r="B275" s="977" t="s">
        <v>1208</v>
      </c>
      <c r="C275" s="1040"/>
      <c r="D275" s="1225">
        <v>1426</v>
      </c>
      <c r="E275" s="1041"/>
      <c r="F275" s="1032" t="s">
        <v>1150</v>
      </c>
      <c r="J275" s="1027"/>
    </row>
    <row r="276" spans="1:10" s="1032" customFormat="1" ht="12" customHeight="1" hidden="1">
      <c r="A276" s="1039" t="s">
        <v>79</v>
      </c>
      <c r="B276" s="977"/>
      <c r="C276" s="654"/>
      <c r="D276" s="654"/>
      <c r="E276" s="1041"/>
      <c r="J276" s="1027"/>
    </row>
    <row r="277" spans="1:10" s="1032" customFormat="1" ht="12" customHeight="1">
      <c r="A277" s="1042" t="s">
        <v>107</v>
      </c>
      <c r="B277" s="1043"/>
      <c r="C277" s="1044">
        <f>SUM(C271:C276)</f>
        <v>7280</v>
      </c>
      <c r="D277" s="1044">
        <f>SUM(D271:D276)</f>
        <v>405104</v>
      </c>
      <c r="E277" s="1045">
        <f>D277/C277</f>
        <v>55.646153846153844</v>
      </c>
      <c r="J277" s="1027"/>
    </row>
    <row r="278" spans="1:10" s="1032" customFormat="1" ht="12" customHeight="1">
      <c r="A278" s="1037"/>
      <c r="B278" s="1033"/>
      <c r="C278" s="685"/>
      <c r="D278" s="685"/>
      <c r="J278" s="1027"/>
    </row>
    <row r="279" spans="1:10" s="1032" customFormat="1" ht="12" customHeight="1">
      <c r="A279" s="1037" t="s">
        <v>1091</v>
      </c>
      <c r="B279" s="1033"/>
      <c r="C279" s="646"/>
      <c r="D279" s="646"/>
      <c r="J279" s="1027"/>
    </row>
    <row r="280" spans="1:10" s="1032" customFormat="1" ht="12" customHeight="1">
      <c r="A280" s="1039" t="s">
        <v>74</v>
      </c>
      <c r="B280" s="558" t="s">
        <v>1092</v>
      </c>
      <c r="C280" s="654">
        <v>10000</v>
      </c>
      <c r="D280" s="654">
        <v>0</v>
      </c>
      <c r="E280" s="1041">
        <f>D280/C280</f>
        <v>0</v>
      </c>
      <c r="J280" s="1027"/>
    </row>
    <row r="281" spans="1:10" s="1032" customFormat="1" ht="12" customHeight="1" thickBot="1">
      <c r="A281" s="1039" t="s">
        <v>75</v>
      </c>
      <c r="B281" s="977"/>
      <c r="C281" s="654"/>
      <c r="D281" s="654"/>
      <c r="E281" s="1039"/>
      <c r="J281" s="1027"/>
    </row>
    <row r="282" spans="1:10" s="1032" customFormat="1" ht="12" customHeight="1" hidden="1">
      <c r="A282" s="1039" t="s">
        <v>76</v>
      </c>
      <c r="B282" s="977"/>
      <c r="C282" s="654"/>
      <c r="D282" s="654"/>
      <c r="E282" s="1039"/>
      <c r="J282" s="1027"/>
    </row>
    <row r="283" spans="1:10" s="1032" customFormat="1" ht="12" customHeight="1" hidden="1">
      <c r="A283" s="1039" t="s">
        <v>77</v>
      </c>
      <c r="B283" s="977"/>
      <c r="C283" s="654"/>
      <c r="D283" s="654"/>
      <c r="E283" s="1039"/>
      <c r="J283" s="1027"/>
    </row>
    <row r="284" spans="1:10" s="1032" customFormat="1" ht="12" customHeight="1" hidden="1">
      <c r="A284" s="1039" t="s">
        <v>78</v>
      </c>
      <c r="B284" s="977"/>
      <c r="C284" s="654"/>
      <c r="D284" s="654"/>
      <c r="E284" s="1039"/>
      <c r="J284" s="1027"/>
    </row>
    <row r="285" spans="1:10" s="1032" customFormat="1" ht="12" customHeight="1">
      <c r="A285" s="1042" t="s">
        <v>107</v>
      </c>
      <c r="B285" s="1043"/>
      <c r="C285" s="1044">
        <f>SUM(C280:C284)</f>
        <v>10000</v>
      </c>
      <c r="D285" s="1044">
        <f>SUM(D280:D284)</f>
        <v>0</v>
      </c>
      <c r="E285" s="1045">
        <f>D285/C285</f>
        <v>0</v>
      </c>
      <c r="J285" s="1027"/>
    </row>
    <row r="286" spans="2:10" s="1032" customFormat="1" ht="12" customHeight="1">
      <c r="B286" s="1033"/>
      <c r="C286" s="685"/>
      <c r="D286" s="685"/>
      <c r="J286" s="1027"/>
    </row>
    <row r="287" spans="1:10" s="1032" customFormat="1" ht="12" customHeight="1">
      <c r="A287" s="1048" t="s">
        <v>1093</v>
      </c>
      <c r="B287" s="1033"/>
      <c r="C287" s="685"/>
      <c r="D287" s="685"/>
      <c r="J287" s="1027"/>
    </row>
    <row r="288" spans="1:10" s="1032" customFormat="1" ht="12" customHeight="1">
      <c r="A288" s="1039" t="s">
        <v>74</v>
      </c>
      <c r="B288" s="558" t="s">
        <v>1094</v>
      </c>
      <c r="C288" s="652">
        <v>304</v>
      </c>
      <c r="D288" s="652">
        <v>0</v>
      </c>
      <c r="E288" s="1041">
        <f>D288/C288</f>
        <v>0</v>
      </c>
      <c r="J288" s="1027"/>
    </row>
    <row r="289" spans="1:10" s="1032" customFormat="1" ht="12" customHeight="1">
      <c r="A289" s="652" t="s">
        <v>75</v>
      </c>
      <c r="B289" s="558" t="s">
        <v>1095</v>
      </c>
      <c r="C289" s="654">
        <v>4000</v>
      </c>
      <c r="D289" s="654">
        <v>0</v>
      </c>
      <c r="E289" s="1041">
        <f>D289/C289</f>
        <v>0</v>
      </c>
      <c r="J289" s="1027"/>
    </row>
    <row r="290" spans="1:10" s="1032" customFormat="1" ht="12" customHeight="1">
      <c r="A290" s="1039" t="s">
        <v>76</v>
      </c>
      <c r="B290" s="977" t="s">
        <v>1096</v>
      </c>
      <c r="C290" s="654">
        <v>0</v>
      </c>
      <c r="D290" s="1244">
        <v>0</v>
      </c>
      <c r="E290" s="1041">
        <v>0</v>
      </c>
      <c r="F290" s="1252" t="s">
        <v>1149</v>
      </c>
      <c r="J290" s="1027"/>
    </row>
    <row r="291" spans="1:10" s="1032" customFormat="1" ht="12" customHeight="1">
      <c r="A291" s="652" t="s">
        <v>77</v>
      </c>
      <c r="B291" s="977" t="s">
        <v>1097</v>
      </c>
      <c r="C291" s="654">
        <v>0</v>
      </c>
      <c r="D291" s="654">
        <v>1021</v>
      </c>
      <c r="E291" s="1041">
        <v>0</v>
      </c>
      <c r="F291" s="1032" t="s">
        <v>1149</v>
      </c>
      <c r="J291" s="1027"/>
    </row>
    <row r="292" spans="1:10" s="1032" customFormat="1" ht="12" customHeight="1">
      <c r="A292" s="1039" t="s">
        <v>78</v>
      </c>
      <c r="B292" s="558" t="s">
        <v>1098</v>
      </c>
      <c r="C292" s="1039">
        <v>0</v>
      </c>
      <c r="D292" s="654">
        <v>300</v>
      </c>
      <c r="E292" s="1041">
        <v>0</v>
      </c>
      <c r="F292" s="1032" t="s">
        <v>1150</v>
      </c>
      <c r="J292" s="1027"/>
    </row>
    <row r="293" spans="1:10" s="1032" customFormat="1" ht="12" customHeight="1">
      <c r="A293" s="652" t="s">
        <v>79</v>
      </c>
      <c r="B293" s="977" t="s">
        <v>1099</v>
      </c>
      <c r="C293" s="654">
        <v>0</v>
      </c>
      <c r="D293" s="1126">
        <f>835+717</f>
        <v>1552</v>
      </c>
      <c r="E293" s="1041">
        <v>0</v>
      </c>
      <c r="F293" s="1134" t="s">
        <v>1150</v>
      </c>
      <c r="J293" s="1027"/>
    </row>
    <row r="294" spans="1:10" s="1032" customFormat="1" ht="12" customHeight="1">
      <c r="A294" s="1039" t="s">
        <v>80</v>
      </c>
      <c r="B294" s="977" t="s">
        <v>1100</v>
      </c>
      <c r="C294" s="654">
        <v>0</v>
      </c>
      <c r="D294" s="654">
        <v>9165</v>
      </c>
      <c r="E294" s="1041">
        <v>0</v>
      </c>
      <c r="F294" s="1032" t="s">
        <v>1150</v>
      </c>
      <c r="J294" s="1027"/>
    </row>
    <row r="295" spans="1:10" s="1032" customFormat="1" ht="12" customHeight="1">
      <c r="A295" s="1039" t="s">
        <v>81</v>
      </c>
      <c r="B295" s="558" t="s">
        <v>1171</v>
      </c>
      <c r="C295" s="654">
        <v>0</v>
      </c>
      <c r="D295" s="1244">
        <f>5000-2000-2099</f>
        <v>901</v>
      </c>
      <c r="E295" s="1041">
        <v>0</v>
      </c>
      <c r="F295" s="643" t="s">
        <v>1150</v>
      </c>
      <c r="J295" s="1027"/>
    </row>
    <row r="296" spans="1:10" s="1032" customFormat="1" ht="12" customHeight="1">
      <c r="A296" s="652" t="s">
        <v>82</v>
      </c>
      <c r="B296" s="558" t="s">
        <v>1172</v>
      </c>
      <c r="C296" s="654">
        <v>0</v>
      </c>
      <c r="D296" s="654">
        <v>800</v>
      </c>
      <c r="E296" s="1041">
        <v>0</v>
      </c>
      <c r="F296" s="643" t="s">
        <v>1150</v>
      </c>
      <c r="J296" s="1027"/>
    </row>
    <row r="297" spans="1:10" s="1032" customFormat="1" ht="12" customHeight="1">
      <c r="A297" s="1039" t="s">
        <v>83</v>
      </c>
      <c r="B297" s="977" t="s">
        <v>1173</v>
      </c>
      <c r="C297" s="1040">
        <v>0</v>
      </c>
      <c r="D297" s="1126">
        <f>14500-3378</f>
        <v>11122</v>
      </c>
      <c r="E297" s="1041">
        <v>0</v>
      </c>
      <c r="F297" s="1134" t="s">
        <v>1150</v>
      </c>
      <c r="J297" s="1027"/>
    </row>
    <row r="298" spans="1:10" s="1032" customFormat="1" ht="12" customHeight="1">
      <c r="A298" s="1039" t="s">
        <v>84</v>
      </c>
      <c r="B298" s="558" t="s">
        <v>1174</v>
      </c>
      <c r="C298" s="654">
        <v>0</v>
      </c>
      <c r="D298" s="1126">
        <f>19500+776</f>
        <v>20276</v>
      </c>
      <c r="E298" s="1041">
        <v>0</v>
      </c>
      <c r="F298" s="1134" t="s">
        <v>1150</v>
      </c>
      <c r="J298" s="1027"/>
    </row>
    <row r="299" spans="1:10" s="1032" customFormat="1" ht="12" customHeight="1">
      <c r="A299" s="1039"/>
      <c r="B299" s="558" t="s">
        <v>1207</v>
      </c>
      <c r="C299" s="654"/>
      <c r="D299" s="654">
        <v>2470</v>
      </c>
      <c r="E299" s="1041"/>
      <c r="F299" s="643" t="s">
        <v>1150</v>
      </c>
      <c r="J299" s="1027"/>
    </row>
    <row r="300" spans="1:10" s="1032" customFormat="1" ht="12" customHeight="1">
      <c r="A300" s="1039"/>
      <c r="B300" s="558" t="s">
        <v>1230</v>
      </c>
      <c r="C300" s="654"/>
      <c r="D300" s="654">
        <v>3500</v>
      </c>
      <c r="E300" s="654"/>
      <c r="F300" s="643" t="s">
        <v>1150</v>
      </c>
      <c r="J300" s="1027"/>
    </row>
    <row r="301" spans="2:10" s="1032" customFormat="1" ht="12" customHeight="1" thickBot="1">
      <c r="B301" s="558" t="s">
        <v>1314</v>
      </c>
      <c r="C301" s="685"/>
      <c r="D301" s="1126">
        <v>2000</v>
      </c>
      <c r="E301" s="685"/>
      <c r="F301" s="1134"/>
      <c r="G301" s="1032" t="s">
        <v>1150</v>
      </c>
      <c r="J301" s="1027"/>
    </row>
    <row r="302" spans="1:10" s="643" customFormat="1" ht="12" customHeight="1">
      <c r="A302" s="1042" t="s">
        <v>107</v>
      </c>
      <c r="B302" s="1043"/>
      <c r="C302" s="1044">
        <f>SUM(C288:C298)</f>
        <v>4304</v>
      </c>
      <c r="D302" s="1044">
        <f>SUM(D288:D301)</f>
        <v>53107</v>
      </c>
      <c r="E302" s="1045">
        <f aca="true" t="shared" si="3" ref="E302:E311">D302/C302</f>
        <v>12.338986988847584</v>
      </c>
      <c r="J302" s="685"/>
    </row>
    <row r="303" spans="2:10" s="643" customFormat="1" ht="12" customHeight="1">
      <c r="B303" s="1046"/>
      <c r="C303" s="685"/>
      <c r="D303" s="685"/>
      <c r="E303" s="685"/>
      <c r="J303" s="685"/>
    </row>
    <row r="304" spans="1:10" s="643" customFormat="1" ht="12" customHeight="1">
      <c r="A304" s="1068" t="s">
        <v>1101</v>
      </c>
      <c r="B304" s="1069"/>
      <c r="C304" s="1070">
        <f>C277+C285+C302</f>
        <v>21584</v>
      </c>
      <c r="D304" s="1070">
        <f>D277+D285+D302</f>
        <v>458211</v>
      </c>
      <c r="E304" s="1073">
        <f>D304/C304</f>
        <v>21.229197553743514</v>
      </c>
      <c r="G304" s="685">
        <f>D266</f>
        <v>1695625</v>
      </c>
      <c r="J304" s="685"/>
    </row>
    <row r="305" spans="1:10" s="643" customFormat="1" ht="12" customHeight="1" thickBot="1">
      <c r="A305" s="1074"/>
      <c r="B305" s="1046"/>
      <c r="C305" s="1075"/>
      <c r="D305" s="685"/>
      <c r="E305" s="1076"/>
      <c r="J305" s="685"/>
    </row>
    <row r="306" spans="1:10" s="643" customFormat="1" ht="12" customHeight="1" thickBot="1">
      <c r="A306" s="1077" t="s">
        <v>1102</v>
      </c>
      <c r="B306" s="1078"/>
      <c r="C306" s="1079">
        <f>C266+C304</f>
        <v>3849696</v>
      </c>
      <c r="D306" s="1080">
        <f>D266+D304</f>
        <v>2153836</v>
      </c>
      <c r="E306" s="1081">
        <f t="shared" si="3"/>
        <v>0.5594820993657681</v>
      </c>
      <c r="J306" s="685"/>
    </row>
    <row r="307" spans="1:10" s="643" customFormat="1" ht="12" customHeight="1">
      <c r="A307" s="1048"/>
      <c r="B307" s="1082"/>
      <c r="C307" s="646"/>
      <c r="D307" s="685"/>
      <c r="J307" s="685"/>
    </row>
    <row r="308" spans="1:10" s="643" customFormat="1" ht="12" customHeight="1">
      <c r="A308" s="1357" t="s">
        <v>1103</v>
      </c>
      <c r="B308" s="1358"/>
      <c r="C308" s="657">
        <v>109713</v>
      </c>
      <c r="D308" s="1205">
        <f>76758+243242</f>
        <v>320000</v>
      </c>
      <c r="E308" s="1041">
        <f t="shared" si="3"/>
        <v>2.9167008467547144</v>
      </c>
      <c r="F308" s="1134" t="s">
        <v>1150</v>
      </c>
      <c r="H308" s="643">
        <v>105685</v>
      </c>
      <c r="I308" s="643">
        <f>H308*0.5</f>
        <v>52842.5</v>
      </c>
      <c r="J308" s="685">
        <v>84548</v>
      </c>
    </row>
    <row r="309" spans="1:10" s="643" customFormat="1" ht="12" customHeight="1">
      <c r="A309" s="1357" t="s">
        <v>1104</v>
      </c>
      <c r="B309" s="1358"/>
      <c r="C309" s="657">
        <v>39127</v>
      </c>
      <c r="D309" s="657">
        <v>24431</v>
      </c>
      <c r="E309" s="1041">
        <f t="shared" si="3"/>
        <v>0.624402586449255</v>
      </c>
      <c r="F309" s="643" t="s">
        <v>1150</v>
      </c>
      <c r="H309" s="643">
        <v>30002</v>
      </c>
      <c r="I309" s="643">
        <f>H309*0.5</f>
        <v>15001</v>
      </c>
      <c r="J309" s="685">
        <v>24002</v>
      </c>
    </row>
    <row r="310" spans="1:10" s="643" customFormat="1" ht="12" customHeight="1">
      <c r="A310" s="1357" t="s">
        <v>1105</v>
      </c>
      <c r="B310" s="1358"/>
      <c r="C310" s="1083">
        <v>152394</v>
      </c>
      <c r="D310" s="657">
        <v>109350</v>
      </c>
      <c r="E310" s="1041">
        <f t="shared" si="3"/>
        <v>0.7175479349580692</v>
      </c>
      <c r="F310" s="643" t="s">
        <v>1150</v>
      </c>
      <c r="H310" s="643">
        <v>154717</v>
      </c>
      <c r="I310" s="643">
        <f>H310*0.5</f>
        <v>77358.5</v>
      </c>
      <c r="J310" s="685">
        <v>123774</v>
      </c>
    </row>
    <row r="311" spans="1:10" s="1032" customFormat="1" ht="12" customHeight="1">
      <c r="A311" s="1357" t="s">
        <v>1106</v>
      </c>
      <c r="B311" s="1358"/>
      <c r="C311" s="1083">
        <v>189016</v>
      </c>
      <c r="D311" s="1205">
        <f>123724-9886</f>
        <v>113838</v>
      </c>
      <c r="E311" s="1041">
        <f t="shared" si="3"/>
        <v>0.6022664747957844</v>
      </c>
      <c r="F311" s="1134" t="s">
        <v>1150</v>
      </c>
      <c r="H311" s="1032">
        <v>178729</v>
      </c>
      <c r="I311" s="643">
        <f>H311*0.5</f>
        <v>89364.5</v>
      </c>
      <c r="J311" s="1027">
        <v>142983</v>
      </c>
    </row>
    <row r="312" spans="1:10" s="1032" customFormat="1" ht="12" customHeight="1" hidden="1">
      <c r="A312" s="1357"/>
      <c r="B312" s="1358"/>
      <c r="C312" s="1083"/>
      <c r="D312" s="1083"/>
      <c r="E312" s="1041"/>
      <c r="G312" s="1027">
        <f>D306+D308+D309+D310+D311+D312</f>
        <v>2721455</v>
      </c>
      <c r="J312" s="1027"/>
    </row>
    <row r="313" spans="1:10" s="1032" customFormat="1" ht="12" customHeight="1">
      <c r="A313" s="643"/>
      <c r="B313" s="1084" t="s">
        <v>1107</v>
      </c>
      <c r="C313" s="1051">
        <f>SUM(C308:C312)</f>
        <v>490250</v>
      </c>
      <c r="D313" s="1051">
        <f>SUM(D308:D312)</f>
        <v>567619</v>
      </c>
      <c r="E313" s="1085">
        <f>D313/C313</f>
        <v>1.1578154003059664</v>
      </c>
      <c r="G313" s="1027">
        <f>D308+D309+D310+D311+D312</f>
        <v>567619</v>
      </c>
      <c r="J313" s="1027">
        <f>SUM(J308:J312)</f>
        <v>375307</v>
      </c>
    </row>
    <row r="314" spans="1:10" s="1032" customFormat="1" ht="12" customHeight="1">
      <c r="A314" s="643"/>
      <c r="B314" s="1033"/>
      <c r="C314" s="1047"/>
      <c r="D314" s="1047"/>
      <c r="J314" s="1027"/>
    </row>
    <row r="315" spans="2:10" s="643" customFormat="1" ht="12" customHeight="1">
      <c r="B315" s="1046"/>
      <c r="C315" s="685"/>
      <c r="D315" s="685"/>
      <c r="J315" s="685"/>
    </row>
    <row r="316" spans="2:10" s="643" customFormat="1" ht="12" customHeight="1">
      <c r="B316" s="1046"/>
      <c r="C316" s="685"/>
      <c r="D316" s="685"/>
      <c r="J316" s="685"/>
    </row>
    <row r="317" spans="2:10" s="643" customFormat="1" ht="12" customHeight="1">
      <c r="B317" s="1046"/>
      <c r="C317" s="685"/>
      <c r="D317" s="685"/>
      <c r="J317" s="685"/>
    </row>
    <row r="318" spans="1:10" s="643" customFormat="1" ht="12" customHeight="1">
      <c r="A318" s="645"/>
      <c r="B318" s="1086"/>
      <c r="C318" s="646"/>
      <c r="D318" s="646"/>
      <c r="J318" s="685"/>
    </row>
    <row r="319" spans="1:10" s="643" customFormat="1" ht="12" customHeight="1">
      <c r="A319" s="645"/>
      <c r="B319" s="1086"/>
      <c r="C319" s="646"/>
      <c r="D319" s="685"/>
      <c r="J319" s="685"/>
    </row>
    <row r="320" spans="1:10" s="643" customFormat="1" ht="12" customHeight="1">
      <c r="A320" s="1048"/>
      <c r="B320" s="1046"/>
      <c r="C320" s="685"/>
      <c r="D320" s="685"/>
      <c r="J320" s="685"/>
    </row>
    <row r="321" spans="2:10" s="643" customFormat="1" ht="12" customHeight="1">
      <c r="B321" s="1046"/>
      <c r="C321" s="685"/>
      <c r="D321" s="685"/>
      <c r="J321" s="685"/>
    </row>
    <row r="322" spans="2:10" s="1032" customFormat="1" ht="12" customHeight="1">
      <c r="B322" s="1033"/>
      <c r="C322" s="643"/>
      <c r="D322" s="685"/>
      <c r="J322" s="1027"/>
    </row>
    <row r="323" spans="1:10" s="1032" customFormat="1" ht="12" customHeight="1">
      <c r="A323" s="645"/>
      <c r="B323" s="1086"/>
      <c r="C323" s="646"/>
      <c r="D323" s="646"/>
      <c r="J323" s="1027"/>
    </row>
    <row r="324" spans="2:10" s="1032" customFormat="1" ht="12" customHeight="1">
      <c r="B324" s="1033"/>
      <c r="C324" s="646"/>
      <c r="D324" s="685"/>
      <c r="J324" s="1027"/>
    </row>
    <row r="325" spans="1:10" s="1032" customFormat="1" ht="12" customHeight="1">
      <c r="A325" s="1037"/>
      <c r="B325" s="1033"/>
      <c r="C325" s="646"/>
      <c r="D325" s="646"/>
      <c r="J325" s="1027"/>
    </row>
    <row r="326" spans="2:10" s="1032" customFormat="1" ht="12" customHeight="1">
      <c r="B326" s="1033"/>
      <c r="C326" s="685"/>
      <c r="D326" s="685"/>
      <c r="J326" s="1027"/>
    </row>
    <row r="327" spans="1:10" s="1032" customFormat="1" ht="12" customHeight="1">
      <c r="A327" s="1065"/>
      <c r="B327" s="1055"/>
      <c r="C327" s="646"/>
      <c r="D327" s="646"/>
      <c r="J327" s="1027"/>
    </row>
    <row r="328" spans="2:10" s="1032" customFormat="1" ht="12" customHeight="1">
      <c r="B328" s="1084"/>
      <c r="C328" s="646"/>
      <c r="D328" s="685"/>
      <c r="J328" s="1027"/>
    </row>
    <row r="329" spans="2:10" s="1032" customFormat="1" ht="12" customHeight="1">
      <c r="B329" s="1050"/>
      <c r="C329" s="646"/>
      <c r="D329" s="646"/>
      <c r="J329" s="1027"/>
    </row>
    <row r="330" spans="2:10" s="1032" customFormat="1" ht="12" customHeight="1">
      <c r="B330" s="1086"/>
      <c r="C330" s="646"/>
      <c r="D330" s="646"/>
      <c r="J330" s="1027"/>
    </row>
    <row r="331" spans="2:10" s="1032" customFormat="1" ht="12" customHeight="1">
      <c r="B331" s="1086"/>
      <c r="C331" s="646"/>
      <c r="D331" s="646"/>
      <c r="J331" s="1027"/>
    </row>
    <row r="332" spans="2:10" s="1032" customFormat="1" ht="12" customHeight="1">
      <c r="B332" s="1086"/>
      <c r="C332" s="646"/>
      <c r="D332" s="646"/>
      <c r="E332" s="1027"/>
      <c r="J332" s="1027"/>
    </row>
    <row r="333" spans="2:10" s="1032" customFormat="1" ht="12" customHeight="1">
      <c r="B333" s="1033"/>
      <c r="C333" s="646"/>
      <c r="D333" s="646"/>
      <c r="J333" s="1027"/>
    </row>
    <row r="334" spans="2:10" s="1032" customFormat="1" ht="12" customHeight="1">
      <c r="B334" s="1033"/>
      <c r="C334" s="643"/>
      <c r="D334" s="685"/>
      <c r="J334" s="1027"/>
    </row>
    <row r="335" spans="2:10" s="1032" customFormat="1" ht="12" customHeight="1">
      <c r="B335" s="1033"/>
      <c r="C335" s="643"/>
      <c r="D335" s="685"/>
      <c r="J335" s="1027"/>
    </row>
  </sheetData>
  <sheetProtection/>
  <mergeCells count="9">
    <mergeCell ref="A310:B310"/>
    <mergeCell ref="A311:B311"/>
    <mergeCell ref="A312:B312"/>
    <mergeCell ref="A1:E1"/>
    <mergeCell ref="A2:E2"/>
    <mergeCell ref="A3:E3"/>
    <mergeCell ref="A4:E4"/>
    <mergeCell ref="A308:B308"/>
    <mergeCell ref="A309:B309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74"/>
  <sheetViews>
    <sheetView zoomScalePageLayoutView="0" workbookViewId="0" topLeftCell="A30">
      <selection activeCell="D38" sqref="D38"/>
    </sheetView>
  </sheetViews>
  <sheetFormatPr defaultColWidth="9.00390625" defaultRowHeight="12.75"/>
  <cols>
    <col min="1" max="1" width="9.625" style="313" customWidth="1"/>
    <col min="2" max="2" width="9.625" style="314" customWidth="1"/>
    <col min="3" max="3" width="72.00390625" style="314" customWidth="1"/>
    <col min="4" max="4" width="25.00390625" style="314" customWidth="1"/>
    <col min="5" max="16384" width="9.375" style="4" customWidth="1"/>
  </cols>
  <sheetData>
    <row r="1" spans="1:4" s="2" customFormat="1" ht="21" customHeight="1" thickBot="1">
      <c r="A1" s="273"/>
      <c r="B1" s="274"/>
      <c r="C1" s="275"/>
      <c r="D1" s="1122" t="s">
        <v>1185</v>
      </c>
    </row>
    <row r="2" spans="1:4" s="109" customFormat="1" ht="25.5" customHeight="1" thickBot="1">
      <c r="A2" s="1323" t="s">
        <v>339</v>
      </c>
      <c r="B2" s="1324"/>
      <c r="C2" s="1115" t="s">
        <v>804</v>
      </c>
      <c r="D2" s="1118" t="s">
        <v>123</v>
      </c>
    </row>
    <row r="3" spans="1:4" s="109" customFormat="1" ht="16.5" hidden="1" thickBot="1">
      <c r="A3" s="1112" t="s">
        <v>338</v>
      </c>
      <c r="B3" s="1113"/>
      <c r="C3" s="1117"/>
      <c r="D3" s="518" t="s">
        <v>374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7411</v>
      </c>
    </row>
    <row r="9" spans="1:4" s="111" customFormat="1" ht="12" customHeight="1">
      <c r="A9" s="289"/>
      <c r="B9" s="288" t="s">
        <v>172</v>
      </c>
      <c r="C9" s="12" t="s">
        <v>266</v>
      </c>
      <c r="D9" s="495"/>
    </row>
    <row r="10" spans="1:4" s="111" customFormat="1" ht="12" customHeight="1">
      <c r="A10" s="287"/>
      <c r="B10" s="288" t="s">
        <v>173</v>
      </c>
      <c r="C10" s="9" t="s">
        <v>267</v>
      </c>
      <c r="D10" s="438">
        <f>'P1'!H40+'P1'!H59</f>
        <v>5809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v>0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f>'P1'!H150</f>
        <v>1596</v>
      </c>
    </row>
    <row r="15" spans="1:4" s="112" customFormat="1" ht="12" customHeight="1">
      <c r="A15" s="287"/>
      <c r="B15" s="288" t="s">
        <v>177</v>
      </c>
      <c r="C15" s="9" t="s">
        <v>26</v>
      </c>
      <c r="D15" s="438"/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f>'P1'!H144</f>
        <v>6</v>
      </c>
    </row>
    <row r="17" spans="1:4" s="111" customFormat="1" ht="12" customHeight="1" thickBot="1">
      <c r="A17" s="240" t="s">
        <v>75</v>
      </c>
      <c r="B17" s="285"/>
      <c r="C17" s="286" t="s">
        <v>544</v>
      </c>
      <c r="D17" s="440">
        <f>D18+D24</f>
        <v>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0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v>0</v>
      </c>
    </row>
    <row r="21" spans="1:6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0</v>
      </c>
      <c r="F21" s="616" t="s">
        <v>543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2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f>'P1'!H252</f>
        <v>0</v>
      </c>
    </row>
    <row r="24" spans="1:4" s="112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2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2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6" s="112" customFormat="1" ht="12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  <c r="F27" s="616" t="s">
        <v>543</v>
      </c>
    </row>
    <row r="28" spans="1:4" s="112" customFormat="1" ht="12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s="112" customFormat="1" ht="12" customHeight="1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s="112" customFormat="1" ht="12" customHeight="1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112" customFormat="1" ht="12" customHeight="1">
      <c r="A31" s="489"/>
      <c r="B31" s="517" t="s">
        <v>152</v>
      </c>
      <c r="C31" s="165" t="s">
        <v>384</v>
      </c>
      <c r="D31" s="521">
        <v>0</v>
      </c>
    </row>
    <row r="32" spans="1:4" s="112" customFormat="1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s="112" customFormat="1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s="111" customFormat="1" ht="12" customHeight="1" thickBot="1">
      <c r="A34" s="248" t="s">
        <v>78</v>
      </c>
      <c r="B34" s="285"/>
      <c r="C34" s="147" t="s">
        <v>29</v>
      </c>
      <c r="D34" s="470">
        <f>'P1'!H323</f>
        <v>121713</v>
      </c>
    </row>
    <row r="35" spans="1:4" s="111" customFormat="1" ht="12" customHeight="1" thickBot="1">
      <c r="A35" s="240" t="s">
        <v>79</v>
      </c>
      <c r="B35" s="194"/>
      <c r="C35" s="147" t="s">
        <v>34</v>
      </c>
      <c r="D35" s="499">
        <f>+D8+D17+D30+D33+D34</f>
        <v>129124</v>
      </c>
    </row>
    <row r="36" spans="1:4" s="111" customFormat="1" ht="12" customHeight="1" thickBot="1">
      <c r="A36" s="512" t="s">
        <v>80</v>
      </c>
      <c r="B36" s="519"/>
      <c r="C36" s="514" t="s">
        <v>30</v>
      </c>
      <c r="D36" s="523">
        <f>+D37+D38</f>
        <v>33578</v>
      </c>
    </row>
    <row r="37" spans="1:4" s="111" customFormat="1" ht="12" customHeight="1">
      <c r="A37" s="289"/>
      <c r="B37" s="192" t="s">
        <v>166</v>
      </c>
      <c r="C37" s="165" t="s">
        <v>478</v>
      </c>
      <c r="D37" s="521">
        <v>33578</v>
      </c>
    </row>
    <row r="38" spans="1:4" s="112" customFormat="1" ht="12" customHeight="1" thickBot="1">
      <c r="A38" s="520"/>
      <c r="B38" s="193" t="s">
        <v>167</v>
      </c>
      <c r="C38" s="513" t="s">
        <v>31</v>
      </c>
      <c r="D38" s="97">
        <v>0</v>
      </c>
    </row>
    <row r="39" spans="1:4" s="112" customFormat="1" ht="12" customHeight="1" thickBot="1">
      <c r="A39" s="299" t="s">
        <v>81</v>
      </c>
      <c r="B39" s="510"/>
      <c r="C39" s="511" t="s">
        <v>32</v>
      </c>
      <c r="D39" s="497">
        <v>0</v>
      </c>
    </row>
    <row r="40" spans="1:4" s="112" customFormat="1" ht="15" customHeight="1" thickBot="1">
      <c r="A40" s="299" t="s">
        <v>82</v>
      </c>
      <c r="B40" s="300"/>
      <c r="C40" s="301" t="s">
        <v>33</v>
      </c>
      <c r="D40" s="503">
        <f>+D35+D36+D39</f>
        <v>162702</v>
      </c>
    </row>
    <row r="41" spans="1:4" s="112" customFormat="1" ht="15" customHeight="1">
      <c r="A41" s="302"/>
      <c r="B41" s="302"/>
      <c r="C41" s="303"/>
      <c r="D41" s="501"/>
    </row>
    <row r="42" spans="1:4" ht="13.5" thickBot="1">
      <c r="A42" s="304"/>
      <c r="B42" s="305"/>
      <c r="C42" s="305"/>
      <c r="D42" s="502"/>
    </row>
    <row r="43" spans="1:4" s="67" customFormat="1" ht="16.5" customHeight="1" thickBot="1">
      <c r="A43" s="306"/>
      <c r="B43" s="307"/>
      <c r="C43" s="308" t="s">
        <v>119</v>
      </c>
      <c r="D43" s="503"/>
    </row>
    <row r="44" spans="1:4" s="113" customFormat="1" ht="12" customHeight="1" thickBot="1">
      <c r="A44" s="248" t="s">
        <v>74</v>
      </c>
      <c r="B44" s="24"/>
      <c r="C44" s="147" t="s">
        <v>22</v>
      </c>
      <c r="D44" s="440">
        <f>SUM(D45:D49)</f>
        <v>155543</v>
      </c>
    </row>
    <row r="45" spans="1:4" ht="12" customHeight="1">
      <c r="A45" s="309"/>
      <c r="B45" s="191" t="s">
        <v>172</v>
      </c>
      <c r="C45" s="11" t="s">
        <v>105</v>
      </c>
      <c r="D45" s="90">
        <f>'P2'!D69</f>
        <v>102255</v>
      </c>
    </row>
    <row r="46" spans="1:4" ht="12" customHeight="1">
      <c r="A46" s="310"/>
      <c r="B46" s="174" t="s">
        <v>173</v>
      </c>
      <c r="C46" s="9" t="s">
        <v>298</v>
      </c>
      <c r="D46" s="93">
        <f>'P2'!G69</f>
        <v>28140</v>
      </c>
    </row>
    <row r="47" spans="1:4" ht="12" customHeight="1">
      <c r="A47" s="310"/>
      <c r="B47" s="174" t="s">
        <v>174</v>
      </c>
      <c r="C47" s="9" t="s">
        <v>215</v>
      </c>
      <c r="D47" s="93">
        <f>'P2'!J69</f>
        <v>25148</v>
      </c>
    </row>
    <row r="48" spans="1:4" ht="12" customHeight="1">
      <c r="A48" s="310"/>
      <c r="B48" s="174" t="s">
        <v>175</v>
      </c>
      <c r="C48" s="9" t="s">
        <v>299</v>
      </c>
      <c r="D48" s="93">
        <f>'P2'!M69</f>
        <v>0</v>
      </c>
    </row>
    <row r="49" spans="1:4" ht="12" customHeight="1" thickBot="1">
      <c r="A49" s="310"/>
      <c r="B49" s="174" t="s">
        <v>186</v>
      </c>
      <c r="C49" s="9" t="s">
        <v>300</v>
      </c>
      <c r="D49" s="93">
        <f>'P2'!P69+'P2'!S69</f>
        <v>0</v>
      </c>
    </row>
    <row r="50" spans="1:4" ht="12" customHeight="1" hidden="1">
      <c r="A50" s="310"/>
      <c r="B50" s="174"/>
      <c r="C50" s="614" t="str">
        <f>4!B82</f>
        <v> - az 1.5-ből: - Lakosságnak juttatott támogatások</v>
      </c>
      <c r="D50" s="619"/>
    </row>
    <row r="51" spans="1:4" ht="12" customHeight="1" hidden="1">
      <c r="A51" s="310"/>
      <c r="B51" s="174"/>
      <c r="C51" s="614" t="str">
        <f>4!B83</f>
        <v>   - Szociális, rászorultság jellegű ellátások</v>
      </c>
      <c r="D51" s="619"/>
    </row>
    <row r="52" spans="1:4" ht="12" customHeight="1" hidden="1">
      <c r="A52" s="310"/>
      <c r="B52" s="174"/>
      <c r="C52" s="614" t="str">
        <f>4!B84</f>
        <v>   - Működési célú pénzeszköz átadás államháztartáson belülre</v>
      </c>
      <c r="D52" s="619">
        <f>'P2'!P69</f>
        <v>0</v>
      </c>
    </row>
    <row r="53" spans="1:4" ht="12" customHeight="1" hidden="1">
      <c r="A53" s="310"/>
      <c r="B53" s="174"/>
      <c r="C53" s="614" t="str">
        <f>4!B85</f>
        <v>   - Működési célú pénzeszköz átadás államháztartáson kívülre</v>
      </c>
      <c r="D53" s="619">
        <f>'P2'!S69</f>
        <v>0</v>
      </c>
    </row>
    <row r="54" spans="1:4" ht="12" customHeight="1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2" customHeight="1" hidden="1">
      <c r="A55" s="310"/>
      <c r="B55" s="174"/>
      <c r="C55" s="614" t="str">
        <f>4!B87</f>
        <v>   - Kamatkiadások</v>
      </c>
      <c r="D55" s="619"/>
    </row>
    <row r="56" spans="1:4" ht="12" customHeight="1" hidden="1" thickBot="1">
      <c r="A56" s="310"/>
      <c r="B56" s="174"/>
      <c r="C56" s="614" t="str">
        <f>4!B88</f>
        <v>   - Pénzforgalom nélküli kiadások</v>
      </c>
      <c r="D56" s="619"/>
    </row>
    <row r="57" spans="1:4" ht="12" customHeight="1" thickBot="1">
      <c r="A57" s="248" t="s">
        <v>75</v>
      </c>
      <c r="B57" s="24"/>
      <c r="C57" s="147" t="s">
        <v>38</v>
      </c>
      <c r="D57" s="440">
        <f>SUM(D58:D61)</f>
        <v>7159</v>
      </c>
    </row>
    <row r="58" spans="1:4" s="113" customFormat="1" ht="12" customHeight="1">
      <c r="A58" s="309"/>
      <c r="B58" s="191" t="s">
        <v>178</v>
      </c>
      <c r="C58" s="11" t="s">
        <v>417</v>
      </c>
      <c r="D58" s="90">
        <f>'P3'!D26</f>
        <v>7159</v>
      </c>
    </row>
    <row r="59" spans="1:4" ht="12" customHeight="1">
      <c r="A59" s="310"/>
      <c r="B59" s="174" t="s">
        <v>179</v>
      </c>
      <c r="C59" s="9" t="s">
        <v>302</v>
      </c>
      <c r="D59" s="93">
        <v>0</v>
      </c>
    </row>
    <row r="60" spans="1:4" ht="12" customHeight="1">
      <c r="A60" s="310"/>
      <c r="B60" s="174" t="s">
        <v>180</v>
      </c>
      <c r="C60" s="9" t="s">
        <v>120</v>
      </c>
      <c r="D60" s="93">
        <v>0</v>
      </c>
    </row>
    <row r="61" spans="1:4" ht="12" customHeight="1" thickBot="1">
      <c r="A61" s="310"/>
      <c r="B61" s="174" t="s">
        <v>181</v>
      </c>
      <c r="C61" s="9" t="s">
        <v>35</v>
      </c>
      <c r="D61" s="93">
        <v>0</v>
      </c>
    </row>
    <row r="62" spans="1:4" ht="12" customHeight="1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" customHeight="1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" customHeight="1" hidden="1">
      <c r="A64" s="310"/>
      <c r="B64" s="174"/>
      <c r="C64" s="614" t="str">
        <f>4!B95</f>
        <v>               - Pénzügyi befektetések kiadásai</v>
      </c>
      <c r="D64" s="619"/>
    </row>
    <row r="65" spans="1:4" ht="12" customHeight="1" hidden="1">
      <c r="A65" s="310"/>
      <c r="B65" s="174"/>
      <c r="C65" s="614" t="str">
        <f>4!B96</f>
        <v>- Lakástámogatás</v>
      </c>
      <c r="D65" s="619"/>
    </row>
    <row r="66" spans="1:4" ht="12" customHeight="1" hidden="1">
      <c r="A66" s="310"/>
      <c r="B66" s="174"/>
      <c r="C66" s="614" t="str">
        <f>4!B97</f>
        <v>- Lakásépítés</v>
      </c>
      <c r="D66" s="619"/>
    </row>
    <row r="67" spans="1:4" ht="12" customHeight="1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2" customHeight="1" thickBot="1">
      <c r="A68" s="248" t="s">
        <v>76</v>
      </c>
      <c r="B68" s="24"/>
      <c r="C68" s="24" t="s">
        <v>36</v>
      </c>
      <c r="D68" s="470">
        <v>0</v>
      </c>
    </row>
    <row r="69" spans="1:4" s="112" customFormat="1" ht="12" customHeight="1" thickBot="1">
      <c r="A69" s="299" t="s">
        <v>77</v>
      </c>
      <c r="B69" s="510"/>
      <c r="C69" s="511" t="s">
        <v>39</v>
      </c>
      <c r="D69" s="497">
        <v>0</v>
      </c>
    </row>
    <row r="70" spans="1:4" ht="15" customHeight="1" thickBot="1">
      <c r="A70" s="248" t="s">
        <v>78</v>
      </c>
      <c r="B70" s="296"/>
      <c r="C70" s="312" t="s">
        <v>37</v>
      </c>
      <c r="D70" s="508">
        <f>+D44+D57+D68+D69</f>
        <v>162702</v>
      </c>
    </row>
    <row r="71" ht="13.5" thickBot="1">
      <c r="D71" s="509"/>
    </row>
    <row r="72" spans="1:4" ht="15" customHeight="1" thickBot="1">
      <c r="A72" s="315" t="s">
        <v>342</v>
      </c>
      <c r="B72" s="316"/>
      <c r="C72" s="317"/>
      <c r="D72" s="144"/>
    </row>
    <row r="73" spans="1:4" ht="15" customHeight="1" thickBot="1">
      <c r="A73" s="1010" t="s">
        <v>997</v>
      </c>
      <c r="B73" s="316"/>
      <c r="C73" s="317"/>
      <c r="D73" s="144"/>
    </row>
    <row r="74" spans="1:4" ht="14.25" customHeight="1" thickBot="1">
      <c r="A74" s="315" t="s">
        <v>343</v>
      </c>
      <c r="B74" s="316"/>
      <c r="C74" s="317"/>
      <c r="D74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5" width="9.375" style="886" customWidth="1"/>
    <col min="6" max="6" width="18.00390625" style="886" customWidth="1"/>
    <col min="7" max="7" width="15.00390625" style="886" customWidth="1"/>
    <col min="8" max="8" width="11.125" style="886" customWidth="1"/>
    <col min="9" max="16384" width="9.375" style="886" customWidth="1"/>
  </cols>
  <sheetData>
    <row r="1" ht="12.75">
      <c r="H1" s="887" t="s">
        <v>1191</v>
      </c>
    </row>
    <row r="3" ht="18.75">
      <c r="B3" s="888" t="s">
        <v>867</v>
      </c>
    </row>
    <row r="4" ht="52.5" customHeight="1" thickBot="1"/>
    <row r="5" spans="2:8" ht="13.5" thickBot="1">
      <c r="B5" s="1277" t="s">
        <v>1175</v>
      </c>
      <c r="C5" s="1278"/>
      <c r="D5" s="1278"/>
      <c r="E5" s="1278"/>
      <c r="F5" s="1278"/>
      <c r="G5" s="1278"/>
      <c r="H5" s="1279"/>
    </row>
    <row r="6" spans="2:8" ht="12.75">
      <c r="B6" s="1274" t="s">
        <v>1227</v>
      </c>
      <c r="C6" s="1275"/>
      <c r="D6" s="1275"/>
      <c r="E6" s="1275"/>
      <c r="F6" s="1275"/>
      <c r="G6" s="1275"/>
      <c r="H6" s="1276"/>
    </row>
    <row r="7" spans="2:8" ht="12.75">
      <c r="B7" s="1265"/>
      <c r="C7" s="1266"/>
      <c r="D7" s="1266"/>
      <c r="E7" s="1266"/>
      <c r="F7" s="1266"/>
      <c r="G7" s="1266"/>
      <c r="H7" s="1267"/>
    </row>
    <row r="8" spans="2:8" ht="13.5" thickBot="1">
      <c r="B8" s="1268"/>
      <c r="C8" s="1269"/>
      <c r="D8" s="1269"/>
      <c r="E8" s="1269"/>
      <c r="F8" s="1269"/>
      <c r="G8" s="1269"/>
      <c r="H8" s="1270"/>
    </row>
    <row r="9" spans="2:8" ht="13.5" thickBot="1">
      <c r="B9" s="889"/>
      <c r="C9" s="889"/>
      <c r="D9" s="889"/>
      <c r="E9" s="889"/>
      <c r="F9" s="889"/>
      <c r="G9" s="889"/>
      <c r="H9" s="889"/>
    </row>
    <row r="10" spans="2:8" ht="13.5" thickBot="1">
      <c r="B10" s="1277" t="s">
        <v>868</v>
      </c>
      <c r="C10" s="1278"/>
      <c r="D10" s="1278"/>
      <c r="E10" s="1278"/>
      <c r="F10" s="1278"/>
      <c r="G10" s="1278"/>
      <c r="H10" s="1279"/>
    </row>
    <row r="11" spans="2:8" ht="12.75">
      <c r="B11" s="1265" t="s">
        <v>542</v>
      </c>
      <c r="C11" s="1266"/>
      <c r="D11" s="1266"/>
      <c r="E11" s="1266"/>
      <c r="F11" s="1266"/>
      <c r="G11" s="1266"/>
      <c r="H11" s="1267"/>
    </row>
    <row r="12" spans="2:8" ht="12.75">
      <c r="B12" s="1265" t="s">
        <v>534</v>
      </c>
      <c r="C12" s="1266"/>
      <c r="D12" s="1266"/>
      <c r="E12" s="1266"/>
      <c r="F12" s="1266"/>
      <c r="G12" s="1266"/>
      <c r="H12" s="1267"/>
    </row>
    <row r="13" spans="2:8" ht="12.75">
      <c r="B13" s="1265" t="s">
        <v>869</v>
      </c>
      <c r="C13" s="1266"/>
      <c r="D13" s="1266"/>
      <c r="E13" s="1266"/>
      <c r="F13" s="1266"/>
      <c r="G13" s="1266"/>
      <c r="H13" s="1267"/>
    </row>
    <row r="14" spans="2:8" ht="12.75">
      <c r="B14" s="1265" t="s">
        <v>535</v>
      </c>
      <c r="C14" s="1266"/>
      <c r="D14" s="1266"/>
      <c r="E14" s="1266"/>
      <c r="F14" s="1266"/>
      <c r="G14" s="1266"/>
      <c r="H14" s="1267"/>
    </row>
    <row r="15" spans="2:8" ht="13.5" thickBot="1">
      <c r="B15" s="1268"/>
      <c r="C15" s="1269"/>
      <c r="D15" s="1269"/>
      <c r="E15" s="1269"/>
      <c r="F15" s="1269"/>
      <c r="G15" s="1269"/>
      <c r="H15" s="1270"/>
    </row>
    <row r="16" spans="2:8" ht="13.5" thickBot="1">
      <c r="B16" s="889"/>
      <c r="C16" s="889"/>
      <c r="D16" s="889"/>
      <c r="E16" s="889"/>
      <c r="F16" s="889"/>
      <c r="G16" s="889"/>
      <c r="H16" s="889"/>
    </row>
    <row r="17" spans="2:8" ht="13.5" thickBot="1">
      <c r="B17" s="1271" t="s">
        <v>870</v>
      </c>
      <c r="C17" s="1272"/>
      <c r="D17" s="1272"/>
      <c r="E17" s="1272"/>
      <c r="F17" s="1272"/>
      <c r="G17" s="1272"/>
      <c r="H17" s="1273"/>
    </row>
    <row r="18" spans="2:8" ht="12.75">
      <c r="B18" s="1274"/>
      <c r="C18" s="1275"/>
      <c r="D18" s="1275"/>
      <c r="E18" s="1275"/>
      <c r="F18" s="1275"/>
      <c r="G18" s="1275"/>
      <c r="H18" s="1276"/>
    </row>
    <row r="19" spans="2:8" ht="12.75">
      <c r="B19" s="1265"/>
      <c r="C19" s="1266"/>
      <c r="D19" s="1266"/>
      <c r="E19" s="1266"/>
      <c r="F19" s="1266"/>
      <c r="G19" s="1266"/>
      <c r="H19" s="1267"/>
    </row>
    <row r="20" spans="2:8" ht="13.5" thickBot="1">
      <c r="B20" s="1268"/>
      <c r="C20" s="1269"/>
      <c r="D20" s="1269"/>
      <c r="E20" s="1269"/>
      <c r="F20" s="1269"/>
      <c r="G20" s="1269"/>
      <c r="H20" s="1270"/>
    </row>
  </sheetData>
  <sheetProtection/>
  <mergeCells count="14">
    <mergeCell ref="B5:H5"/>
    <mergeCell ref="B6:H6"/>
    <mergeCell ref="B7:H7"/>
    <mergeCell ref="B8:H8"/>
    <mergeCell ref="B10:H10"/>
    <mergeCell ref="B11:H11"/>
    <mergeCell ref="B19:H19"/>
    <mergeCell ref="B20:H20"/>
    <mergeCell ref="B12:H12"/>
    <mergeCell ref="B13:H13"/>
    <mergeCell ref="B14:H14"/>
    <mergeCell ref="B15:H15"/>
    <mergeCell ref="B17:H17"/>
    <mergeCell ref="B18:H1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6"/>
  <sheetViews>
    <sheetView zoomScalePageLayoutView="0" workbookViewId="0" topLeftCell="A275">
      <selection activeCell="J325" sqref="J325"/>
    </sheetView>
  </sheetViews>
  <sheetFormatPr defaultColWidth="9.00390625" defaultRowHeight="12.75"/>
  <cols>
    <col min="1" max="1" width="3.125" style="624" customWidth="1"/>
    <col min="2" max="2" width="3.875" style="624" customWidth="1"/>
    <col min="3" max="3" width="49.625" style="624" customWidth="1"/>
    <col min="4" max="4" width="11.625" style="624" customWidth="1"/>
    <col min="5" max="5" width="11.125" style="624" customWidth="1"/>
    <col min="6" max="6" width="9.125" style="624" customWidth="1"/>
    <col min="7" max="8" width="11.875" style="624" bestFit="1" customWidth="1"/>
    <col min="9" max="9" width="10.375" style="624" customWidth="1"/>
    <col min="10" max="10" width="10.625" style="622" customWidth="1"/>
    <col min="11" max="16384" width="9.375" style="622" customWidth="1"/>
  </cols>
  <sheetData>
    <row r="1" spans="1:10" ht="15.75">
      <c r="A1" s="1327" t="s">
        <v>545</v>
      </c>
      <c r="B1" s="1327"/>
      <c r="C1" s="1327"/>
      <c r="D1" s="1327"/>
      <c r="E1" s="1327"/>
      <c r="F1" s="1327"/>
      <c r="G1" s="1327"/>
      <c r="H1" s="1327"/>
      <c r="I1" s="1327"/>
      <c r="J1" s="621"/>
    </row>
    <row r="2" spans="1:8" ht="6" customHeight="1">
      <c r="A2" s="623"/>
      <c r="B2" s="623"/>
      <c r="C2" s="623"/>
      <c r="D2" s="623"/>
      <c r="E2" s="623"/>
      <c r="F2" s="623"/>
      <c r="G2" s="623"/>
      <c r="H2" s="623"/>
    </row>
    <row r="3" spans="1:10" ht="15.75">
      <c r="A3" s="1328" t="s">
        <v>803</v>
      </c>
      <c r="B3" s="1328"/>
      <c r="C3" s="1328"/>
      <c r="D3" s="1328"/>
      <c r="E3" s="1328"/>
      <c r="F3" s="1328"/>
      <c r="G3" s="1328"/>
      <c r="H3" s="1328"/>
      <c r="I3" s="1328"/>
      <c r="J3" s="625"/>
    </row>
    <row r="4" spans="1:10" ht="15.75">
      <c r="A4" s="1328" t="str">
        <f>'[3]1'!A3:K3</f>
        <v>2013. ÉV</v>
      </c>
      <c r="B4" s="1283"/>
      <c r="C4" s="1283"/>
      <c r="D4" s="1283"/>
      <c r="E4" s="1283"/>
      <c r="F4" s="1283"/>
      <c r="G4" s="1283"/>
      <c r="H4" s="1283"/>
      <c r="I4" s="1283"/>
      <c r="J4" s="626"/>
    </row>
    <row r="5" spans="1:10" ht="12.75">
      <c r="A5" s="1329" t="s">
        <v>547</v>
      </c>
      <c r="B5" s="1329"/>
      <c r="C5" s="1329"/>
      <c r="D5" s="1329"/>
      <c r="E5" s="1329"/>
      <c r="F5" s="1329"/>
      <c r="G5" s="1329"/>
      <c r="H5" s="1329"/>
      <c r="I5" s="1329"/>
      <c r="J5" s="627"/>
    </row>
    <row r="6" spans="1:8" ht="12.75">
      <c r="A6" s="628"/>
      <c r="B6" s="628"/>
      <c r="C6" s="628"/>
      <c r="D6" s="628"/>
      <c r="E6" s="628"/>
      <c r="F6" s="629"/>
      <c r="G6" s="628"/>
      <c r="H6" s="628"/>
    </row>
    <row r="7" spans="1:10" s="632" customFormat="1" ht="12">
      <c r="A7" s="630"/>
      <c r="B7" s="630"/>
      <c r="C7" s="631"/>
      <c r="D7" s="1330" t="s">
        <v>548</v>
      </c>
      <c r="E7" s="1331"/>
      <c r="F7" s="1332"/>
      <c r="G7" s="1330" t="s">
        <v>549</v>
      </c>
      <c r="H7" s="1331"/>
      <c r="I7" s="1331"/>
      <c r="J7" s="630"/>
    </row>
    <row r="8" spans="1:10" s="632" customFormat="1" ht="12">
      <c r="A8" s="630"/>
      <c r="B8" s="630"/>
      <c r="C8" s="630"/>
      <c r="D8" s="633" t="s">
        <v>550</v>
      </c>
      <c r="E8" s="634" t="s">
        <v>551</v>
      </c>
      <c r="F8" s="1325" t="s">
        <v>552</v>
      </c>
      <c r="G8" s="635" t="str">
        <f>D8</f>
        <v>2012. évi</v>
      </c>
      <c r="H8" s="634" t="str">
        <f>E8</f>
        <v>2013. évi</v>
      </c>
      <c r="I8" s="1326" t="s">
        <v>552</v>
      </c>
      <c r="J8" s="636"/>
    </row>
    <row r="9" spans="1:10" s="632" customFormat="1" ht="12">
      <c r="A9" s="630"/>
      <c r="B9" s="630"/>
      <c r="C9" s="630"/>
      <c r="D9" s="633" t="s">
        <v>553</v>
      </c>
      <c r="E9" s="634" t="s">
        <v>553</v>
      </c>
      <c r="F9" s="1325"/>
      <c r="G9" s="635" t="s">
        <v>553</v>
      </c>
      <c r="H9" s="634" t="str">
        <f>E9</f>
        <v>terv</v>
      </c>
      <c r="I9" s="1326"/>
      <c r="J9" s="636"/>
    </row>
    <row r="10" spans="1:10" s="632" customFormat="1" ht="12" hidden="1">
      <c r="A10" s="644"/>
      <c r="B10" s="645"/>
      <c r="C10" s="645"/>
      <c r="D10" s="850"/>
      <c r="F10" s="851"/>
      <c r="G10" s="685"/>
      <c r="I10" s="640"/>
      <c r="J10" s="639"/>
    </row>
    <row r="11" spans="3:10" s="632" customFormat="1" ht="12" hidden="1">
      <c r="C11" s="650"/>
      <c r="D11" s="852"/>
      <c r="E11" s="652"/>
      <c r="F11" s="853"/>
      <c r="G11" s="651"/>
      <c r="H11" s="654"/>
      <c r="I11" s="655"/>
      <c r="J11" s="642"/>
    </row>
    <row r="12" spans="3:10" s="632" customFormat="1" ht="12" hidden="1">
      <c r="C12" s="650"/>
      <c r="D12" s="852"/>
      <c r="E12" s="652"/>
      <c r="F12" s="853"/>
      <c r="G12" s="651"/>
      <c r="H12" s="654"/>
      <c r="I12" s="655"/>
      <c r="J12" s="642"/>
    </row>
    <row r="13" spans="3:10" s="632" customFormat="1" ht="12" hidden="1">
      <c r="C13" s="650"/>
      <c r="D13" s="852"/>
      <c r="E13" s="652"/>
      <c r="F13" s="853"/>
      <c r="G13" s="651"/>
      <c r="H13" s="654"/>
      <c r="I13" s="655"/>
      <c r="J13" s="642"/>
    </row>
    <row r="14" spans="3:10" s="632" customFormat="1" ht="12.75" customHeight="1" hidden="1">
      <c r="C14" s="650"/>
      <c r="D14" s="852"/>
      <c r="E14" s="652"/>
      <c r="F14" s="853"/>
      <c r="G14" s="651"/>
      <c r="H14" s="654"/>
      <c r="I14" s="655"/>
      <c r="J14" s="642"/>
    </row>
    <row r="15" spans="3:10" s="632" customFormat="1" ht="12" hidden="1">
      <c r="C15" s="650"/>
      <c r="D15" s="852"/>
      <c r="E15" s="652"/>
      <c r="F15" s="853"/>
      <c r="G15" s="651"/>
      <c r="H15" s="652"/>
      <c r="I15" s="655"/>
      <c r="J15" s="642"/>
    </row>
    <row r="16" spans="1:10" s="637" customFormat="1" ht="12" hidden="1">
      <c r="A16" s="644"/>
      <c r="B16" s="644"/>
      <c r="C16" s="666"/>
      <c r="D16" s="854"/>
      <c r="E16" s="667"/>
      <c r="F16" s="855"/>
      <c r="G16" s="656"/>
      <c r="H16" s="657"/>
      <c r="I16" s="658"/>
      <c r="J16" s="642"/>
    </row>
    <row r="17" spans="3:10" s="632" customFormat="1" ht="12" hidden="1">
      <c r="C17" s="650"/>
      <c r="D17" s="852"/>
      <c r="E17" s="652"/>
      <c r="F17" s="853"/>
      <c r="G17" s="651"/>
      <c r="H17" s="654"/>
      <c r="I17" s="655"/>
      <c r="J17" s="642"/>
    </row>
    <row r="18" spans="3:10" s="632" customFormat="1" ht="12" hidden="1">
      <c r="C18" s="650"/>
      <c r="D18" s="852"/>
      <c r="E18" s="652"/>
      <c r="F18" s="853"/>
      <c r="G18" s="651"/>
      <c r="H18" s="654"/>
      <c r="I18" s="655"/>
      <c r="J18" s="642"/>
    </row>
    <row r="19" spans="3:10" s="632" customFormat="1" ht="12" hidden="1">
      <c r="C19" s="856"/>
      <c r="D19" s="852"/>
      <c r="E19" s="652"/>
      <c r="F19" s="853"/>
      <c r="G19" s="651"/>
      <c r="H19" s="654"/>
      <c r="I19" s="655"/>
      <c r="J19" s="642"/>
    </row>
    <row r="20" spans="3:10" s="632" customFormat="1" ht="12" hidden="1">
      <c r="C20" s="650"/>
      <c r="D20" s="852"/>
      <c r="E20" s="652"/>
      <c r="F20" s="853"/>
      <c r="G20" s="651"/>
      <c r="H20" s="654"/>
      <c r="I20" s="655"/>
      <c r="J20" s="642"/>
    </row>
    <row r="21" spans="3:10" s="632" customFormat="1" ht="12" hidden="1">
      <c r="C21" s="650"/>
      <c r="D21" s="852"/>
      <c r="E21" s="652"/>
      <c r="F21" s="853"/>
      <c r="G21" s="651"/>
      <c r="H21" s="652"/>
      <c r="I21" s="655"/>
      <c r="J21" s="642"/>
    </row>
    <row r="22" spans="1:10" s="637" customFormat="1" ht="12" hidden="1">
      <c r="A22" s="644"/>
      <c r="B22" s="644"/>
      <c r="C22" s="666"/>
      <c r="D22" s="854"/>
      <c r="E22" s="667"/>
      <c r="F22" s="855"/>
      <c r="G22" s="656"/>
      <c r="H22" s="657"/>
      <c r="I22" s="658"/>
      <c r="J22" s="642"/>
    </row>
    <row r="23" spans="3:10" s="637" customFormat="1" ht="12" hidden="1">
      <c r="C23" s="666"/>
      <c r="D23" s="854"/>
      <c r="E23" s="667"/>
      <c r="F23" s="855"/>
      <c r="G23" s="656"/>
      <c r="H23" s="657"/>
      <c r="I23" s="658"/>
      <c r="J23" s="642"/>
    </row>
    <row r="24" spans="3:10" s="632" customFormat="1" ht="12" hidden="1">
      <c r="C24" s="638"/>
      <c r="D24" s="671"/>
      <c r="F24" s="857"/>
      <c r="G24" s="671"/>
      <c r="I24" s="641"/>
      <c r="J24" s="642"/>
    </row>
    <row r="25" spans="1:10" s="632" customFormat="1" ht="12">
      <c r="A25" s="637" t="s">
        <v>554</v>
      </c>
      <c r="B25" s="638" t="s">
        <v>804</v>
      </c>
      <c r="C25" s="638"/>
      <c r="D25" s="639"/>
      <c r="F25" s="640"/>
      <c r="G25" s="639"/>
      <c r="I25" s="641"/>
      <c r="J25" s="642"/>
    </row>
    <row r="26" spans="2:10" s="643" customFormat="1" ht="12">
      <c r="B26" s="644" t="s">
        <v>555</v>
      </c>
      <c r="C26" s="645" t="s">
        <v>556</v>
      </c>
      <c r="D26" s="646"/>
      <c r="F26" s="647"/>
      <c r="G26" s="646"/>
      <c r="I26" s="648"/>
      <c r="J26" s="649"/>
    </row>
    <row r="27" spans="3:10" s="632" customFormat="1" ht="12">
      <c r="C27" s="650" t="s">
        <v>805</v>
      </c>
      <c r="D27" s="651"/>
      <c r="E27" s="652"/>
      <c r="F27" s="653"/>
      <c r="G27" s="654">
        <v>3000</v>
      </c>
      <c r="H27" s="654">
        <v>0</v>
      </c>
      <c r="I27" s="655">
        <f>H27/G27</f>
        <v>0</v>
      </c>
      <c r="J27" s="642" t="s">
        <v>1150</v>
      </c>
    </row>
    <row r="28" spans="3:10" s="632" customFormat="1" ht="12">
      <c r="C28" s="650" t="s">
        <v>806</v>
      </c>
      <c r="D28" s="651"/>
      <c r="E28" s="652"/>
      <c r="F28" s="653"/>
      <c r="G28" s="654">
        <v>1000</v>
      </c>
      <c r="H28" s="654">
        <v>0</v>
      </c>
      <c r="I28" s="655">
        <f>H28/G28</f>
        <v>0</v>
      </c>
      <c r="J28" s="642" t="s">
        <v>1153</v>
      </c>
    </row>
    <row r="29" spans="3:10" s="632" customFormat="1" ht="12">
      <c r="C29" s="650" t="s">
        <v>807</v>
      </c>
      <c r="D29" s="651"/>
      <c r="E29" s="652"/>
      <c r="F29" s="653"/>
      <c r="G29" s="654">
        <v>6000</v>
      </c>
      <c r="H29" s="654">
        <v>0</v>
      </c>
      <c r="I29" s="655">
        <f>H29/G29</f>
        <v>0</v>
      </c>
      <c r="J29" s="642"/>
    </row>
    <row r="30" spans="3:10" s="632" customFormat="1" ht="12">
      <c r="C30" s="650" t="s">
        <v>808</v>
      </c>
      <c r="D30" s="651"/>
      <c r="E30" s="652"/>
      <c r="F30" s="653"/>
      <c r="G30" s="654">
        <v>1200</v>
      </c>
      <c r="H30" s="654">
        <v>0</v>
      </c>
      <c r="I30" s="655">
        <f>H30/G30</f>
        <v>0</v>
      </c>
      <c r="J30" s="642"/>
    </row>
    <row r="31" spans="3:10" s="632" customFormat="1" ht="12" hidden="1">
      <c r="C31" s="650"/>
      <c r="D31" s="651"/>
      <c r="E31" s="652"/>
      <c r="F31" s="653"/>
      <c r="G31" s="651"/>
      <c r="H31" s="652"/>
      <c r="I31" s="655"/>
      <c r="J31" s="642"/>
    </row>
    <row r="32" spans="3:10" s="632" customFormat="1" ht="12" hidden="1">
      <c r="C32" s="650"/>
      <c r="D32" s="651"/>
      <c r="E32" s="652"/>
      <c r="F32" s="653"/>
      <c r="G32" s="651"/>
      <c r="H32" s="652"/>
      <c r="I32" s="655"/>
      <c r="J32" s="642"/>
    </row>
    <row r="33" spans="3:10" s="632" customFormat="1" ht="12" hidden="1">
      <c r="C33" s="650"/>
      <c r="D33" s="651"/>
      <c r="E33" s="652"/>
      <c r="F33" s="653"/>
      <c r="G33" s="651"/>
      <c r="H33" s="652"/>
      <c r="I33" s="655"/>
      <c r="J33" s="642"/>
    </row>
    <row r="34" spans="3:10" s="632" customFormat="1" ht="12" hidden="1">
      <c r="C34" s="650"/>
      <c r="D34" s="651"/>
      <c r="E34" s="652"/>
      <c r="F34" s="653"/>
      <c r="G34" s="651"/>
      <c r="H34" s="652"/>
      <c r="I34" s="655"/>
      <c r="J34" s="642"/>
    </row>
    <row r="35" spans="3:10" s="632" customFormat="1" ht="12" hidden="1">
      <c r="C35" s="650"/>
      <c r="D35" s="651"/>
      <c r="E35" s="652"/>
      <c r="F35" s="653"/>
      <c r="G35" s="651"/>
      <c r="H35" s="652"/>
      <c r="I35" s="655"/>
      <c r="J35" s="642"/>
    </row>
    <row r="36" spans="3:10" s="632" customFormat="1" ht="12" hidden="1">
      <c r="C36" s="650"/>
      <c r="D36" s="651"/>
      <c r="E36" s="652"/>
      <c r="F36" s="653"/>
      <c r="G36" s="651"/>
      <c r="H36" s="652"/>
      <c r="I36" s="655"/>
      <c r="J36" s="642"/>
    </row>
    <row r="37" spans="3:10" s="632" customFormat="1" ht="12" hidden="1">
      <c r="C37" s="650"/>
      <c r="D37" s="651"/>
      <c r="E37" s="652"/>
      <c r="F37" s="653"/>
      <c r="G37" s="651"/>
      <c r="H37" s="652"/>
      <c r="I37" s="655"/>
      <c r="J37" s="642"/>
    </row>
    <row r="38" spans="3:10" s="632" customFormat="1" ht="12" hidden="1">
      <c r="C38" s="650"/>
      <c r="D38" s="651"/>
      <c r="E38" s="652"/>
      <c r="F38" s="653"/>
      <c r="G38" s="651"/>
      <c r="H38" s="652"/>
      <c r="I38" s="655"/>
      <c r="J38" s="642"/>
    </row>
    <row r="39" spans="3:10" s="632" customFormat="1" ht="12" hidden="1">
      <c r="C39" s="650"/>
      <c r="D39" s="651"/>
      <c r="E39" s="652"/>
      <c r="F39" s="653"/>
      <c r="G39" s="651"/>
      <c r="H39" s="652"/>
      <c r="I39" s="655"/>
      <c r="J39" s="642"/>
    </row>
    <row r="40" spans="3:10" s="632" customFormat="1" ht="12">
      <c r="C40" s="650"/>
      <c r="D40" s="651"/>
      <c r="E40" s="652"/>
      <c r="F40" s="653"/>
      <c r="G40" s="656">
        <f>SUM(G27:G39)</f>
        <v>11200</v>
      </c>
      <c r="H40" s="657">
        <f>SUM(H27:H39)</f>
        <v>0</v>
      </c>
      <c r="I40" s="658">
        <f>H40/G40</f>
        <v>0</v>
      </c>
      <c r="J40" s="642"/>
    </row>
    <row r="41" spans="3:10" s="632" customFormat="1" ht="12" hidden="1">
      <c r="C41" s="650"/>
      <c r="D41" s="651"/>
      <c r="E41" s="652"/>
      <c r="F41" s="653"/>
      <c r="G41" s="656"/>
      <c r="H41" s="657"/>
      <c r="I41" s="658"/>
      <c r="J41" s="642"/>
    </row>
    <row r="42" spans="2:10" s="632" customFormat="1" ht="12">
      <c r="B42" s="644" t="s">
        <v>557</v>
      </c>
      <c r="C42" s="645" t="s">
        <v>558</v>
      </c>
      <c r="D42" s="646"/>
      <c r="E42" s="643"/>
      <c r="F42" s="647"/>
      <c r="G42" s="646"/>
      <c r="H42" s="643"/>
      <c r="I42" s="648"/>
      <c r="J42" s="642"/>
    </row>
    <row r="43" spans="3:10" s="632" customFormat="1" ht="12">
      <c r="C43" s="650" t="s">
        <v>809</v>
      </c>
      <c r="D43" s="651"/>
      <c r="E43" s="652"/>
      <c r="F43" s="653"/>
      <c r="G43" s="654">
        <v>1000</v>
      </c>
      <c r="H43" s="654">
        <v>24</v>
      </c>
      <c r="I43" s="655">
        <f aca="true" t="shared" si="0" ref="I43:I50">H43/G43</f>
        <v>0.024</v>
      </c>
      <c r="J43" s="642" t="s">
        <v>1153</v>
      </c>
    </row>
    <row r="44" spans="3:10" s="632" customFormat="1" ht="12">
      <c r="C44" s="650" t="s">
        <v>810</v>
      </c>
      <c r="D44" s="651"/>
      <c r="E44" s="652"/>
      <c r="F44" s="653"/>
      <c r="G44" s="654">
        <v>3354</v>
      </c>
      <c r="H44" s="654">
        <v>522</v>
      </c>
      <c r="I44" s="655">
        <f t="shared" si="0"/>
        <v>0.1556350626118068</v>
      </c>
      <c r="J44" s="642" t="s">
        <v>1150</v>
      </c>
    </row>
    <row r="45" spans="3:10" s="632" customFormat="1" ht="12">
      <c r="C45" s="659" t="s">
        <v>811</v>
      </c>
      <c r="D45" s="651"/>
      <c r="E45" s="652"/>
      <c r="F45" s="653"/>
      <c r="G45" s="654">
        <v>5000</v>
      </c>
      <c r="H45" s="654">
        <v>543</v>
      </c>
      <c r="I45" s="655">
        <f t="shared" si="0"/>
        <v>0.1086</v>
      </c>
      <c r="J45" s="642" t="s">
        <v>1150</v>
      </c>
    </row>
    <row r="46" spans="3:10" s="632" customFormat="1" ht="12" hidden="1">
      <c r="C46" s="650" t="s">
        <v>812</v>
      </c>
      <c r="D46" s="651"/>
      <c r="E46" s="652"/>
      <c r="F46" s="653"/>
      <c r="G46" s="654">
        <v>1698</v>
      </c>
      <c r="H46" s="654">
        <v>0</v>
      </c>
      <c r="I46" s="655">
        <f t="shared" si="0"/>
        <v>0</v>
      </c>
      <c r="J46" s="642"/>
    </row>
    <row r="47" spans="3:10" s="632" customFormat="1" ht="12" hidden="1">
      <c r="C47" s="650" t="s">
        <v>813</v>
      </c>
      <c r="D47" s="651"/>
      <c r="E47" s="652"/>
      <c r="F47" s="653"/>
      <c r="G47" s="654">
        <v>35224</v>
      </c>
      <c r="H47" s="654">
        <v>0</v>
      </c>
      <c r="I47" s="655">
        <f t="shared" si="0"/>
        <v>0</v>
      </c>
      <c r="J47" s="642"/>
    </row>
    <row r="48" spans="3:9" s="632" customFormat="1" ht="12" hidden="1">
      <c r="C48" s="659" t="s">
        <v>814</v>
      </c>
      <c r="D48" s="651"/>
      <c r="E48" s="652"/>
      <c r="F48" s="653"/>
      <c r="G48" s="654">
        <v>1534</v>
      </c>
      <c r="H48" s="654">
        <v>0</v>
      </c>
      <c r="I48" s="655">
        <f t="shared" si="0"/>
        <v>0</v>
      </c>
    </row>
    <row r="49" spans="3:10" s="632" customFormat="1" ht="12" hidden="1">
      <c r="C49" s="650" t="s">
        <v>815</v>
      </c>
      <c r="D49" s="651"/>
      <c r="E49" s="652"/>
      <c r="F49" s="653"/>
      <c r="G49" s="654">
        <v>1500</v>
      </c>
      <c r="H49" s="654">
        <v>0</v>
      </c>
      <c r="I49" s="655">
        <f t="shared" si="0"/>
        <v>0</v>
      </c>
      <c r="J49" s="642"/>
    </row>
    <row r="50" spans="3:11" s="632" customFormat="1" ht="12">
      <c r="C50" s="650" t="s">
        <v>816</v>
      </c>
      <c r="D50" s="651"/>
      <c r="E50" s="652"/>
      <c r="F50" s="653"/>
      <c r="G50" s="654">
        <v>95000</v>
      </c>
      <c r="H50" s="654">
        <v>3131</v>
      </c>
      <c r="I50" s="655">
        <f t="shared" si="0"/>
        <v>0.0329578947368421</v>
      </c>
      <c r="J50" s="632" t="s">
        <v>1150</v>
      </c>
      <c r="K50" s="642" t="s">
        <v>817</v>
      </c>
    </row>
    <row r="51" spans="3:11" s="632" customFormat="1" ht="12">
      <c r="C51" s="650" t="s">
        <v>450</v>
      </c>
      <c r="D51" s="651"/>
      <c r="E51" s="652"/>
      <c r="F51" s="653"/>
      <c r="G51" s="651">
        <v>0</v>
      </c>
      <c r="H51" s="654">
        <v>69</v>
      </c>
      <c r="I51" s="655">
        <v>0</v>
      </c>
      <c r="J51" s="632" t="s">
        <v>1150</v>
      </c>
      <c r="K51" s="642"/>
    </row>
    <row r="52" spans="3:11" s="632" customFormat="1" ht="12" customHeight="1">
      <c r="C52" s="650" t="s">
        <v>561</v>
      </c>
      <c r="D52" s="651"/>
      <c r="E52" s="652"/>
      <c r="F52" s="653"/>
      <c r="G52" s="651">
        <v>0</v>
      </c>
      <c r="H52" s="654">
        <v>1520</v>
      </c>
      <c r="I52" s="655">
        <v>0</v>
      </c>
      <c r="J52" s="632" t="s">
        <v>1150</v>
      </c>
      <c r="K52" s="642" t="s">
        <v>818</v>
      </c>
    </row>
    <row r="53" spans="3:10" s="632" customFormat="1" ht="12" customHeight="1">
      <c r="C53" s="650" t="s">
        <v>996</v>
      </c>
      <c r="D53" s="651"/>
      <c r="E53" s="652"/>
      <c r="F53" s="653"/>
      <c r="G53" s="651">
        <v>0</v>
      </c>
      <c r="H53" s="654">
        <v>0</v>
      </c>
      <c r="I53" s="655">
        <v>0</v>
      </c>
      <c r="J53" s="642" t="s">
        <v>1150</v>
      </c>
    </row>
    <row r="54" spans="3:10" s="632" customFormat="1" ht="12" customHeight="1" hidden="1">
      <c r="C54" s="650"/>
      <c r="D54" s="651"/>
      <c r="E54" s="652"/>
      <c r="F54" s="653"/>
      <c r="G54" s="651"/>
      <c r="H54" s="654"/>
      <c r="I54" s="655" t="e">
        <v>#DIV/0!</v>
      </c>
      <c r="J54" s="642"/>
    </row>
    <row r="55" spans="3:10" s="632" customFormat="1" ht="12" customHeight="1" hidden="1">
      <c r="C55" s="650"/>
      <c r="D55" s="651"/>
      <c r="E55" s="652"/>
      <c r="F55" s="653"/>
      <c r="G55" s="651"/>
      <c r="H55" s="654"/>
      <c r="I55" s="655" t="e">
        <v>#DIV/0!</v>
      </c>
      <c r="J55" s="642"/>
    </row>
    <row r="56" spans="3:10" s="632" customFormat="1" ht="12" customHeight="1" hidden="1">
      <c r="C56" s="650"/>
      <c r="D56" s="651"/>
      <c r="E56" s="652"/>
      <c r="F56" s="653"/>
      <c r="G56" s="651"/>
      <c r="H56" s="654"/>
      <c r="I56" s="655" t="e">
        <v>#DIV/0!</v>
      </c>
      <c r="J56" s="642"/>
    </row>
    <row r="57" spans="3:10" s="632" customFormat="1" ht="12" customHeight="1" hidden="1">
      <c r="C57" s="650"/>
      <c r="D57" s="651"/>
      <c r="E57" s="652"/>
      <c r="F57" s="653"/>
      <c r="G57" s="651"/>
      <c r="H57" s="654"/>
      <c r="I57" s="655" t="e">
        <v>#DIV/0!</v>
      </c>
      <c r="J57" s="642"/>
    </row>
    <row r="58" spans="3:10" s="632" customFormat="1" ht="12" customHeight="1" hidden="1">
      <c r="C58" s="650"/>
      <c r="D58" s="651"/>
      <c r="E58" s="652"/>
      <c r="F58" s="653"/>
      <c r="G58" s="651"/>
      <c r="H58" s="654"/>
      <c r="I58" s="655" t="e">
        <v>#DIV/0!</v>
      </c>
      <c r="J58" s="642"/>
    </row>
    <row r="59" spans="3:10" s="632" customFormat="1" ht="12">
      <c r="C59" s="660"/>
      <c r="D59" s="656"/>
      <c r="E59" s="652"/>
      <c r="F59" s="661"/>
      <c r="G59" s="656">
        <f>SUM(G43:G58)</f>
        <v>144310</v>
      </c>
      <c r="H59" s="656">
        <f>SUM(H43:H58)</f>
        <v>5809</v>
      </c>
      <c r="I59" s="658">
        <f>H59/G59</f>
        <v>0.04025362067770771</v>
      </c>
      <c r="J59" s="642"/>
    </row>
    <row r="60" spans="3:10" s="632" customFormat="1" ht="12">
      <c r="C60" s="858"/>
      <c r="D60" s="646"/>
      <c r="E60" s="643"/>
      <c r="F60" s="647"/>
      <c r="G60" s="646"/>
      <c r="H60" s="646"/>
      <c r="I60" s="859"/>
      <c r="J60" s="642"/>
    </row>
    <row r="61" spans="2:10" s="632" customFormat="1" ht="12">
      <c r="B61" s="644" t="s">
        <v>562</v>
      </c>
      <c r="C61" s="645" t="s">
        <v>819</v>
      </c>
      <c r="D61" s="646"/>
      <c r="E61" s="643"/>
      <c r="F61" s="647"/>
      <c r="G61" s="646"/>
      <c r="H61" s="643"/>
      <c r="I61" s="648"/>
      <c r="J61" s="642"/>
    </row>
    <row r="62" spans="3:10" s="632" customFormat="1" ht="12">
      <c r="C62" s="650"/>
      <c r="D62" s="651"/>
      <c r="E62" s="652"/>
      <c r="F62" s="653"/>
      <c r="G62" s="651"/>
      <c r="H62" s="654"/>
      <c r="I62" s="655"/>
      <c r="J62" s="642"/>
    </row>
    <row r="63" spans="3:10" s="632" customFormat="1" ht="12" customHeight="1" hidden="1">
      <c r="C63" s="662"/>
      <c r="D63" s="651"/>
      <c r="E63" s="652"/>
      <c r="F63" s="653"/>
      <c r="G63" s="651"/>
      <c r="H63" s="860"/>
      <c r="I63" s="664"/>
      <c r="J63" s="642"/>
    </row>
    <row r="64" spans="3:10" s="632" customFormat="1" ht="12" customHeight="1" hidden="1">
      <c r="C64" s="662"/>
      <c r="D64" s="651"/>
      <c r="E64" s="652"/>
      <c r="F64" s="653"/>
      <c r="G64" s="651"/>
      <c r="H64" s="860"/>
      <c r="I64" s="664"/>
      <c r="J64" s="642"/>
    </row>
    <row r="65" spans="3:10" s="632" customFormat="1" ht="12" customHeight="1" hidden="1">
      <c r="C65" s="662"/>
      <c r="D65" s="651"/>
      <c r="E65" s="652"/>
      <c r="F65" s="653"/>
      <c r="G65" s="670"/>
      <c r="H65" s="860"/>
      <c r="I65" s="664"/>
      <c r="J65" s="642"/>
    </row>
    <row r="66" spans="3:10" s="632" customFormat="1" ht="12" customHeight="1" hidden="1">
      <c r="C66" s="662"/>
      <c r="D66" s="651"/>
      <c r="E66" s="652"/>
      <c r="F66" s="653"/>
      <c r="G66" s="670"/>
      <c r="H66" s="860"/>
      <c r="I66" s="664"/>
      <c r="J66" s="642"/>
    </row>
    <row r="67" spans="3:10" s="632" customFormat="1" ht="12" hidden="1">
      <c r="C67" s="650"/>
      <c r="D67" s="651"/>
      <c r="E67" s="652"/>
      <c r="F67" s="653"/>
      <c r="G67" s="651"/>
      <c r="H67" s="654"/>
      <c r="I67" s="655"/>
      <c r="J67" s="642"/>
    </row>
    <row r="68" spans="3:10" s="632" customFormat="1" ht="12" hidden="1">
      <c r="C68" s="650"/>
      <c r="D68" s="651"/>
      <c r="E68" s="652"/>
      <c r="F68" s="653"/>
      <c r="G68" s="651"/>
      <c r="H68" s="654"/>
      <c r="I68" s="655"/>
      <c r="J68" s="642"/>
    </row>
    <row r="69" spans="3:10" s="632" customFormat="1" ht="12" hidden="1">
      <c r="C69" s="650"/>
      <c r="D69" s="651"/>
      <c r="E69" s="652"/>
      <c r="F69" s="653"/>
      <c r="G69" s="651"/>
      <c r="H69" s="654"/>
      <c r="I69" s="655"/>
      <c r="J69" s="642"/>
    </row>
    <row r="70" spans="3:10" s="632" customFormat="1" ht="12" hidden="1">
      <c r="C70" s="650"/>
      <c r="D70" s="651"/>
      <c r="E70" s="652"/>
      <c r="F70" s="665"/>
      <c r="G70" s="651"/>
      <c r="H70" s="654"/>
      <c r="I70" s="655"/>
      <c r="J70" s="642"/>
    </row>
    <row r="71" spans="3:10" s="632" customFormat="1" ht="12" hidden="1">
      <c r="C71" s="650"/>
      <c r="D71" s="651"/>
      <c r="E71" s="652"/>
      <c r="F71" s="665"/>
      <c r="G71" s="651"/>
      <c r="H71" s="654"/>
      <c r="I71" s="655"/>
      <c r="J71" s="642"/>
    </row>
    <row r="72" spans="3:10" s="632" customFormat="1" ht="12" hidden="1">
      <c r="C72" s="650"/>
      <c r="D72" s="651"/>
      <c r="E72" s="652"/>
      <c r="F72" s="665"/>
      <c r="G72" s="651"/>
      <c r="H72" s="654"/>
      <c r="I72" s="655"/>
      <c r="J72" s="642"/>
    </row>
    <row r="73" spans="3:10" s="632" customFormat="1" ht="12" hidden="1">
      <c r="C73" s="650"/>
      <c r="D73" s="651"/>
      <c r="E73" s="652"/>
      <c r="F73" s="665"/>
      <c r="G73" s="651"/>
      <c r="H73" s="654"/>
      <c r="I73" s="655"/>
      <c r="J73" s="642"/>
    </row>
    <row r="74" spans="3:10" s="632" customFormat="1" ht="12" hidden="1">
      <c r="C74" s="650"/>
      <c r="D74" s="651"/>
      <c r="E74" s="652"/>
      <c r="F74" s="665"/>
      <c r="G74" s="651"/>
      <c r="H74" s="654"/>
      <c r="I74" s="655"/>
      <c r="J74" s="642"/>
    </row>
    <row r="75" spans="3:10" s="632" customFormat="1" ht="12" hidden="1">
      <c r="C75" s="650"/>
      <c r="D75" s="651"/>
      <c r="E75" s="652"/>
      <c r="F75" s="665"/>
      <c r="G75" s="651"/>
      <c r="H75" s="654"/>
      <c r="I75" s="655"/>
      <c r="J75" s="642"/>
    </row>
    <row r="76" spans="3:10" s="632" customFormat="1" ht="12" hidden="1">
      <c r="C76" s="650"/>
      <c r="D76" s="651"/>
      <c r="E76" s="652"/>
      <c r="F76" s="665"/>
      <c r="G76" s="651"/>
      <c r="H76" s="654"/>
      <c r="I76" s="655"/>
      <c r="J76" s="642"/>
    </row>
    <row r="77" spans="3:10" s="632" customFormat="1" ht="12" customHeight="1" hidden="1">
      <c r="C77" s="650"/>
      <c r="D77" s="651"/>
      <c r="E77" s="652"/>
      <c r="F77" s="665"/>
      <c r="G77" s="651"/>
      <c r="H77" s="654"/>
      <c r="I77" s="655"/>
      <c r="J77" s="642"/>
    </row>
    <row r="78" spans="3:10" s="632" customFormat="1" ht="12" customHeight="1" hidden="1">
      <c r="C78" s="650"/>
      <c r="D78" s="651"/>
      <c r="E78" s="652"/>
      <c r="F78" s="665"/>
      <c r="G78" s="651"/>
      <c r="H78" s="654"/>
      <c r="I78" s="655"/>
      <c r="J78" s="642"/>
    </row>
    <row r="79" spans="3:10" s="632" customFormat="1" ht="12" customHeight="1" hidden="1">
      <c r="C79" s="650"/>
      <c r="D79" s="651"/>
      <c r="E79" s="652"/>
      <c r="F79" s="665"/>
      <c r="G79" s="651"/>
      <c r="H79" s="654"/>
      <c r="I79" s="655"/>
      <c r="J79" s="642"/>
    </row>
    <row r="80" spans="3:10" s="632" customFormat="1" ht="12" customHeight="1" hidden="1">
      <c r="C80" s="650"/>
      <c r="D80" s="651"/>
      <c r="E80" s="652"/>
      <c r="F80" s="665"/>
      <c r="G80" s="651"/>
      <c r="H80" s="654"/>
      <c r="I80" s="655"/>
      <c r="J80" s="642"/>
    </row>
    <row r="81" spans="3:10" s="632" customFormat="1" ht="12" customHeight="1" hidden="1">
      <c r="C81" s="650"/>
      <c r="D81" s="651"/>
      <c r="E81" s="652"/>
      <c r="F81" s="665"/>
      <c r="G81" s="651"/>
      <c r="H81" s="654"/>
      <c r="I81" s="655"/>
      <c r="J81" s="642"/>
    </row>
    <row r="82" spans="3:10" s="632" customFormat="1" ht="12" customHeight="1" hidden="1">
      <c r="C82" s="650"/>
      <c r="D82" s="651"/>
      <c r="E82" s="652"/>
      <c r="F82" s="665"/>
      <c r="G82" s="651"/>
      <c r="H82" s="654"/>
      <c r="I82" s="655"/>
      <c r="J82" s="642"/>
    </row>
    <row r="83" spans="3:10" s="637" customFormat="1" ht="12">
      <c r="C83" s="666"/>
      <c r="D83" s="656"/>
      <c r="E83" s="667"/>
      <c r="F83" s="668"/>
      <c r="G83" s="656">
        <f>SUM(G62:G82)</f>
        <v>0</v>
      </c>
      <c r="H83" s="656">
        <f>SUM(H62:H82)</f>
        <v>0</v>
      </c>
      <c r="I83" s="658">
        <v>0</v>
      </c>
      <c r="J83" s="642"/>
    </row>
    <row r="84" spans="2:10" s="637" customFormat="1" ht="12">
      <c r="B84" s="644" t="s">
        <v>585</v>
      </c>
      <c r="C84" s="645" t="s">
        <v>781</v>
      </c>
      <c r="D84" s="646"/>
      <c r="E84" s="643"/>
      <c r="F84" s="647"/>
      <c r="G84" s="646"/>
      <c r="H84" s="643"/>
      <c r="I84" s="648"/>
      <c r="J84" s="642"/>
    </row>
    <row r="85" spans="2:10" s="637" customFormat="1" ht="12">
      <c r="B85" s="632"/>
      <c r="C85" s="645" t="s">
        <v>820</v>
      </c>
      <c r="D85" s="646"/>
      <c r="E85" s="643"/>
      <c r="F85" s="647"/>
      <c r="G85" s="646"/>
      <c r="H85" s="643"/>
      <c r="I85" s="648"/>
      <c r="J85" s="642"/>
    </row>
    <row r="86" spans="3:10" s="637" customFormat="1" ht="12">
      <c r="C86" s="650"/>
      <c r="D86" s="651"/>
      <c r="E86" s="654"/>
      <c r="F86" s="665"/>
      <c r="G86" s="651"/>
      <c r="H86" s="654"/>
      <c r="I86" s="655"/>
      <c r="J86" s="642"/>
    </row>
    <row r="87" spans="3:10" s="637" customFormat="1" ht="12" hidden="1">
      <c r="C87" s="650"/>
      <c r="D87" s="651"/>
      <c r="E87" s="654"/>
      <c r="F87" s="665"/>
      <c r="G87" s="656"/>
      <c r="H87" s="667"/>
      <c r="I87" s="655"/>
      <c r="J87" s="642"/>
    </row>
    <row r="88" spans="3:10" s="637" customFormat="1" ht="12" hidden="1">
      <c r="C88" s="650"/>
      <c r="D88" s="651"/>
      <c r="E88" s="654"/>
      <c r="F88" s="665"/>
      <c r="G88" s="656"/>
      <c r="H88" s="667"/>
      <c r="I88" s="655"/>
      <c r="J88" s="642"/>
    </row>
    <row r="89" spans="3:10" s="637" customFormat="1" ht="12" hidden="1">
      <c r="C89" s="650"/>
      <c r="D89" s="651"/>
      <c r="E89" s="654"/>
      <c r="F89" s="665"/>
      <c r="G89" s="656"/>
      <c r="H89" s="667"/>
      <c r="I89" s="655"/>
      <c r="J89" s="642"/>
    </row>
    <row r="90" spans="3:10" s="637" customFormat="1" ht="12" customHeight="1" hidden="1">
      <c r="C90" s="650"/>
      <c r="D90" s="651"/>
      <c r="E90" s="654"/>
      <c r="F90" s="665"/>
      <c r="G90" s="656"/>
      <c r="H90" s="667"/>
      <c r="I90" s="655"/>
      <c r="J90" s="642"/>
    </row>
    <row r="91" spans="3:10" s="637" customFormat="1" ht="12" customHeight="1" hidden="1">
      <c r="C91" s="650"/>
      <c r="D91" s="651"/>
      <c r="E91" s="654"/>
      <c r="F91" s="665"/>
      <c r="G91" s="656"/>
      <c r="H91" s="667"/>
      <c r="I91" s="655"/>
      <c r="J91" s="642"/>
    </row>
    <row r="92" spans="3:10" s="637" customFormat="1" ht="12" customHeight="1" hidden="1">
      <c r="C92" s="650"/>
      <c r="D92" s="651"/>
      <c r="E92" s="654"/>
      <c r="F92" s="665"/>
      <c r="G92" s="656"/>
      <c r="H92" s="667"/>
      <c r="I92" s="655"/>
      <c r="J92" s="642"/>
    </row>
    <row r="93" spans="3:10" s="637" customFormat="1" ht="12" customHeight="1" hidden="1">
      <c r="C93" s="650"/>
      <c r="D93" s="651"/>
      <c r="E93" s="654"/>
      <c r="F93" s="665"/>
      <c r="G93" s="656"/>
      <c r="H93" s="667"/>
      <c r="I93" s="655"/>
      <c r="J93" s="642"/>
    </row>
    <row r="94" spans="3:10" s="637" customFormat="1" ht="12" customHeight="1" hidden="1">
      <c r="C94" s="650"/>
      <c r="D94" s="651"/>
      <c r="E94" s="654"/>
      <c r="F94" s="665"/>
      <c r="G94" s="656"/>
      <c r="H94" s="667"/>
      <c r="I94" s="655"/>
      <c r="J94" s="642"/>
    </row>
    <row r="95" spans="3:10" s="637" customFormat="1" ht="12" customHeight="1" hidden="1">
      <c r="C95" s="650"/>
      <c r="D95" s="651"/>
      <c r="E95" s="654"/>
      <c r="F95" s="665"/>
      <c r="G95" s="656"/>
      <c r="H95" s="667"/>
      <c r="I95" s="655"/>
      <c r="J95" s="642"/>
    </row>
    <row r="96" spans="3:10" s="637" customFormat="1" ht="12" customHeight="1" hidden="1">
      <c r="C96" s="650"/>
      <c r="D96" s="651"/>
      <c r="E96" s="654"/>
      <c r="F96" s="665"/>
      <c r="G96" s="656"/>
      <c r="H96" s="667"/>
      <c r="I96" s="655"/>
      <c r="J96" s="642"/>
    </row>
    <row r="97" spans="3:10" s="637" customFormat="1" ht="12" customHeight="1" hidden="1">
      <c r="C97" s="650"/>
      <c r="D97" s="651"/>
      <c r="E97" s="654"/>
      <c r="F97" s="665"/>
      <c r="G97" s="656"/>
      <c r="H97" s="667"/>
      <c r="I97" s="655"/>
      <c r="J97" s="642"/>
    </row>
    <row r="98" spans="3:10" s="637" customFormat="1" ht="12" customHeight="1" hidden="1">
      <c r="C98" s="650"/>
      <c r="D98" s="651"/>
      <c r="E98" s="654"/>
      <c r="F98" s="665"/>
      <c r="G98" s="656"/>
      <c r="H98" s="667"/>
      <c r="I98" s="655"/>
      <c r="J98" s="642"/>
    </row>
    <row r="99" spans="3:10" s="637" customFormat="1" ht="12">
      <c r="C99" s="650"/>
      <c r="D99" s="656">
        <f>SUM(D86:D98)</f>
        <v>0</v>
      </c>
      <c r="E99" s="656">
        <f>SUM(E86:E98)</f>
        <v>0</v>
      </c>
      <c r="F99" s="668">
        <v>0</v>
      </c>
      <c r="G99" s="656"/>
      <c r="H99" s="667"/>
      <c r="I99" s="655"/>
      <c r="J99" s="642"/>
    </row>
    <row r="100" spans="3:10" s="637" customFormat="1" ht="12" customHeight="1">
      <c r="C100" s="650"/>
      <c r="D100" s="651"/>
      <c r="E100" s="667"/>
      <c r="F100" s="665"/>
      <c r="G100" s="656"/>
      <c r="H100" s="667"/>
      <c r="I100" s="655"/>
      <c r="J100" s="642"/>
    </row>
    <row r="101" spans="2:10" s="637" customFormat="1" ht="12">
      <c r="B101" s="644" t="s">
        <v>589</v>
      </c>
      <c r="C101" s="645" t="s">
        <v>590</v>
      </c>
      <c r="D101" s="646"/>
      <c r="E101" s="643"/>
      <c r="F101" s="647"/>
      <c r="G101" s="646"/>
      <c r="H101" s="643"/>
      <c r="I101" s="648"/>
      <c r="J101" s="642"/>
    </row>
    <row r="102" spans="2:10" s="637" customFormat="1" ht="12">
      <c r="B102" s="632"/>
      <c r="C102" s="650"/>
      <c r="D102" s="651"/>
      <c r="E102" s="652"/>
      <c r="F102" s="665"/>
      <c r="G102" s="651"/>
      <c r="H102" s="654"/>
      <c r="I102" s="655"/>
      <c r="J102" s="642"/>
    </row>
    <row r="103" spans="3:10" s="637" customFormat="1" ht="12" customHeight="1" hidden="1">
      <c r="C103" s="650"/>
      <c r="D103" s="651"/>
      <c r="E103" s="667"/>
      <c r="F103" s="665"/>
      <c r="G103" s="656"/>
      <c r="H103" s="667"/>
      <c r="I103" s="655"/>
      <c r="J103" s="642"/>
    </row>
    <row r="104" spans="3:10" s="637" customFormat="1" ht="12" customHeight="1" hidden="1">
      <c r="C104" s="650"/>
      <c r="D104" s="651"/>
      <c r="E104" s="667"/>
      <c r="F104" s="665"/>
      <c r="G104" s="656"/>
      <c r="H104" s="667"/>
      <c r="I104" s="655"/>
      <c r="J104" s="642"/>
    </row>
    <row r="105" spans="3:10" s="637" customFormat="1" ht="12" customHeight="1" hidden="1">
      <c r="C105" s="650"/>
      <c r="D105" s="651"/>
      <c r="E105" s="667"/>
      <c r="F105" s="665"/>
      <c r="G105" s="656"/>
      <c r="H105" s="667"/>
      <c r="I105" s="655"/>
      <c r="J105" s="642"/>
    </row>
    <row r="106" spans="3:10" s="637" customFormat="1" ht="12" customHeight="1" hidden="1">
      <c r="C106" s="650"/>
      <c r="D106" s="651"/>
      <c r="E106" s="667"/>
      <c r="F106" s="665"/>
      <c r="G106" s="656"/>
      <c r="H106" s="667"/>
      <c r="I106" s="655"/>
      <c r="J106" s="642"/>
    </row>
    <row r="107" spans="3:10" s="637" customFormat="1" ht="12" customHeight="1" hidden="1">
      <c r="C107" s="650"/>
      <c r="D107" s="651"/>
      <c r="E107" s="667"/>
      <c r="F107" s="665"/>
      <c r="G107" s="656"/>
      <c r="H107" s="667"/>
      <c r="I107" s="655"/>
      <c r="J107" s="642"/>
    </row>
    <row r="108" spans="3:10" s="632" customFormat="1" ht="12">
      <c r="C108" s="650"/>
      <c r="D108" s="656">
        <f>SUM(D102:D107)</f>
        <v>0</v>
      </c>
      <c r="E108" s="656">
        <f>SUM(E102:E107)</f>
        <v>0</v>
      </c>
      <c r="F108" s="668">
        <v>0</v>
      </c>
      <c r="G108" s="656"/>
      <c r="H108" s="652"/>
      <c r="I108" s="655"/>
      <c r="J108" s="642"/>
    </row>
    <row r="109" spans="3:10" s="632" customFormat="1" ht="12" customHeight="1">
      <c r="C109" s="650"/>
      <c r="D109" s="656"/>
      <c r="E109" s="652"/>
      <c r="F109" s="665"/>
      <c r="G109" s="656"/>
      <c r="H109" s="652"/>
      <c r="I109" s="655"/>
      <c r="J109" s="642"/>
    </row>
    <row r="110" spans="2:10" s="632" customFormat="1" ht="12">
      <c r="B110" s="644" t="s">
        <v>591</v>
      </c>
      <c r="C110" s="645" t="s">
        <v>821</v>
      </c>
      <c r="D110" s="646"/>
      <c r="E110" s="643"/>
      <c r="F110" s="647"/>
      <c r="G110" s="646"/>
      <c r="H110" s="643"/>
      <c r="I110" s="648"/>
      <c r="J110" s="642"/>
    </row>
    <row r="111" spans="3:10" s="632" customFormat="1" ht="12.75" customHeight="1">
      <c r="C111" s="650"/>
      <c r="D111" s="651"/>
      <c r="E111" s="654"/>
      <c r="F111" s="665"/>
      <c r="G111" s="651"/>
      <c r="H111" s="654"/>
      <c r="I111" s="655"/>
      <c r="J111" s="642"/>
    </row>
    <row r="112" spans="3:10" s="632" customFormat="1" ht="12" customHeight="1" hidden="1">
      <c r="C112" s="650"/>
      <c r="D112" s="651"/>
      <c r="E112" s="654"/>
      <c r="F112" s="665"/>
      <c r="G112" s="651"/>
      <c r="H112" s="652"/>
      <c r="I112" s="655"/>
      <c r="J112" s="642"/>
    </row>
    <row r="113" spans="3:10" s="632" customFormat="1" ht="12" customHeight="1" hidden="1">
      <c r="C113" s="650"/>
      <c r="D113" s="651"/>
      <c r="E113" s="654"/>
      <c r="F113" s="665"/>
      <c r="G113" s="651"/>
      <c r="H113" s="652"/>
      <c r="I113" s="655"/>
      <c r="J113" s="642"/>
    </row>
    <row r="114" spans="3:10" s="632" customFormat="1" ht="12" customHeight="1" hidden="1">
      <c r="C114" s="650"/>
      <c r="D114" s="651"/>
      <c r="E114" s="652"/>
      <c r="F114" s="665"/>
      <c r="G114" s="651"/>
      <c r="H114" s="652"/>
      <c r="I114" s="655"/>
      <c r="J114" s="642"/>
    </row>
    <row r="115" spans="3:10" s="632" customFormat="1" ht="12" customHeight="1" hidden="1">
      <c r="C115" s="650"/>
      <c r="D115" s="651"/>
      <c r="E115" s="652"/>
      <c r="F115" s="665"/>
      <c r="G115" s="651"/>
      <c r="H115" s="652"/>
      <c r="I115" s="655"/>
      <c r="J115" s="642"/>
    </row>
    <row r="116" spans="3:10" s="632" customFormat="1" ht="12" customHeight="1" hidden="1">
      <c r="C116" s="650"/>
      <c r="D116" s="651"/>
      <c r="E116" s="652"/>
      <c r="F116" s="665"/>
      <c r="G116" s="651"/>
      <c r="H116" s="652"/>
      <c r="I116" s="655"/>
      <c r="J116" s="642"/>
    </row>
    <row r="117" spans="3:10" s="632" customFormat="1" ht="12" customHeight="1" hidden="1">
      <c r="C117" s="650"/>
      <c r="D117" s="651"/>
      <c r="E117" s="652"/>
      <c r="F117" s="665"/>
      <c r="G117" s="651"/>
      <c r="H117" s="652"/>
      <c r="I117" s="655"/>
      <c r="J117" s="642"/>
    </row>
    <row r="118" spans="3:10" s="637" customFormat="1" ht="12">
      <c r="C118" s="666"/>
      <c r="D118" s="656">
        <f>SUM(D111:D117)</f>
        <v>0</v>
      </c>
      <c r="E118" s="656">
        <f>SUM(E111:E117)</f>
        <v>0</v>
      </c>
      <c r="F118" s="668">
        <v>0</v>
      </c>
      <c r="G118" s="656"/>
      <c r="H118" s="667"/>
      <c r="I118" s="655"/>
      <c r="J118" s="642"/>
    </row>
    <row r="119" spans="3:10" s="637" customFormat="1" ht="12">
      <c r="C119" s="638"/>
      <c r="D119" s="671"/>
      <c r="F119" s="641"/>
      <c r="G119" s="671"/>
      <c r="I119" s="641"/>
      <c r="J119" s="642"/>
    </row>
    <row r="120" spans="2:10" s="637" customFormat="1" ht="12">
      <c r="B120" s="644" t="s">
        <v>593</v>
      </c>
      <c r="C120" s="645" t="s">
        <v>594</v>
      </c>
      <c r="D120" s="646"/>
      <c r="E120" s="643"/>
      <c r="F120" s="647"/>
      <c r="G120" s="646"/>
      <c r="H120" s="643"/>
      <c r="I120" s="648"/>
      <c r="J120" s="642"/>
    </row>
    <row r="121" spans="2:10" s="637" customFormat="1" ht="12">
      <c r="B121" s="632"/>
      <c r="C121" s="650"/>
      <c r="D121" s="651"/>
      <c r="E121" s="654"/>
      <c r="F121" s="665"/>
      <c r="G121" s="651"/>
      <c r="H121" s="654"/>
      <c r="I121" s="655"/>
      <c r="J121" s="642"/>
    </row>
    <row r="122" spans="3:10" s="637" customFormat="1" ht="12" hidden="1">
      <c r="C122" s="650"/>
      <c r="D122" s="651"/>
      <c r="E122" s="654"/>
      <c r="F122" s="665"/>
      <c r="G122" s="656"/>
      <c r="H122" s="667"/>
      <c r="I122" s="655"/>
      <c r="J122" s="642"/>
    </row>
    <row r="123" spans="3:10" s="637" customFormat="1" ht="12" hidden="1">
      <c r="C123" s="650"/>
      <c r="D123" s="651"/>
      <c r="E123" s="654"/>
      <c r="F123" s="665"/>
      <c r="G123" s="656"/>
      <c r="H123" s="667"/>
      <c r="I123" s="655"/>
      <c r="J123" s="642"/>
    </row>
    <row r="124" spans="3:10" s="637" customFormat="1" ht="12" customHeight="1" hidden="1">
      <c r="C124" s="650"/>
      <c r="D124" s="651"/>
      <c r="E124" s="654"/>
      <c r="F124" s="665"/>
      <c r="G124" s="656"/>
      <c r="H124" s="667"/>
      <c r="I124" s="655"/>
      <c r="J124" s="642"/>
    </row>
    <row r="125" spans="3:10" s="637" customFormat="1" ht="12" customHeight="1" hidden="1">
      <c r="C125" s="650"/>
      <c r="D125" s="651"/>
      <c r="E125" s="654"/>
      <c r="F125" s="665"/>
      <c r="G125" s="656"/>
      <c r="H125" s="667"/>
      <c r="I125" s="655"/>
      <c r="J125" s="642"/>
    </row>
    <row r="126" spans="3:10" s="637" customFormat="1" ht="12" customHeight="1" hidden="1">
      <c r="C126" s="650"/>
      <c r="D126" s="651"/>
      <c r="E126" s="654"/>
      <c r="F126" s="665"/>
      <c r="G126" s="656"/>
      <c r="H126" s="667"/>
      <c r="I126" s="655"/>
      <c r="J126" s="642"/>
    </row>
    <row r="127" spans="3:10" s="637" customFormat="1" ht="12" customHeight="1" hidden="1">
      <c r="C127" s="650"/>
      <c r="D127" s="651"/>
      <c r="E127" s="654"/>
      <c r="F127" s="665"/>
      <c r="G127" s="656"/>
      <c r="H127" s="667"/>
      <c r="I127" s="655"/>
      <c r="J127" s="642"/>
    </row>
    <row r="128" spans="3:10" s="637" customFormat="1" ht="12">
      <c r="C128" s="666"/>
      <c r="D128" s="656">
        <f>SUM(D121:D127)</f>
        <v>0</v>
      </c>
      <c r="E128" s="656">
        <f>SUM(E121:E127)</f>
        <v>0</v>
      </c>
      <c r="F128" s="668">
        <v>0</v>
      </c>
      <c r="G128" s="656"/>
      <c r="H128" s="667"/>
      <c r="I128" s="655"/>
      <c r="J128" s="642"/>
    </row>
    <row r="129" spans="3:10" s="637" customFormat="1" ht="12" customHeight="1">
      <c r="C129" s="666"/>
      <c r="D129" s="656"/>
      <c r="E129" s="667"/>
      <c r="F129" s="665"/>
      <c r="G129" s="656"/>
      <c r="H129" s="667"/>
      <c r="I129" s="655"/>
      <c r="J129" s="642"/>
    </row>
    <row r="130" spans="2:10" s="632" customFormat="1" ht="12">
      <c r="B130" s="644" t="s">
        <v>597</v>
      </c>
      <c r="C130" s="645" t="s">
        <v>822</v>
      </c>
      <c r="D130" s="646"/>
      <c r="E130" s="643"/>
      <c r="F130" s="647"/>
      <c r="G130" s="646"/>
      <c r="H130" s="643"/>
      <c r="I130" s="648"/>
      <c r="J130" s="642"/>
    </row>
    <row r="131" spans="3:10" s="632" customFormat="1" ht="12">
      <c r="C131" s="650" t="s">
        <v>599</v>
      </c>
      <c r="D131" s="651"/>
      <c r="E131" s="652"/>
      <c r="F131" s="653"/>
      <c r="G131" s="651">
        <v>0</v>
      </c>
      <c r="H131" s="654">
        <v>6</v>
      </c>
      <c r="I131" s="655">
        <v>0</v>
      </c>
      <c r="J131" s="642" t="s">
        <v>1150</v>
      </c>
    </row>
    <row r="132" spans="3:10" s="632" customFormat="1" ht="12" customHeight="1" hidden="1">
      <c r="C132" s="650"/>
      <c r="D132" s="651"/>
      <c r="E132" s="654"/>
      <c r="F132" s="665"/>
      <c r="G132" s="651"/>
      <c r="H132" s="654"/>
      <c r="I132" s="655"/>
      <c r="J132" s="642"/>
    </row>
    <row r="133" spans="3:10" s="632" customFormat="1" ht="12" customHeight="1" hidden="1">
      <c r="C133" s="650"/>
      <c r="D133" s="651"/>
      <c r="E133" s="654"/>
      <c r="F133" s="665"/>
      <c r="G133" s="651"/>
      <c r="H133" s="654"/>
      <c r="I133" s="655"/>
      <c r="J133" s="642"/>
    </row>
    <row r="134" spans="3:10" s="632" customFormat="1" ht="12" customHeight="1" hidden="1">
      <c r="C134" s="650"/>
      <c r="D134" s="651"/>
      <c r="E134" s="654"/>
      <c r="F134" s="665"/>
      <c r="G134" s="651"/>
      <c r="H134" s="654"/>
      <c r="I134" s="655"/>
      <c r="J134" s="642"/>
    </row>
    <row r="135" spans="3:10" s="632" customFormat="1" ht="12" customHeight="1" hidden="1">
      <c r="C135" s="650"/>
      <c r="D135" s="651"/>
      <c r="E135" s="654"/>
      <c r="F135" s="665"/>
      <c r="G135" s="651"/>
      <c r="H135" s="654"/>
      <c r="I135" s="655"/>
      <c r="J135" s="642"/>
    </row>
    <row r="136" spans="3:10" s="632" customFormat="1" ht="12" customHeight="1" hidden="1">
      <c r="C136" s="650"/>
      <c r="D136" s="651"/>
      <c r="E136" s="654"/>
      <c r="F136" s="665"/>
      <c r="G136" s="651"/>
      <c r="H136" s="654"/>
      <c r="I136" s="655"/>
      <c r="J136" s="642"/>
    </row>
    <row r="137" spans="3:10" s="632" customFormat="1" ht="12">
      <c r="C137" s="650" t="s">
        <v>600</v>
      </c>
      <c r="D137" s="651"/>
      <c r="E137" s="654"/>
      <c r="F137" s="665"/>
      <c r="G137" s="651"/>
      <c r="H137" s="654"/>
      <c r="I137" s="655"/>
      <c r="J137" s="642"/>
    </row>
    <row r="138" spans="3:10" s="632" customFormat="1" ht="12" hidden="1">
      <c r="C138" s="650"/>
      <c r="D138" s="651"/>
      <c r="E138" s="654"/>
      <c r="F138" s="665"/>
      <c r="G138" s="651"/>
      <c r="H138" s="654"/>
      <c r="I138" s="655"/>
      <c r="J138" s="642"/>
    </row>
    <row r="139" spans="3:10" s="632" customFormat="1" ht="11.25" customHeight="1" hidden="1">
      <c r="C139" s="650"/>
      <c r="D139" s="651"/>
      <c r="E139" s="654"/>
      <c r="F139" s="665"/>
      <c r="G139" s="651"/>
      <c r="H139" s="654"/>
      <c r="I139" s="655"/>
      <c r="J139" s="642"/>
    </row>
    <row r="140" spans="3:10" s="632" customFormat="1" ht="12" customHeight="1" hidden="1">
      <c r="C140" s="650"/>
      <c r="D140" s="651"/>
      <c r="E140" s="654"/>
      <c r="F140" s="665"/>
      <c r="G140" s="651"/>
      <c r="H140" s="654"/>
      <c r="I140" s="655"/>
      <c r="J140" s="642"/>
    </row>
    <row r="141" spans="3:10" s="632" customFormat="1" ht="12" customHeight="1" hidden="1">
      <c r="C141" s="650"/>
      <c r="D141" s="651"/>
      <c r="E141" s="654"/>
      <c r="F141" s="665"/>
      <c r="G141" s="651"/>
      <c r="H141" s="654"/>
      <c r="I141" s="655"/>
      <c r="J141" s="642"/>
    </row>
    <row r="142" spans="3:10" s="632" customFormat="1" ht="12" customHeight="1" hidden="1">
      <c r="C142" s="650"/>
      <c r="D142" s="651"/>
      <c r="E142" s="652"/>
      <c r="F142" s="665"/>
      <c r="G142" s="651"/>
      <c r="H142" s="654"/>
      <c r="I142" s="655"/>
      <c r="J142" s="642"/>
    </row>
    <row r="143" spans="3:10" s="632" customFormat="1" ht="12" customHeight="1" hidden="1">
      <c r="C143" s="650"/>
      <c r="D143" s="651"/>
      <c r="E143" s="652"/>
      <c r="F143" s="665"/>
      <c r="G143" s="651"/>
      <c r="H143" s="652"/>
      <c r="I143" s="655"/>
      <c r="J143" s="642"/>
    </row>
    <row r="144" spans="3:10" s="637" customFormat="1" ht="12">
      <c r="C144" s="666"/>
      <c r="D144" s="656">
        <f>SUM(D137:D143)</f>
        <v>0</v>
      </c>
      <c r="E144" s="656">
        <f>SUM(E137:E143)</f>
        <v>0</v>
      </c>
      <c r="F144" s="668">
        <v>0</v>
      </c>
      <c r="G144" s="656">
        <f>SUM(G131:G143)</f>
        <v>0</v>
      </c>
      <c r="H144" s="656">
        <f>SUM(H131:H143)</f>
        <v>6</v>
      </c>
      <c r="I144" s="658">
        <v>0</v>
      </c>
      <c r="J144" s="642"/>
    </row>
    <row r="145" spans="3:10" s="637" customFormat="1" ht="12" customHeight="1">
      <c r="C145" s="666"/>
      <c r="D145" s="656"/>
      <c r="E145" s="667"/>
      <c r="F145" s="665"/>
      <c r="G145" s="656"/>
      <c r="H145" s="667"/>
      <c r="I145" s="655"/>
      <c r="J145" s="642"/>
    </row>
    <row r="146" spans="2:10" s="632" customFormat="1" ht="12">
      <c r="B146" s="644" t="s">
        <v>601</v>
      </c>
      <c r="C146" s="645" t="s">
        <v>823</v>
      </c>
      <c r="D146" s="646"/>
      <c r="E146" s="643"/>
      <c r="F146" s="647"/>
      <c r="G146" s="646"/>
      <c r="H146" s="643"/>
      <c r="I146" s="648"/>
      <c r="J146" s="642"/>
    </row>
    <row r="147" spans="3:10" s="632" customFormat="1" ht="12">
      <c r="C147" s="650" t="s">
        <v>603</v>
      </c>
      <c r="D147" s="651"/>
      <c r="E147" s="654"/>
      <c r="F147" s="665"/>
      <c r="G147" s="651">
        <v>26325</v>
      </c>
      <c r="H147" s="654">
        <v>1038</v>
      </c>
      <c r="I147" s="655">
        <f>H147/G147</f>
        <v>0.03943019943019943</v>
      </c>
      <c r="J147" s="642" t="s">
        <v>1150</v>
      </c>
    </row>
    <row r="148" spans="3:10" s="632" customFormat="1" ht="12">
      <c r="C148" s="650" t="s">
        <v>604</v>
      </c>
      <c r="D148" s="651"/>
      <c r="E148" s="861"/>
      <c r="F148" s="665"/>
      <c r="G148" s="651">
        <v>4522</v>
      </c>
      <c r="H148" s="654">
        <v>558</v>
      </c>
      <c r="I148" s="655">
        <f>H148/G148</f>
        <v>0.12339672711189739</v>
      </c>
      <c r="J148" s="642" t="s">
        <v>1150</v>
      </c>
    </row>
    <row r="149" spans="3:10" s="632" customFormat="1" ht="12">
      <c r="C149" s="650" t="s">
        <v>605</v>
      </c>
      <c r="D149" s="651"/>
      <c r="E149" s="652"/>
      <c r="F149" s="665"/>
      <c r="G149" s="651"/>
      <c r="H149" s="654"/>
      <c r="I149" s="655"/>
      <c r="J149" s="642"/>
    </row>
    <row r="150" spans="3:10" s="637" customFormat="1" ht="12">
      <c r="C150" s="666"/>
      <c r="D150" s="656">
        <f>SUM(D147:D149)</f>
        <v>0</v>
      </c>
      <c r="E150" s="656">
        <f>SUM(E147:E149)</f>
        <v>0</v>
      </c>
      <c r="F150" s="668">
        <v>0</v>
      </c>
      <c r="G150" s="656">
        <f>SUM(G147:G149)</f>
        <v>30847</v>
      </c>
      <c r="H150" s="656">
        <f>SUM(H147:H149)</f>
        <v>1596</v>
      </c>
      <c r="I150" s="658">
        <f>H150/G150</f>
        <v>0.05173922909845366</v>
      </c>
      <c r="J150" s="642"/>
    </row>
    <row r="151" spans="2:10" s="672" customFormat="1" ht="12">
      <c r="B151" s="637"/>
      <c r="C151" s="842" t="s">
        <v>824</v>
      </c>
      <c r="D151" s="673">
        <f>D99+D108+D118+D128+D144+D150</f>
        <v>0</v>
      </c>
      <c r="E151" s="673">
        <f>E99+E108+E118+E128+E144+E150</f>
        <v>0</v>
      </c>
      <c r="F151" s="674">
        <v>0</v>
      </c>
      <c r="G151" s="647"/>
      <c r="H151" s="647"/>
      <c r="I151" s="648"/>
      <c r="J151" s="641"/>
    </row>
    <row r="152" spans="2:10" s="632" customFormat="1" ht="12">
      <c r="B152" s="644" t="s">
        <v>607</v>
      </c>
      <c r="C152" s="645" t="s">
        <v>117</v>
      </c>
      <c r="D152" s="646"/>
      <c r="E152" s="643"/>
      <c r="F152" s="647"/>
      <c r="G152" s="646"/>
      <c r="H152" s="643"/>
      <c r="I152" s="648"/>
      <c r="J152" s="642"/>
    </row>
    <row r="153" spans="3:10" s="632" customFormat="1" ht="12">
      <c r="C153" s="650"/>
      <c r="D153" s="651"/>
      <c r="E153" s="652"/>
      <c r="F153" s="653"/>
      <c r="G153" s="651"/>
      <c r="H153" s="654"/>
      <c r="I153" s="655"/>
      <c r="J153" s="642"/>
    </row>
    <row r="154" spans="3:10" s="632" customFormat="1" ht="12" customHeight="1" hidden="1">
      <c r="C154" s="650"/>
      <c r="D154" s="651"/>
      <c r="E154" s="652"/>
      <c r="F154" s="665"/>
      <c r="G154" s="651"/>
      <c r="H154" s="654"/>
      <c r="I154" s="655"/>
      <c r="J154" s="642"/>
    </row>
    <row r="155" spans="3:10" s="632" customFormat="1" ht="12" hidden="1">
      <c r="C155" s="650"/>
      <c r="D155" s="651"/>
      <c r="E155" s="652"/>
      <c r="F155" s="665"/>
      <c r="G155" s="651"/>
      <c r="H155" s="654"/>
      <c r="I155" s="655"/>
      <c r="J155" s="642"/>
    </row>
    <row r="156" spans="3:10" s="632" customFormat="1" ht="12" customHeight="1" hidden="1">
      <c r="C156" s="650"/>
      <c r="D156" s="651"/>
      <c r="E156" s="652"/>
      <c r="F156" s="665"/>
      <c r="G156" s="651"/>
      <c r="H156" s="654"/>
      <c r="I156" s="655"/>
      <c r="J156" s="642"/>
    </row>
    <row r="157" spans="3:10" s="632" customFormat="1" ht="12" hidden="1">
      <c r="C157" s="650"/>
      <c r="D157" s="651"/>
      <c r="E157" s="652"/>
      <c r="F157" s="665"/>
      <c r="G157" s="651"/>
      <c r="H157" s="654"/>
      <c r="I157" s="655"/>
      <c r="J157" s="642"/>
    </row>
    <row r="158" spans="3:10" s="632" customFormat="1" ht="12" hidden="1">
      <c r="C158" s="650"/>
      <c r="D158" s="651"/>
      <c r="E158" s="652"/>
      <c r="F158" s="665"/>
      <c r="G158" s="651"/>
      <c r="H158" s="654"/>
      <c r="I158" s="655"/>
      <c r="J158" s="642"/>
    </row>
    <row r="159" spans="3:10" s="632" customFormat="1" ht="12" customHeight="1" hidden="1">
      <c r="C159" s="862"/>
      <c r="D159" s="651"/>
      <c r="E159" s="652"/>
      <c r="F159" s="665"/>
      <c r="G159" s="651"/>
      <c r="H159" s="654"/>
      <c r="I159" s="655"/>
      <c r="J159" s="642"/>
    </row>
    <row r="160" spans="3:10" s="632" customFormat="1" ht="12" customHeight="1" hidden="1">
      <c r="C160" s="862"/>
      <c r="D160" s="651"/>
      <c r="E160" s="652"/>
      <c r="F160" s="665"/>
      <c r="G160" s="651"/>
      <c r="H160" s="654"/>
      <c r="I160" s="655"/>
      <c r="J160" s="642"/>
    </row>
    <row r="161" spans="3:10" s="632" customFormat="1" ht="12" customHeight="1" hidden="1">
      <c r="C161" s="650"/>
      <c r="D161" s="651"/>
      <c r="E161" s="652"/>
      <c r="F161" s="665"/>
      <c r="G161" s="651"/>
      <c r="H161" s="654"/>
      <c r="I161" s="655"/>
      <c r="J161" s="642"/>
    </row>
    <row r="162" spans="3:10" s="637" customFormat="1" ht="12">
      <c r="C162" s="666"/>
      <c r="D162" s="656"/>
      <c r="E162" s="667"/>
      <c r="F162" s="665"/>
      <c r="G162" s="656">
        <f>SUM(G153:G161)</f>
        <v>0</v>
      </c>
      <c r="H162" s="656">
        <f>SUM(H153:H161)</f>
        <v>0</v>
      </c>
      <c r="I162" s="658">
        <v>0</v>
      </c>
      <c r="J162" s="642"/>
    </row>
    <row r="163" spans="3:10" s="637" customFormat="1" ht="12" customHeight="1">
      <c r="C163" s="666"/>
      <c r="D163" s="656"/>
      <c r="E163" s="667"/>
      <c r="F163" s="665"/>
      <c r="G163" s="656"/>
      <c r="H163" s="667"/>
      <c r="I163" s="655"/>
      <c r="J163" s="642"/>
    </row>
    <row r="164" spans="2:10" s="637" customFormat="1" ht="11.25" customHeight="1">
      <c r="B164" s="644" t="s">
        <v>614</v>
      </c>
      <c r="C164" s="645" t="s">
        <v>825</v>
      </c>
      <c r="D164" s="646"/>
      <c r="E164" s="643"/>
      <c r="F164" s="647"/>
      <c r="G164" s="646"/>
      <c r="H164" s="643"/>
      <c r="I164" s="648"/>
      <c r="J164" s="642"/>
    </row>
    <row r="165" spans="2:10" s="637" customFormat="1" ht="11.25" customHeight="1">
      <c r="B165" s="632"/>
      <c r="C165" s="650"/>
      <c r="D165" s="651"/>
      <c r="E165" s="652"/>
      <c r="F165" s="653"/>
      <c r="G165" s="656"/>
      <c r="H165" s="657"/>
      <c r="I165" s="658"/>
      <c r="J165" s="642"/>
    </row>
    <row r="166" spans="3:10" s="637" customFormat="1" ht="11.25" customHeight="1" hidden="1">
      <c r="C166" s="650"/>
      <c r="D166" s="656"/>
      <c r="E166" s="667"/>
      <c r="F166" s="665"/>
      <c r="G166" s="656"/>
      <c r="H166" s="657"/>
      <c r="I166" s="658"/>
      <c r="J166" s="642"/>
    </row>
    <row r="167" spans="3:10" s="637" customFormat="1" ht="11.25" customHeight="1">
      <c r="C167" s="666"/>
      <c r="D167" s="656"/>
      <c r="E167" s="667"/>
      <c r="F167" s="665"/>
      <c r="G167" s="656">
        <f>SUM(G165:G166)</f>
        <v>0</v>
      </c>
      <c r="H167" s="656">
        <f>SUM(H165:H166)</f>
        <v>0</v>
      </c>
      <c r="I167" s="658">
        <v>0</v>
      </c>
      <c r="J167" s="642"/>
    </row>
    <row r="168" spans="3:10" s="637" customFormat="1" ht="11.25" customHeight="1">
      <c r="C168" s="645"/>
      <c r="D168" s="646"/>
      <c r="E168" s="644"/>
      <c r="F168" s="648"/>
      <c r="G168" s="646"/>
      <c r="H168" s="646"/>
      <c r="I168" s="859"/>
      <c r="J168" s="642"/>
    </row>
    <row r="169" spans="2:10" s="637" customFormat="1" ht="11.25" customHeight="1">
      <c r="B169" s="644" t="s">
        <v>618</v>
      </c>
      <c r="C169" s="645" t="s">
        <v>779</v>
      </c>
      <c r="D169" s="646"/>
      <c r="E169" s="643"/>
      <c r="F169" s="647"/>
      <c r="G169" s="646"/>
      <c r="H169" s="643"/>
      <c r="I169" s="648"/>
      <c r="J169" s="642"/>
    </row>
    <row r="170" spans="3:10" s="637" customFormat="1" ht="11.25" customHeight="1">
      <c r="C170" s="650"/>
      <c r="D170" s="651"/>
      <c r="E170" s="652"/>
      <c r="F170" s="653"/>
      <c r="G170" s="651"/>
      <c r="H170" s="654"/>
      <c r="I170" s="655"/>
      <c r="J170" s="642"/>
    </row>
    <row r="171" spans="2:10" s="637" customFormat="1" ht="11.25" customHeight="1" hidden="1">
      <c r="B171" s="632"/>
      <c r="C171" s="650"/>
      <c r="D171" s="651"/>
      <c r="E171" s="667"/>
      <c r="F171" s="665"/>
      <c r="G171" s="651"/>
      <c r="H171" s="654"/>
      <c r="I171" s="655"/>
      <c r="J171" s="642"/>
    </row>
    <row r="172" spans="3:10" s="637" customFormat="1" ht="11.25" customHeight="1" hidden="1">
      <c r="C172" s="650"/>
      <c r="D172" s="651"/>
      <c r="E172" s="667"/>
      <c r="F172" s="665"/>
      <c r="G172" s="651"/>
      <c r="H172" s="654"/>
      <c r="I172" s="655"/>
      <c r="J172" s="642"/>
    </row>
    <row r="173" spans="3:10" s="637" customFormat="1" ht="11.25" customHeight="1" hidden="1">
      <c r="C173" s="650"/>
      <c r="D173" s="651"/>
      <c r="E173" s="667"/>
      <c r="F173" s="665"/>
      <c r="G173" s="651"/>
      <c r="H173" s="654"/>
      <c r="I173" s="655"/>
      <c r="J173" s="642"/>
    </row>
    <row r="174" spans="3:10" s="637" customFormat="1" ht="11.25" customHeight="1" hidden="1">
      <c r="C174" s="650"/>
      <c r="D174" s="651"/>
      <c r="E174" s="667"/>
      <c r="F174" s="665"/>
      <c r="G174" s="651"/>
      <c r="H174" s="654"/>
      <c r="I174" s="655"/>
      <c r="J174" s="642"/>
    </row>
    <row r="175" spans="3:10" s="637" customFormat="1" ht="11.25" customHeight="1" hidden="1">
      <c r="C175" s="650"/>
      <c r="D175" s="651"/>
      <c r="E175" s="667"/>
      <c r="F175" s="665"/>
      <c r="G175" s="651"/>
      <c r="H175" s="654"/>
      <c r="I175" s="655"/>
      <c r="J175" s="642"/>
    </row>
    <row r="176" spans="3:10" s="637" customFormat="1" ht="11.25" customHeight="1" hidden="1">
      <c r="C176" s="650"/>
      <c r="D176" s="651"/>
      <c r="E176" s="667"/>
      <c r="F176" s="665"/>
      <c r="G176" s="651"/>
      <c r="H176" s="654"/>
      <c r="I176" s="655"/>
      <c r="J176" s="642"/>
    </row>
    <row r="177" spans="3:10" s="637" customFormat="1" ht="11.25" customHeight="1" hidden="1">
      <c r="C177" s="650"/>
      <c r="D177" s="651"/>
      <c r="E177" s="667"/>
      <c r="F177" s="665"/>
      <c r="G177" s="651"/>
      <c r="H177" s="654"/>
      <c r="I177" s="655"/>
      <c r="J177" s="642"/>
    </row>
    <row r="178" spans="3:10" s="637" customFormat="1" ht="11.25" customHeight="1" hidden="1">
      <c r="C178" s="650"/>
      <c r="D178" s="651"/>
      <c r="E178" s="667"/>
      <c r="F178" s="665"/>
      <c r="G178" s="651"/>
      <c r="H178" s="654"/>
      <c r="I178" s="655"/>
      <c r="J178" s="642"/>
    </row>
    <row r="179" spans="3:10" s="637" customFormat="1" ht="11.25" customHeight="1">
      <c r="C179" s="650"/>
      <c r="D179" s="656"/>
      <c r="E179" s="667"/>
      <c r="F179" s="665"/>
      <c r="G179" s="656">
        <f>SUM(G170:G178)</f>
        <v>0</v>
      </c>
      <c r="H179" s="656">
        <f>SUM(H170:H178)</f>
        <v>0</v>
      </c>
      <c r="I179" s="658">
        <v>0</v>
      </c>
      <c r="J179" s="642"/>
    </row>
    <row r="180" spans="3:10" s="637" customFormat="1" ht="11.25" customHeight="1">
      <c r="C180" s="666"/>
      <c r="D180" s="676"/>
      <c r="E180" s="667"/>
      <c r="F180" s="665"/>
      <c r="G180" s="677"/>
      <c r="H180" s="667"/>
      <c r="I180" s="655"/>
      <c r="J180" s="642"/>
    </row>
    <row r="181" spans="3:10" s="637" customFormat="1" ht="11.25" customHeight="1">
      <c r="C181" s="645"/>
      <c r="D181" s="646"/>
      <c r="E181" s="643"/>
      <c r="F181" s="647"/>
      <c r="G181" s="646"/>
      <c r="H181" s="643"/>
      <c r="I181" s="648"/>
      <c r="J181" s="642"/>
    </row>
    <row r="182" spans="2:10" s="637" customFormat="1" ht="11.25" customHeight="1">
      <c r="B182" s="644" t="s">
        <v>628</v>
      </c>
      <c r="C182" s="645" t="s">
        <v>629</v>
      </c>
      <c r="D182" s="646"/>
      <c r="E182" s="643"/>
      <c r="F182" s="647"/>
      <c r="G182" s="646"/>
      <c r="H182" s="643"/>
      <c r="I182" s="648"/>
      <c r="J182" s="642"/>
    </row>
    <row r="183" spans="3:10" s="637" customFormat="1" ht="11.25" customHeight="1">
      <c r="C183" s="650"/>
      <c r="D183" s="651"/>
      <c r="E183" s="652"/>
      <c r="F183" s="653"/>
      <c r="G183" s="651"/>
      <c r="H183" s="654"/>
      <c r="I183" s="655"/>
      <c r="J183" s="642"/>
    </row>
    <row r="184" spans="2:10" s="637" customFormat="1" ht="11.25" customHeight="1" hidden="1">
      <c r="B184" s="632"/>
      <c r="C184" s="659"/>
      <c r="D184" s="651"/>
      <c r="E184" s="654"/>
      <c r="F184" s="665"/>
      <c r="G184" s="651"/>
      <c r="H184" s="654"/>
      <c r="I184" s="655"/>
      <c r="J184" s="642"/>
    </row>
    <row r="185" spans="3:10" s="637" customFormat="1" ht="11.25" customHeight="1" hidden="1">
      <c r="C185" s="659"/>
      <c r="D185" s="651"/>
      <c r="E185" s="654"/>
      <c r="F185" s="665"/>
      <c r="G185" s="651"/>
      <c r="H185" s="654"/>
      <c r="I185" s="655"/>
      <c r="J185" s="642"/>
    </row>
    <row r="186" spans="3:10" s="637" customFormat="1" ht="11.25" customHeight="1" hidden="1">
      <c r="C186" s="659"/>
      <c r="D186" s="651"/>
      <c r="E186" s="654"/>
      <c r="F186" s="665"/>
      <c r="G186" s="651"/>
      <c r="H186" s="654"/>
      <c r="I186" s="655"/>
      <c r="J186" s="642"/>
    </row>
    <row r="187" spans="3:10" s="637" customFormat="1" ht="11.25" customHeight="1" hidden="1">
      <c r="C187" s="650"/>
      <c r="D187" s="651"/>
      <c r="E187" s="654"/>
      <c r="F187" s="665"/>
      <c r="G187" s="651"/>
      <c r="H187" s="654"/>
      <c r="I187" s="655"/>
      <c r="J187" s="642"/>
    </row>
    <row r="188" spans="3:10" s="637" customFormat="1" ht="11.25" customHeight="1" hidden="1">
      <c r="C188" s="650"/>
      <c r="D188" s="651"/>
      <c r="E188" s="654"/>
      <c r="F188" s="665"/>
      <c r="G188" s="651"/>
      <c r="H188" s="654"/>
      <c r="I188" s="655"/>
      <c r="J188" s="642"/>
    </row>
    <row r="189" spans="3:10" s="637" customFormat="1" ht="11.25" customHeight="1" hidden="1">
      <c r="C189" s="650"/>
      <c r="D189" s="651"/>
      <c r="E189" s="654"/>
      <c r="F189" s="665"/>
      <c r="G189" s="651"/>
      <c r="H189" s="654"/>
      <c r="I189" s="655"/>
      <c r="J189" s="642"/>
    </row>
    <row r="190" spans="3:10" s="637" customFormat="1" ht="11.25" customHeight="1" hidden="1">
      <c r="C190" s="650"/>
      <c r="D190" s="651"/>
      <c r="E190" s="654"/>
      <c r="F190" s="665"/>
      <c r="G190" s="651"/>
      <c r="H190" s="654"/>
      <c r="I190" s="655"/>
      <c r="J190" s="642"/>
    </row>
    <row r="191" spans="2:10" s="637" customFormat="1" ht="11.25" customHeight="1" hidden="1">
      <c r="B191" s="644"/>
      <c r="C191" s="666"/>
      <c r="D191" s="651"/>
      <c r="E191" s="654"/>
      <c r="F191" s="665"/>
      <c r="G191" s="651"/>
      <c r="H191" s="654"/>
      <c r="I191" s="655"/>
      <c r="J191" s="642"/>
    </row>
    <row r="192" spans="2:10" s="637" customFormat="1" ht="11.25" customHeight="1" hidden="1">
      <c r="B192" s="632"/>
      <c r="C192" s="675"/>
      <c r="D192" s="651"/>
      <c r="E192" s="654"/>
      <c r="F192" s="665"/>
      <c r="G192" s="651"/>
      <c r="H192" s="654"/>
      <c r="I192" s="655"/>
      <c r="J192" s="642"/>
    </row>
    <row r="193" spans="3:10" s="637" customFormat="1" ht="11.25" customHeight="1" hidden="1">
      <c r="C193" s="683"/>
      <c r="D193" s="651"/>
      <c r="E193" s="654"/>
      <c r="F193" s="665"/>
      <c r="G193" s="651"/>
      <c r="H193" s="667"/>
      <c r="I193" s="684"/>
      <c r="J193" s="642"/>
    </row>
    <row r="194" spans="3:10" s="637" customFormat="1" ht="11.25" customHeight="1" hidden="1">
      <c r="C194" s="675"/>
      <c r="D194" s="651"/>
      <c r="E194" s="654"/>
      <c r="F194" s="665"/>
      <c r="G194" s="651"/>
      <c r="H194" s="667"/>
      <c r="I194" s="655"/>
      <c r="J194" s="642"/>
    </row>
    <row r="195" spans="3:10" s="637" customFormat="1" ht="11.25" customHeight="1" hidden="1">
      <c r="C195" s="675"/>
      <c r="D195" s="651"/>
      <c r="E195" s="654"/>
      <c r="F195" s="665"/>
      <c r="G195" s="651"/>
      <c r="H195" s="667"/>
      <c r="I195" s="655"/>
      <c r="J195" s="642"/>
    </row>
    <row r="196" spans="3:10" s="637" customFormat="1" ht="11.25" customHeight="1" hidden="1">
      <c r="C196" s="675"/>
      <c r="D196" s="651"/>
      <c r="E196" s="654"/>
      <c r="F196" s="665"/>
      <c r="G196" s="651"/>
      <c r="H196" s="667"/>
      <c r="I196" s="655"/>
      <c r="J196" s="642"/>
    </row>
    <row r="197" spans="3:10" s="637" customFormat="1" ht="11.25" customHeight="1" hidden="1">
      <c r="C197" s="675"/>
      <c r="D197" s="651"/>
      <c r="E197" s="654"/>
      <c r="F197" s="665"/>
      <c r="G197" s="651"/>
      <c r="H197" s="667"/>
      <c r="I197" s="655"/>
      <c r="J197" s="642"/>
    </row>
    <row r="198" spans="3:10" s="637" customFormat="1" ht="11.25" customHeight="1" hidden="1">
      <c r="C198" s="675"/>
      <c r="D198" s="651"/>
      <c r="E198" s="654"/>
      <c r="F198" s="665"/>
      <c r="G198" s="651"/>
      <c r="H198" s="667"/>
      <c r="I198" s="655"/>
      <c r="J198" s="642"/>
    </row>
    <row r="199" spans="3:10" s="637" customFormat="1" ht="11.25" customHeight="1" hidden="1">
      <c r="C199" s="675"/>
      <c r="D199" s="651"/>
      <c r="E199" s="654"/>
      <c r="F199" s="665"/>
      <c r="G199" s="651"/>
      <c r="H199" s="667"/>
      <c r="I199" s="655"/>
      <c r="J199" s="642"/>
    </row>
    <row r="200" spans="3:10" s="637" customFormat="1" ht="11.25" customHeight="1" hidden="1">
      <c r="C200" s="675"/>
      <c r="D200" s="651"/>
      <c r="E200" s="654"/>
      <c r="F200" s="665"/>
      <c r="G200" s="651"/>
      <c r="H200" s="667"/>
      <c r="I200" s="655"/>
      <c r="J200" s="642"/>
    </row>
    <row r="201" spans="3:10" s="637" customFormat="1" ht="11.25" customHeight="1" hidden="1">
      <c r="C201" s="675"/>
      <c r="D201" s="651"/>
      <c r="E201" s="654"/>
      <c r="F201" s="665"/>
      <c r="G201" s="651"/>
      <c r="H201" s="667"/>
      <c r="I201" s="655"/>
      <c r="J201" s="642"/>
    </row>
    <row r="202" spans="3:10" s="637" customFormat="1" ht="11.25" customHeight="1" hidden="1">
      <c r="C202" s="675"/>
      <c r="D202" s="651"/>
      <c r="E202" s="654"/>
      <c r="F202" s="665"/>
      <c r="G202" s="651"/>
      <c r="H202" s="667"/>
      <c r="I202" s="655"/>
      <c r="J202" s="642"/>
    </row>
    <row r="203" spans="3:9" s="637" customFormat="1" ht="11.25" customHeight="1" hidden="1">
      <c r="C203" s="675"/>
      <c r="D203" s="651"/>
      <c r="E203" s="654"/>
      <c r="F203" s="665"/>
      <c r="G203" s="651"/>
      <c r="H203" s="667"/>
      <c r="I203" s="655"/>
    </row>
    <row r="204" spans="3:10" s="637" customFormat="1" ht="11.25" customHeight="1" hidden="1">
      <c r="C204" s="675"/>
      <c r="D204" s="651"/>
      <c r="E204" s="654"/>
      <c r="F204" s="665"/>
      <c r="G204" s="651"/>
      <c r="H204" s="667"/>
      <c r="I204" s="655"/>
      <c r="J204" s="642"/>
    </row>
    <row r="205" spans="3:10" s="637" customFormat="1" ht="11.25" customHeight="1" hidden="1">
      <c r="C205" s="675"/>
      <c r="D205" s="651"/>
      <c r="E205" s="654"/>
      <c r="F205" s="665"/>
      <c r="G205" s="651"/>
      <c r="H205" s="667"/>
      <c r="I205" s="655"/>
      <c r="J205" s="642"/>
    </row>
    <row r="206" spans="3:10" s="637" customFormat="1" ht="11.25" customHeight="1" hidden="1">
      <c r="C206" s="650"/>
      <c r="D206" s="651"/>
      <c r="E206" s="654"/>
      <c r="F206" s="665"/>
      <c r="G206" s="651"/>
      <c r="H206" s="667"/>
      <c r="I206" s="655"/>
      <c r="J206" s="642"/>
    </row>
    <row r="207" spans="3:10" s="637" customFormat="1" ht="11.25" customHeight="1" hidden="1">
      <c r="C207" s="650"/>
      <c r="D207" s="651"/>
      <c r="E207" s="654"/>
      <c r="F207" s="665"/>
      <c r="G207" s="651"/>
      <c r="H207" s="667"/>
      <c r="I207" s="655"/>
      <c r="J207" s="642"/>
    </row>
    <row r="208" spans="3:10" s="637" customFormat="1" ht="11.25" customHeight="1" hidden="1">
      <c r="C208" s="650"/>
      <c r="D208" s="651"/>
      <c r="E208" s="654"/>
      <c r="F208" s="665"/>
      <c r="G208" s="651"/>
      <c r="H208" s="667"/>
      <c r="I208" s="655"/>
      <c r="J208" s="642"/>
    </row>
    <row r="209" spans="3:10" s="637" customFormat="1" ht="11.25" customHeight="1" hidden="1">
      <c r="C209" s="650"/>
      <c r="D209" s="651"/>
      <c r="E209" s="654"/>
      <c r="F209" s="665"/>
      <c r="G209" s="651"/>
      <c r="H209" s="667"/>
      <c r="I209" s="655"/>
      <c r="J209" s="642"/>
    </row>
    <row r="210" spans="3:10" s="637" customFormat="1" ht="11.25" customHeight="1" hidden="1">
      <c r="C210" s="650"/>
      <c r="D210" s="651"/>
      <c r="E210" s="654"/>
      <c r="F210" s="665"/>
      <c r="G210" s="651"/>
      <c r="H210" s="667"/>
      <c r="I210" s="655"/>
      <c r="J210" s="642"/>
    </row>
    <row r="211" spans="3:10" s="637" customFormat="1" ht="11.25" customHeight="1" hidden="1">
      <c r="C211" s="650"/>
      <c r="D211" s="651"/>
      <c r="E211" s="654"/>
      <c r="F211" s="665"/>
      <c r="G211" s="651"/>
      <c r="H211" s="667"/>
      <c r="I211" s="655"/>
      <c r="J211" s="642"/>
    </row>
    <row r="212" spans="3:10" s="637" customFormat="1" ht="11.25" customHeight="1" hidden="1">
      <c r="C212" s="650"/>
      <c r="D212" s="651"/>
      <c r="E212" s="654"/>
      <c r="F212" s="665"/>
      <c r="G212" s="651"/>
      <c r="H212" s="667"/>
      <c r="I212" s="655"/>
      <c r="J212" s="642"/>
    </row>
    <row r="213" spans="3:10" s="637" customFormat="1" ht="11.25" customHeight="1" hidden="1">
      <c r="C213" s="650"/>
      <c r="D213" s="651"/>
      <c r="E213" s="654"/>
      <c r="F213" s="665"/>
      <c r="G213" s="651"/>
      <c r="H213" s="667"/>
      <c r="I213" s="655"/>
      <c r="J213" s="642"/>
    </row>
    <row r="214" spans="3:10" s="637" customFormat="1" ht="11.25" customHeight="1" hidden="1">
      <c r="C214" s="650"/>
      <c r="D214" s="651"/>
      <c r="E214" s="654"/>
      <c r="F214" s="665"/>
      <c r="G214" s="651"/>
      <c r="H214" s="667"/>
      <c r="I214" s="655"/>
      <c r="J214" s="642"/>
    </row>
    <row r="215" spans="3:10" s="637" customFormat="1" ht="11.25" customHeight="1" hidden="1">
      <c r="C215" s="650"/>
      <c r="D215" s="651"/>
      <c r="E215" s="654"/>
      <c r="F215" s="665"/>
      <c r="G215" s="651"/>
      <c r="H215" s="667"/>
      <c r="I215" s="655"/>
      <c r="J215" s="642"/>
    </row>
    <row r="216" spans="3:10" s="637" customFormat="1" ht="11.25" customHeight="1" hidden="1">
      <c r="C216" s="650"/>
      <c r="D216" s="651"/>
      <c r="E216" s="654"/>
      <c r="F216" s="665"/>
      <c r="G216" s="651"/>
      <c r="H216" s="667"/>
      <c r="I216" s="655"/>
      <c r="J216" s="642"/>
    </row>
    <row r="217" spans="3:10" s="637" customFormat="1" ht="11.25" customHeight="1" hidden="1">
      <c r="C217" s="650"/>
      <c r="D217" s="651"/>
      <c r="E217" s="654"/>
      <c r="F217" s="665"/>
      <c r="G217" s="651"/>
      <c r="H217" s="667"/>
      <c r="I217" s="655"/>
      <c r="J217" s="642"/>
    </row>
    <row r="218" spans="3:10" s="637" customFormat="1" ht="11.25" customHeight="1" hidden="1">
      <c r="C218" s="650"/>
      <c r="D218" s="651"/>
      <c r="E218" s="654"/>
      <c r="F218" s="665"/>
      <c r="G218" s="651"/>
      <c r="H218" s="667"/>
      <c r="I218" s="655"/>
      <c r="J218" s="642"/>
    </row>
    <row r="219" spans="3:10" s="637" customFormat="1" ht="11.25" customHeight="1" hidden="1">
      <c r="C219" s="650"/>
      <c r="D219" s="651"/>
      <c r="E219" s="654"/>
      <c r="F219" s="665"/>
      <c r="G219" s="651"/>
      <c r="H219" s="667"/>
      <c r="I219" s="655"/>
      <c r="J219" s="642"/>
    </row>
    <row r="220" spans="3:10" s="637" customFormat="1" ht="11.25" customHeight="1" hidden="1">
      <c r="C220" s="650"/>
      <c r="D220" s="651"/>
      <c r="E220" s="654"/>
      <c r="F220" s="665"/>
      <c r="G220" s="651"/>
      <c r="H220" s="667"/>
      <c r="I220" s="655"/>
      <c r="J220" s="642"/>
    </row>
    <row r="221" spans="3:10" s="637" customFormat="1" ht="11.25" customHeight="1" hidden="1">
      <c r="C221" s="650"/>
      <c r="D221" s="651"/>
      <c r="E221" s="654"/>
      <c r="F221" s="665"/>
      <c r="G221" s="651"/>
      <c r="H221" s="667"/>
      <c r="I221" s="655"/>
      <c r="J221" s="642"/>
    </row>
    <row r="222" spans="3:10" s="637" customFormat="1" ht="11.25" customHeight="1" hidden="1">
      <c r="C222" s="682"/>
      <c r="D222" s="679"/>
      <c r="E222" s="680"/>
      <c r="F222" s="681"/>
      <c r="G222" s="651"/>
      <c r="H222" s="667"/>
      <c r="I222" s="655"/>
      <c r="J222" s="642"/>
    </row>
    <row r="223" spans="3:10" s="637" customFormat="1" ht="11.25" customHeight="1" hidden="1">
      <c r="C223" s="650"/>
      <c r="D223" s="651"/>
      <c r="E223" s="654"/>
      <c r="F223" s="665"/>
      <c r="G223" s="651"/>
      <c r="H223" s="667"/>
      <c r="I223" s="655"/>
      <c r="J223" s="642"/>
    </row>
    <row r="224" spans="3:10" s="637" customFormat="1" ht="11.25" customHeight="1" hidden="1">
      <c r="C224" s="683"/>
      <c r="D224" s="651"/>
      <c r="E224" s="667"/>
      <c r="F224" s="665"/>
      <c r="G224" s="651"/>
      <c r="H224" s="667"/>
      <c r="I224" s="684"/>
      <c r="J224" s="642"/>
    </row>
    <row r="225" spans="3:10" s="637" customFormat="1" ht="11.25" customHeight="1" hidden="1">
      <c r="C225" s="683"/>
      <c r="D225" s="651"/>
      <c r="E225" s="667"/>
      <c r="F225" s="665"/>
      <c r="G225" s="651"/>
      <c r="H225" s="667"/>
      <c r="I225" s="684"/>
      <c r="J225" s="642"/>
    </row>
    <row r="226" spans="3:10" s="637" customFormat="1" ht="11.25" customHeight="1" hidden="1">
      <c r="C226" s="683"/>
      <c r="D226" s="651"/>
      <c r="E226" s="667"/>
      <c r="F226" s="665"/>
      <c r="G226" s="651"/>
      <c r="H226" s="667"/>
      <c r="I226" s="684"/>
      <c r="J226" s="642"/>
    </row>
    <row r="227" spans="3:10" s="637" customFormat="1" ht="11.25" customHeight="1" hidden="1">
      <c r="C227" s="683"/>
      <c r="D227" s="651"/>
      <c r="E227" s="667"/>
      <c r="F227" s="665"/>
      <c r="G227" s="651"/>
      <c r="H227" s="667"/>
      <c r="I227" s="684"/>
      <c r="J227" s="642"/>
    </row>
    <row r="228" spans="3:10" s="637" customFormat="1" ht="11.25" customHeight="1" hidden="1">
      <c r="C228" s="683"/>
      <c r="D228" s="651"/>
      <c r="E228" s="667"/>
      <c r="F228" s="665"/>
      <c r="G228" s="651"/>
      <c r="H228" s="667"/>
      <c r="I228" s="684"/>
      <c r="J228" s="642"/>
    </row>
    <row r="229" spans="3:10" s="637" customFormat="1" ht="11.25" customHeight="1" hidden="1">
      <c r="C229" s="683"/>
      <c r="D229" s="651"/>
      <c r="E229" s="667"/>
      <c r="F229" s="665"/>
      <c r="G229" s="651"/>
      <c r="H229" s="667"/>
      <c r="I229" s="684"/>
      <c r="J229" s="642"/>
    </row>
    <row r="230" spans="3:10" s="637" customFormat="1" ht="11.25" customHeight="1" hidden="1">
      <c r="C230" s="683"/>
      <c r="D230" s="651"/>
      <c r="E230" s="667"/>
      <c r="F230" s="665"/>
      <c r="G230" s="651"/>
      <c r="H230" s="667"/>
      <c r="I230" s="684"/>
      <c r="J230" s="642"/>
    </row>
    <row r="231" spans="3:10" s="637" customFormat="1" ht="11.25" customHeight="1" hidden="1">
      <c r="C231" s="650"/>
      <c r="D231" s="651"/>
      <c r="E231" s="654"/>
      <c r="F231" s="665"/>
      <c r="G231" s="651"/>
      <c r="H231" s="667"/>
      <c r="I231" s="655"/>
      <c r="J231" s="642"/>
    </row>
    <row r="232" spans="3:10" s="637" customFormat="1" ht="23.25" customHeight="1" hidden="1">
      <c r="C232" s="650"/>
      <c r="D232" s="651"/>
      <c r="E232" s="654"/>
      <c r="F232" s="665"/>
      <c r="G232" s="651"/>
      <c r="H232" s="667"/>
      <c r="I232" s="655"/>
      <c r="J232" s="642"/>
    </row>
    <row r="233" spans="3:10" s="637" customFormat="1" ht="11.25" customHeight="1" hidden="1">
      <c r="C233" s="650"/>
      <c r="D233" s="651"/>
      <c r="E233" s="654"/>
      <c r="F233" s="665"/>
      <c r="G233" s="651"/>
      <c r="H233" s="667"/>
      <c r="I233" s="655"/>
      <c r="J233" s="642"/>
    </row>
    <row r="234" spans="3:9" s="637" customFormat="1" ht="11.25" customHeight="1" hidden="1">
      <c r="C234" s="650"/>
      <c r="D234" s="651"/>
      <c r="E234" s="654"/>
      <c r="F234" s="665"/>
      <c r="G234" s="651"/>
      <c r="H234" s="667"/>
      <c r="I234" s="655"/>
    </row>
    <row r="235" spans="3:9" s="637" customFormat="1" ht="11.25" customHeight="1">
      <c r="C235" s="650"/>
      <c r="D235" s="656">
        <f>SUM(D183:D234)</f>
        <v>0</v>
      </c>
      <c r="E235" s="656">
        <f>SUM(E183:E234)</f>
        <v>0</v>
      </c>
      <c r="F235" s="668">
        <v>0</v>
      </c>
      <c r="G235" s="656">
        <f>SUM(G183:G234)</f>
        <v>0</v>
      </c>
      <c r="H235" s="656">
        <f>SUM(H183:H234)</f>
        <v>0</v>
      </c>
      <c r="I235" s="658">
        <v>0</v>
      </c>
    </row>
    <row r="236" spans="3:10" s="637" customFormat="1" ht="11.25" customHeight="1">
      <c r="C236" s="645"/>
      <c r="D236" s="646"/>
      <c r="E236" s="643"/>
      <c r="F236" s="647"/>
      <c r="G236" s="646"/>
      <c r="H236" s="643"/>
      <c r="I236" s="648"/>
      <c r="J236" s="642"/>
    </row>
    <row r="237" spans="2:9" s="637" customFormat="1" ht="11.25" customHeight="1">
      <c r="B237" s="637" t="s">
        <v>632</v>
      </c>
      <c r="C237" s="645" t="s">
        <v>472</v>
      </c>
      <c r="D237" s="685"/>
      <c r="E237" s="643"/>
      <c r="F237" s="648"/>
      <c r="G237" s="685"/>
      <c r="H237" s="643"/>
      <c r="I237" s="648"/>
    </row>
    <row r="238" spans="3:9" s="637" customFormat="1" ht="11.25" customHeight="1">
      <c r="C238" s="650" t="s">
        <v>762</v>
      </c>
      <c r="D238" s="651"/>
      <c r="E238" s="652"/>
      <c r="F238" s="665"/>
      <c r="G238" s="651">
        <v>4500</v>
      </c>
      <c r="H238" s="654">
        <v>0</v>
      </c>
      <c r="I238" s="655">
        <f>H238/G238</f>
        <v>0</v>
      </c>
    </row>
    <row r="239" spans="3:9" s="637" customFormat="1" ht="11.25" customHeight="1">
      <c r="C239" s="650"/>
      <c r="D239" s="651"/>
      <c r="E239" s="652"/>
      <c r="F239" s="665"/>
      <c r="G239" s="651"/>
      <c r="H239" s="654"/>
      <c r="I239" s="655">
        <v>0</v>
      </c>
    </row>
    <row r="240" spans="3:9" s="637" customFormat="1" ht="12" customHeight="1" hidden="1">
      <c r="C240" s="650"/>
      <c r="D240" s="651"/>
      <c r="E240" s="652"/>
      <c r="F240" s="665"/>
      <c r="G240" s="651"/>
      <c r="H240" s="652"/>
      <c r="I240" s="655"/>
    </row>
    <row r="241" spans="3:10" s="637" customFormat="1" ht="11.25" customHeight="1" hidden="1">
      <c r="C241" s="650"/>
      <c r="D241" s="651"/>
      <c r="E241" s="652"/>
      <c r="F241" s="665"/>
      <c r="G241" s="651"/>
      <c r="H241" s="654"/>
      <c r="I241" s="655"/>
      <c r="J241" s="642"/>
    </row>
    <row r="242" spans="3:10" s="637" customFormat="1" ht="11.25" customHeight="1" hidden="1">
      <c r="C242" s="678"/>
      <c r="D242" s="651"/>
      <c r="E242" s="652"/>
      <c r="F242" s="665"/>
      <c r="G242" s="651"/>
      <c r="H242" s="863"/>
      <c r="I242" s="655"/>
      <c r="J242" s="642"/>
    </row>
    <row r="243" spans="3:10" s="637" customFormat="1" ht="11.25" customHeight="1" hidden="1">
      <c r="C243" s="650"/>
      <c r="D243" s="651"/>
      <c r="E243" s="652"/>
      <c r="F243" s="665"/>
      <c r="G243" s="651"/>
      <c r="H243" s="654"/>
      <c r="I243" s="655"/>
      <c r="J243" s="642"/>
    </row>
    <row r="244" spans="3:10" s="637" customFormat="1" ht="11.25" customHeight="1" hidden="1">
      <c r="C244" s="650"/>
      <c r="D244" s="651"/>
      <c r="E244" s="652"/>
      <c r="F244" s="665"/>
      <c r="G244" s="651"/>
      <c r="H244" s="654"/>
      <c r="I244" s="655"/>
      <c r="J244" s="642"/>
    </row>
    <row r="245" spans="3:10" s="637" customFormat="1" ht="11.25" customHeight="1" hidden="1">
      <c r="C245" s="650"/>
      <c r="D245" s="651"/>
      <c r="E245" s="652"/>
      <c r="F245" s="665"/>
      <c r="G245" s="651"/>
      <c r="H245" s="654"/>
      <c r="I245" s="655"/>
      <c r="J245" s="642"/>
    </row>
    <row r="246" spans="2:10" s="672" customFormat="1" ht="12" hidden="1">
      <c r="B246" s="637"/>
      <c r="C246" s="650"/>
      <c r="D246" s="651"/>
      <c r="E246" s="652"/>
      <c r="F246" s="665"/>
      <c r="G246" s="651"/>
      <c r="H246" s="654"/>
      <c r="I246" s="655"/>
      <c r="J246" s="641"/>
    </row>
    <row r="247" spans="3:10" s="643" customFormat="1" ht="12" customHeight="1" hidden="1">
      <c r="C247" s="650"/>
      <c r="D247" s="651"/>
      <c r="E247" s="652"/>
      <c r="F247" s="665"/>
      <c r="G247" s="651"/>
      <c r="H247" s="654"/>
      <c r="I247" s="655"/>
      <c r="J247" s="649"/>
    </row>
    <row r="248" spans="3:10" s="632" customFormat="1" ht="12.75" customHeight="1" hidden="1">
      <c r="C248" s="650"/>
      <c r="D248" s="651"/>
      <c r="E248" s="652"/>
      <c r="F248" s="665"/>
      <c r="G248" s="651"/>
      <c r="H248" s="654"/>
      <c r="I248" s="655"/>
      <c r="J248" s="642"/>
    </row>
    <row r="249" spans="3:10" s="632" customFormat="1" ht="12.75" customHeight="1" hidden="1">
      <c r="C249" s="650"/>
      <c r="D249" s="651"/>
      <c r="E249" s="652"/>
      <c r="F249" s="665"/>
      <c r="G249" s="651"/>
      <c r="H249" s="654"/>
      <c r="I249" s="655"/>
      <c r="J249" s="642"/>
    </row>
    <row r="250" spans="3:10" s="632" customFormat="1" ht="12.75" customHeight="1" hidden="1">
      <c r="C250" s="650"/>
      <c r="D250" s="651"/>
      <c r="E250" s="652"/>
      <c r="F250" s="665"/>
      <c r="G250" s="651"/>
      <c r="H250" s="654"/>
      <c r="I250" s="655"/>
      <c r="J250" s="642"/>
    </row>
    <row r="251" spans="3:10" s="632" customFormat="1" ht="12.75" customHeight="1" hidden="1">
      <c r="C251" s="650"/>
      <c r="D251" s="651"/>
      <c r="E251" s="652"/>
      <c r="F251" s="665"/>
      <c r="G251" s="651"/>
      <c r="H251" s="654"/>
      <c r="I251" s="655"/>
      <c r="J251" s="642"/>
    </row>
    <row r="252" spans="3:10" s="632" customFormat="1" ht="11.25" customHeight="1">
      <c r="C252" s="666"/>
      <c r="D252" s="651"/>
      <c r="E252" s="652"/>
      <c r="F252" s="665"/>
      <c r="G252" s="656">
        <f>SUM(G238:G251)</f>
        <v>4500</v>
      </c>
      <c r="H252" s="656">
        <f>SUM(H238:H251)</f>
        <v>0</v>
      </c>
      <c r="I252" s="658">
        <f>H252/G252</f>
        <v>0</v>
      </c>
      <c r="J252" s="642"/>
    </row>
    <row r="253" spans="3:10" s="632" customFormat="1" ht="12.75" customHeight="1">
      <c r="C253" s="666"/>
      <c r="D253" s="651"/>
      <c r="E253" s="652"/>
      <c r="F253" s="665"/>
      <c r="G253" s="651"/>
      <c r="H253" s="652"/>
      <c r="I253" s="655"/>
      <c r="J253" s="642"/>
    </row>
    <row r="254" spans="3:10" s="632" customFormat="1" ht="12.75" customHeight="1">
      <c r="C254" s="644" t="s">
        <v>826</v>
      </c>
      <c r="D254" s="685"/>
      <c r="E254" s="643"/>
      <c r="F254" s="648"/>
      <c r="G254" s="685"/>
      <c r="H254" s="643"/>
      <c r="I254" s="648"/>
      <c r="J254" s="642"/>
    </row>
    <row r="255" spans="3:10" s="632" customFormat="1" ht="12" customHeight="1">
      <c r="C255" s="650" t="s">
        <v>827</v>
      </c>
      <c r="D255" s="651"/>
      <c r="E255" s="652"/>
      <c r="F255" s="665"/>
      <c r="G255" s="651">
        <v>26350</v>
      </c>
      <c r="H255" s="654">
        <v>0</v>
      </c>
      <c r="I255" s="655">
        <f>H255/G255</f>
        <v>0</v>
      </c>
      <c r="J255" s="642"/>
    </row>
    <row r="256" spans="3:10" s="632" customFormat="1" ht="12" customHeight="1">
      <c r="C256" s="650"/>
      <c r="D256" s="651"/>
      <c r="E256" s="652"/>
      <c r="F256" s="665"/>
      <c r="G256" s="651"/>
      <c r="H256" s="654"/>
      <c r="I256" s="655"/>
      <c r="J256" s="642"/>
    </row>
    <row r="257" spans="3:10" s="632" customFormat="1" ht="12" customHeight="1" hidden="1">
      <c r="C257" s="650"/>
      <c r="D257" s="651"/>
      <c r="E257" s="652"/>
      <c r="F257" s="665"/>
      <c r="G257" s="651"/>
      <c r="H257" s="654"/>
      <c r="I257" s="655"/>
      <c r="J257" s="642"/>
    </row>
    <row r="258" spans="3:10" s="632" customFormat="1" ht="12" customHeight="1" hidden="1">
      <c r="C258" s="650"/>
      <c r="D258" s="651"/>
      <c r="E258" s="652"/>
      <c r="F258" s="665"/>
      <c r="G258" s="651"/>
      <c r="H258" s="654"/>
      <c r="I258" s="655"/>
      <c r="J258" s="642"/>
    </row>
    <row r="259" spans="3:10" s="632" customFormat="1" ht="12" customHeight="1" hidden="1">
      <c r="C259" s="650"/>
      <c r="D259" s="651"/>
      <c r="E259" s="652"/>
      <c r="F259" s="665"/>
      <c r="G259" s="651"/>
      <c r="H259" s="654"/>
      <c r="I259" s="655"/>
      <c r="J259" s="642"/>
    </row>
    <row r="260" spans="3:10" s="632" customFormat="1" ht="12" customHeight="1" hidden="1">
      <c r="C260" s="650"/>
      <c r="D260" s="651"/>
      <c r="E260" s="652"/>
      <c r="F260" s="665"/>
      <c r="G260" s="651"/>
      <c r="H260" s="654"/>
      <c r="I260" s="655"/>
      <c r="J260" s="642"/>
    </row>
    <row r="261" spans="3:10" s="632" customFormat="1" ht="12" customHeight="1">
      <c r="C261" s="666"/>
      <c r="D261" s="651"/>
      <c r="E261" s="652"/>
      <c r="F261" s="665"/>
      <c r="G261" s="656">
        <f>SUM(G255:G260)</f>
        <v>26350</v>
      </c>
      <c r="H261" s="656">
        <f>SUM(H255:H260)</f>
        <v>0</v>
      </c>
      <c r="I261" s="658">
        <f>H261/G261</f>
        <v>0</v>
      </c>
      <c r="J261" s="642"/>
    </row>
    <row r="262" spans="3:10" s="632" customFormat="1" ht="12">
      <c r="C262" s="666"/>
      <c r="D262" s="651"/>
      <c r="E262" s="652"/>
      <c r="F262" s="665"/>
      <c r="G262" s="651"/>
      <c r="H262" s="652"/>
      <c r="I262" s="655"/>
      <c r="J262" s="642"/>
    </row>
    <row r="263" spans="3:10" s="632" customFormat="1" ht="12">
      <c r="C263" s="645"/>
      <c r="D263" s="685"/>
      <c r="E263" s="643"/>
      <c r="F263" s="648"/>
      <c r="G263" s="685"/>
      <c r="H263" s="643"/>
      <c r="I263" s="648"/>
      <c r="J263" s="642"/>
    </row>
    <row r="264" spans="3:10" s="632" customFormat="1" ht="12" customHeight="1">
      <c r="C264" s="644" t="s">
        <v>828</v>
      </c>
      <c r="D264" s="685"/>
      <c r="E264" s="643"/>
      <c r="F264" s="648"/>
      <c r="G264" s="685"/>
      <c r="H264" s="643"/>
      <c r="I264" s="648"/>
      <c r="J264" s="642"/>
    </row>
    <row r="265" spans="3:10" s="632" customFormat="1" ht="12">
      <c r="C265" s="650" t="s">
        <v>829</v>
      </c>
      <c r="D265" s="651"/>
      <c r="E265" s="652"/>
      <c r="F265" s="665"/>
      <c r="G265" s="651">
        <v>7208</v>
      </c>
      <c r="H265" s="654">
        <v>0</v>
      </c>
      <c r="I265" s="655">
        <f>H265/G265</f>
        <v>0</v>
      </c>
      <c r="J265" s="642"/>
    </row>
    <row r="266" spans="3:10" s="632" customFormat="1" ht="12">
      <c r="C266" s="650"/>
      <c r="D266" s="651"/>
      <c r="E266" s="652"/>
      <c r="F266" s="665"/>
      <c r="G266" s="651"/>
      <c r="H266" s="654"/>
      <c r="I266" s="655"/>
      <c r="J266" s="642"/>
    </row>
    <row r="267" spans="3:10" s="632" customFormat="1" ht="12" customHeight="1" hidden="1">
      <c r="C267" s="650"/>
      <c r="D267" s="651"/>
      <c r="E267" s="652"/>
      <c r="F267" s="665"/>
      <c r="G267" s="651"/>
      <c r="H267" s="654"/>
      <c r="I267" s="655"/>
      <c r="J267" s="642"/>
    </row>
    <row r="268" spans="3:10" s="632" customFormat="1" ht="12" customHeight="1" hidden="1">
      <c r="C268" s="650"/>
      <c r="D268" s="651"/>
      <c r="E268" s="652"/>
      <c r="F268" s="665"/>
      <c r="G268" s="651"/>
      <c r="H268" s="654"/>
      <c r="I268" s="655"/>
      <c r="J268" s="642"/>
    </row>
    <row r="269" spans="3:10" s="632" customFormat="1" ht="12" customHeight="1" hidden="1">
      <c r="C269" s="650"/>
      <c r="D269" s="651"/>
      <c r="E269" s="652"/>
      <c r="F269" s="665"/>
      <c r="G269" s="651"/>
      <c r="H269" s="654"/>
      <c r="I269" s="655"/>
      <c r="J269" s="642"/>
    </row>
    <row r="270" spans="3:10" s="632" customFormat="1" ht="12" customHeight="1" hidden="1">
      <c r="C270" s="650"/>
      <c r="D270" s="651"/>
      <c r="E270" s="652"/>
      <c r="F270" s="665"/>
      <c r="G270" s="651"/>
      <c r="H270" s="654"/>
      <c r="I270" s="655"/>
      <c r="J270" s="642"/>
    </row>
    <row r="271" spans="3:10" s="632" customFormat="1" ht="12" customHeight="1" hidden="1">
      <c r="C271" s="650"/>
      <c r="D271" s="651"/>
      <c r="E271" s="652"/>
      <c r="F271" s="665"/>
      <c r="G271" s="651"/>
      <c r="H271" s="654"/>
      <c r="I271" s="655"/>
      <c r="J271" s="642"/>
    </row>
    <row r="272" spans="3:10" s="632" customFormat="1" ht="12">
      <c r="C272" s="666"/>
      <c r="D272" s="651"/>
      <c r="E272" s="652"/>
      <c r="F272" s="665"/>
      <c r="G272" s="656">
        <f>SUM(G265:G271)</f>
        <v>7208</v>
      </c>
      <c r="H272" s="656">
        <f>SUM(H265:H271)</f>
        <v>0</v>
      </c>
      <c r="I272" s="658">
        <v>0</v>
      </c>
      <c r="J272" s="642"/>
    </row>
    <row r="273" spans="3:10" s="632" customFormat="1" ht="12" customHeight="1" hidden="1">
      <c r="C273" s="645" t="s">
        <v>660</v>
      </c>
      <c r="D273" s="646"/>
      <c r="E273" s="643"/>
      <c r="F273" s="647"/>
      <c r="G273" s="646"/>
      <c r="H273" s="643"/>
      <c r="I273" s="648"/>
      <c r="J273" s="642"/>
    </row>
    <row r="274" spans="2:10" s="632" customFormat="1" ht="12">
      <c r="B274" s="644" t="s">
        <v>659</v>
      </c>
      <c r="C274" s="645" t="s">
        <v>830</v>
      </c>
      <c r="D274" s="646"/>
      <c r="E274" s="643"/>
      <c r="F274" s="647"/>
      <c r="G274" s="646"/>
      <c r="H274" s="643"/>
      <c r="I274" s="648"/>
      <c r="J274" s="642"/>
    </row>
    <row r="275" spans="3:10" s="632" customFormat="1" ht="12">
      <c r="C275" s="650"/>
      <c r="D275" s="651"/>
      <c r="E275" s="654"/>
      <c r="F275" s="665"/>
      <c r="G275" s="651"/>
      <c r="H275" s="654"/>
      <c r="I275" s="655"/>
      <c r="J275" s="642"/>
    </row>
    <row r="276" spans="3:10" s="632" customFormat="1" ht="12" hidden="1">
      <c r="C276" s="650"/>
      <c r="D276" s="651"/>
      <c r="E276" s="654"/>
      <c r="F276" s="665"/>
      <c r="G276" s="651"/>
      <c r="H276" s="654"/>
      <c r="I276" s="655"/>
      <c r="J276" s="642"/>
    </row>
    <row r="277" spans="3:10" s="632" customFormat="1" ht="12" hidden="1">
      <c r="C277" s="659"/>
      <c r="D277" s="651"/>
      <c r="E277" s="654"/>
      <c r="F277" s="665"/>
      <c r="G277" s="651"/>
      <c r="H277" s="654"/>
      <c r="I277" s="655"/>
      <c r="J277" s="687"/>
    </row>
    <row r="278" spans="3:10" s="632" customFormat="1" ht="12" customHeight="1" hidden="1">
      <c r="C278" s="659"/>
      <c r="D278" s="651"/>
      <c r="E278" s="654"/>
      <c r="F278" s="665"/>
      <c r="G278" s="651"/>
      <c r="H278" s="654"/>
      <c r="I278" s="655"/>
      <c r="J278" s="642"/>
    </row>
    <row r="279" spans="3:10" s="632" customFormat="1" ht="12" customHeight="1" hidden="1">
      <c r="C279" s="659"/>
      <c r="D279" s="651"/>
      <c r="E279" s="654"/>
      <c r="F279" s="665"/>
      <c r="G279" s="651"/>
      <c r="H279" s="654"/>
      <c r="I279" s="655"/>
      <c r="J279" s="642"/>
    </row>
    <row r="280" spans="3:10" s="632" customFormat="1" ht="12" customHeight="1" hidden="1">
      <c r="C280" s="659"/>
      <c r="D280" s="651"/>
      <c r="E280" s="654"/>
      <c r="F280" s="665"/>
      <c r="G280" s="651"/>
      <c r="H280" s="654"/>
      <c r="I280" s="655"/>
      <c r="J280" s="642"/>
    </row>
    <row r="281" spans="3:10" s="632" customFormat="1" ht="12" customHeight="1" hidden="1">
      <c r="C281" s="659"/>
      <c r="D281" s="651"/>
      <c r="E281" s="654"/>
      <c r="F281" s="665"/>
      <c r="G281" s="651"/>
      <c r="H281" s="654"/>
      <c r="I281" s="655"/>
      <c r="J281" s="642"/>
    </row>
    <row r="282" spans="3:10" s="632" customFormat="1" ht="12" hidden="1">
      <c r="C282" s="659"/>
      <c r="D282" s="651"/>
      <c r="E282" s="654"/>
      <c r="F282" s="665"/>
      <c r="G282" s="651"/>
      <c r="H282" s="654"/>
      <c r="I282" s="655"/>
      <c r="J282" s="642"/>
    </row>
    <row r="283" spans="3:10" s="632" customFormat="1" ht="12" hidden="1">
      <c r="C283" s="650"/>
      <c r="D283" s="651"/>
      <c r="E283" s="654"/>
      <c r="F283" s="665"/>
      <c r="G283" s="651"/>
      <c r="H283" s="654"/>
      <c r="I283" s="655"/>
      <c r="J283" s="642"/>
    </row>
    <row r="284" spans="3:10" s="632" customFormat="1" ht="12" hidden="1">
      <c r="C284" s="650"/>
      <c r="D284" s="651"/>
      <c r="E284" s="654"/>
      <c r="F284" s="665"/>
      <c r="G284" s="651"/>
      <c r="H284" s="654"/>
      <c r="I284" s="655"/>
      <c r="J284" s="642"/>
    </row>
    <row r="285" spans="2:10" s="632" customFormat="1" ht="12" hidden="1">
      <c r="B285" s="637"/>
      <c r="C285" s="650"/>
      <c r="D285" s="651"/>
      <c r="E285" s="654"/>
      <c r="F285" s="665"/>
      <c r="G285" s="651"/>
      <c r="H285" s="654"/>
      <c r="I285" s="655"/>
      <c r="J285" s="642"/>
    </row>
    <row r="286" spans="3:10" s="632" customFormat="1" ht="12" hidden="1">
      <c r="C286" s="650"/>
      <c r="D286" s="651"/>
      <c r="E286" s="654"/>
      <c r="F286" s="665"/>
      <c r="G286" s="651"/>
      <c r="H286" s="654"/>
      <c r="I286" s="655"/>
      <c r="J286" s="642"/>
    </row>
    <row r="287" spans="3:10" s="632" customFormat="1" ht="12" hidden="1">
      <c r="C287" s="650"/>
      <c r="D287" s="651"/>
      <c r="E287" s="654"/>
      <c r="F287" s="665"/>
      <c r="G287" s="651"/>
      <c r="H287" s="654"/>
      <c r="I287" s="655"/>
      <c r="J287" s="642"/>
    </row>
    <row r="288" spans="3:10" s="632" customFormat="1" ht="12" hidden="1">
      <c r="C288" s="650"/>
      <c r="D288" s="651"/>
      <c r="E288" s="652"/>
      <c r="F288" s="665"/>
      <c r="G288" s="651"/>
      <c r="H288" s="654"/>
      <c r="I288" s="655"/>
      <c r="J288" s="642"/>
    </row>
    <row r="289" spans="3:10" s="632" customFormat="1" ht="12" customHeight="1" hidden="1">
      <c r="C289" s="650"/>
      <c r="D289" s="651"/>
      <c r="E289" s="652"/>
      <c r="F289" s="665"/>
      <c r="G289" s="651"/>
      <c r="H289" s="652"/>
      <c r="I289" s="655"/>
      <c r="J289" s="642"/>
    </row>
    <row r="290" spans="3:10" s="632" customFormat="1" ht="12" customHeight="1">
      <c r="C290" s="666"/>
      <c r="D290" s="656">
        <f>SUM(D275:D289)</f>
        <v>0</v>
      </c>
      <c r="E290" s="656">
        <f>SUM(E275:E289)</f>
        <v>0</v>
      </c>
      <c r="F290" s="668">
        <v>0</v>
      </c>
      <c r="G290" s="656">
        <f>SUM(G275:G289)</f>
        <v>0</v>
      </c>
      <c r="H290" s="656">
        <f>SUM(H275:H289)</f>
        <v>0</v>
      </c>
      <c r="I290" s="658">
        <v>0</v>
      </c>
      <c r="J290" s="642"/>
    </row>
    <row r="291" spans="3:10" s="632" customFormat="1" ht="12" customHeight="1">
      <c r="C291" s="842" t="s">
        <v>831</v>
      </c>
      <c r="D291" s="673">
        <f>D290</f>
        <v>0</v>
      </c>
      <c r="E291" s="673">
        <f>E290</f>
        <v>0</v>
      </c>
      <c r="F291" s="674">
        <v>0</v>
      </c>
      <c r="G291" s="647"/>
      <c r="H291" s="647"/>
      <c r="I291" s="648"/>
      <c r="J291" s="642"/>
    </row>
    <row r="292" spans="3:10" s="632" customFormat="1" ht="12" customHeight="1">
      <c r="C292" s="688"/>
      <c r="D292" s="689"/>
      <c r="E292" s="689"/>
      <c r="F292" s="690"/>
      <c r="G292" s="647"/>
      <c r="H292" s="647"/>
      <c r="I292" s="648"/>
      <c r="J292" s="642"/>
    </row>
    <row r="293" spans="2:10" s="632" customFormat="1" ht="12">
      <c r="B293" s="644" t="s">
        <v>670</v>
      </c>
      <c r="C293" s="645" t="s">
        <v>832</v>
      </c>
      <c r="D293" s="646"/>
      <c r="E293" s="643"/>
      <c r="F293" s="647"/>
      <c r="G293" s="646"/>
      <c r="H293" s="643"/>
      <c r="I293" s="648"/>
      <c r="J293" s="642"/>
    </row>
    <row r="294" spans="3:10" s="632" customFormat="1" ht="12">
      <c r="C294" s="650"/>
      <c r="D294" s="651"/>
      <c r="E294" s="654"/>
      <c r="F294" s="665"/>
      <c r="G294" s="651"/>
      <c r="H294" s="654"/>
      <c r="I294" s="655"/>
      <c r="J294" s="642"/>
    </row>
    <row r="295" spans="3:10" s="632" customFormat="1" ht="12" hidden="1">
      <c r="C295" s="650"/>
      <c r="D295" s="651"/>
      <c r="E295" s="654"/>
      <c r="F295" s="665"/>
      <c r="G295" s="656"/>
      <c r="H295" s="652"/>
      <c r="I295" s="655"/>
      <c r="J295" s="642"/>
    </row>
    <row r="296" spans="3:10" s="632" customFormat="1" ht="12" customHeight="1" hidden="1">
      <c r="C296" s="650"/>
      <c r="D296" s="651"/>
      <c r="E296" s="654"/>
      <c r="F296" s="665"/>
      <c r="G296" s="656"/>
      <c r="H296" s="652"/>
      <c r="I296" s="655"/>
      <c r="J296" s="642"/>
    </row>
    <row r="297" spans="3:10" s="632" customFormat="1" ht="12" customHeight="1" hidden="1">
      <c r="C297" s="650"/>
      <c r="D297" s="651"/>
      <c r="E297" s="654"/>
      <c r="F297" s="665"/>
      <c r="G297" s="656"/>
      <c r="H297" s="652"/>
      <c r="I297" s="655"/>
      <c r="J297" s="642"/>
    </row>
    <row r="298" spans="3:10" s="632" customFormat="1" ht="12" customHeight="1" hidden="1">
      <c r="C298" s="650"/>
      <c r="D298" s="651"/>
      <c r="E298" s="654"/>
      <c r="F298" s="665"/>
      <c r="G298" s="656"/>
      <c r="H298" s="652"/>
      <c r="I298" s="655"/>
      <c r="J298" s="642"/>
    </row>
    <row r="299" spans="3:10" s="632" customFormat="1" ht="12" customHeight="1" hidden="1">
      <c r="C299" s="650"/>
      <c r="D299" s="651"/>
      <c r="E299" s="654"/>
      <c r="F299" s="665"/>
      <c r="G299" s="656"/>
      <c r="H299" s="652"/>
      <c r="I299" s="655"/>
      <c r="J299" s="642"/>
    </row>
    <row r="300" spans="3:10" s="637" customFormat="1" ht="12" hidden="1">
      <c r="C300" s="650"/>
      <c r="D300" s="651"/>
      <c r="E300" s="654"/>
      <c r="F300" s="665"/>
      <c r="G300" s="656"/>
      <c r="H300" s="652"/>
      <c r="I300" s="655"/>
      <c r="J300" s="642"/>
    </row>
    <row r="301" spans="2:10" s="672" customFormat="1" ht="12" hidden="1">
      <c r="B301" s="637"/>
      <c r="C301" s="650"/>
      <c r="D301" s="651"/>
      <c r="E301" s="654"/>
      <c r="F301" s="665"/>
      <c r="G301" s="656"/>
      <c r="H301" s="652"/>
      <c r="I301" s="655"/>
      <c r="J301" s="641"/>
    </row>
    <row r="302" spans="2:10" s="672" customFormat="1" ht="12" hidden="1">
      <c r="B302" s="637"/>
      <c r="C302" s="650"/>
      <c r="D302" s="651"/>
      <c r="E302" s="654"/>
      <c r="F302" s="665"/>
      <c r="G302" s="651"/>
      <c r="H302" s="654"/>
      <c r="I302" s="655"/>
      <c r="J302" s="641"/>
    </row>
    <row r="303" spans="3:10" s="637" customFormat="1" ht="12" hidden="1">
      <c r="C303" s="650"/>
      <c r="D303" s="651"/>
      <c r="E303" s="654"/>
      <c r="F303" s="665"/>
      <c r="G303" s="651"/>
      <c r="H303" s="652"/>
      <c r="I303" s="655"/>
      <c r="J303" s="642"/>
    </row>
    <row r="304" spans="2:10" s="637" customFormat="1" ht="12" hidden="1">
      <c r="B304" s="632"/>
      <c r="C304" s="650"/>
      <c r="D304" s="651"/>
      <c r="E304" s="654"/>
      <c r="F304" s="665"/>
      <c r="G304" s="651"/>
      <c r="H304" s="652"/>
      <c r="I304" s="655"/>
      <c r="J304" s="642"/>
    </row>
    <row r="305" spans="3:10" s="632" customFormat="1" ht="12" hidden="1">
      <c r="C305" s="650"/>
      <c r="D305" s="651"/>
      <c r="E305" s="654"/>
      <c r="F305" s="665"/>
      <c r="G305" s="651"/>
      <c r="H305" s="652"/>
      <c r="I305" s="655"/>
      <c r="J305" s="642"/>
    </row>
    <row r="306" spans="3:10" s="632" customFormat="1" ht="12" hidden="1">
      <c r="C306" s="650"/>
      <c r="D306" s="651"/>
      <c r="E306" s="652"/>
      <c r="F306" s="665"/>
      <c r="G306" s="651"/>
      <c r="H306" s="652"/>
      <c r="I306" s="655"/>
      <c r="J306" s="642"/>
    </row>
    <row r="307" spans="3:10" s="632" customFormat="1" ht="12" customHeight="1" hidden="1">
      <c r="C307" s="650"/>
      <c r="D307" s="651"/>
      <c r="E307" s="652"/>
      <c r="F307" s="665"/>
      <c r="G307" s="651"/>
      <c r="H307" s="652"/>
      <c r="I307" s="655"/>
      <c r="J307" s="642"/>
    </row>
    <row r="308" spans="3:10" s="632" customFormat="1" ht="12" customHeight="1">
      <c r="C308" s="650"/>
      <c r="D308" s="656">
        <f>SUM(D294:D307)</f>
        <v>0</v>
      </c>
      <c r="E308" s="656">
        <f>SUM(E294:E307)</f>
        <v>0</v>
      </c>
      <c r="F308" s="668">
        <v>0</v>
      </c>
      <c r="G308" s="656">
        <f>SUM(G294:G307)</f>
        <v>0</v>
      </c>
      <c r="H308" s="656">
        <f>SUM(H294:H307)</f>
        <v>0</v>
      </c>
      <c r="I308" s="658">
        <v>0</v>
      </c>
      <c r="J308" s="642"/>
    </row>
    <row r="309" spans="3:10" s="632" customFormat="1" ht="12" customHeight="1">
      <c r="C309" s="842" t="s">
        <v>833</v>
      </c>
      <c r="D309" s="673">
        <f>D308</f>
        <v>0</v>
      </c>
      <c r="E309" s="673">
        <f>E308</f>
        <v>0</v>
      </c>
      <c r="F309" s="674">
        <v>0</v>
      </c>
      <c r="G309" s="647"/>
      <c r="H309" s="647"/>
      <c r="I309" s="648"/>
      <c r="J309" s="642"/>
    </row>
    <row r="310" spans="2:10" s="672" customFormat="1" ht="12">
      <c r="B310" s="637"/>
      <c r="C310" s="688"/>
      <c r="D310" s="689"/>
      <c r="E310" s="689"/>
      <c r="F310" s="690"/>
      <c r="G310" s="647"/>
      <c r="H310" s="647"/>
      <c r="I310" s="648"/>
      <c r="J310" s="641"/>
    </row>
    <row r="311" spans="3:10" s="637" customFormat="1" ht="12">
      <c r="C311" s="683"/>
      <c r="D311" s="656"/>
      <c r="E311" s="657"/>
      <c r="F311" s="665"/>
      <c r="G311" s="656"/>
      <c r="H311" s="667"/>
      <c r="I311" s="655"/>
      <c r="J311" s="642"/>
    </row>
    <row r="312" spans="3:10" s="637" customFormat="1" ht="12" hidden="1">
      <c r="C312" s="694"/>
      <c r="D312" s="656"/>
      <c r="E312" s="657"/>
      <c r="F312" s="665"/>
      <c r="G312" s="656"/>
      <c r="H312" s="667"/>
      <c r="I312" s="655"/>
      <c r="J312" s="642"/>
    </row>
    <row r="313" spans="3:10" s="637" customFormat="1" ht="12" hidden="1">
      <c r="C313" s="694"/>
      <c r="D313" s="656"/>
      <c r="E313" s="657"/>
      <c r="F313" s="665"/>
      <c r="G313" s="656"/>
      <c r="H313" s="667"/>
      <c r="I313" s="655"/>
      <c r="J313" s="642"/>
    </row>
    <row r="314" spans="3:10" s="632" customFormat="1" ht="12" hidden="1">
      <c r="C314" s="666"/>
      <c r="D314" s="656"/>
      <c r="E314" s="652"/>
      <c r="F314" s="665"/>
      <c r="G314" s="656"/>
      <c r="H314" s="652"/>
      <c r="I314" s="658"/>
      <c r="J314" s="642"/>
    </row>
    <row r="315" spans="3:10" s="637" customFormat="1" ht="12">
      <c r="C315" s="694" t="s">
        <v>679</v>
      </c>
      <c r="D315" s="657">
        <f>D308+D290+D235+D150+D144+D128+D118+D108+D99+D311</f>
        <v>0</v>
      </c>
      <c r="E315" s="657">
        <f>E308+E290+E235+E150+E144+E128+E118+E108+E99+E311</f>
        <v>0</v>
      </c>
      <c r="F315" s="668">
        <v>0</v>
      </c>
      <c r="G315" s="656">
        <f>G308+G290+G272+G261+G252+G235+G179+G167+G162+G150+G144+G83+G59+G40+G311</f>
        <v>224415</v>
      </c>
      <c r="H315" s="656">
        <f>H308+H290+H272+H261+H252+H235+H179+H167+H162+H150+H144+H83+H59+H40+H311</f>
        <v>7411</v>
      </c>
      <c r="I315" s="658">
        <f>H315/G315</f>
        <v>0.03302363923980126</v>
      </c>
      <c r="J315" s="642"/>
    </row>
    <row r="316" spans="3:10" s="632" customFormat="1" ht="12">
      <c r="C316" s="666"/>
      <c r="D316" s="656"/>
      <c r="E316" s="652"/>
      <c r="F316" s="668"/>
      <c r="G316" s="656"/>
      <c r="H316" s="652"/>
      <c r="I316" s="655"/>
      <c r="J316" s="642"/>
    </row>
    <row r="317" spans="3:10" s="637" customFormat="1" ht="12" hidden="1">
      <c r="C317" s="694" t="s">
        <v>680</v>
      </c>
      <c r="D317" s="656">
        <f>D23+D315</f>
        <v>0</v>
      </c>
      <c r="E317" s="657">
        <f>E23+E315</f>
        <v>0</v>
      </c>
      <c r="F317" s="668" t="e">
        <f aca="true" t="shared" si="1" ref="F317:F322">E317/D317</f>
        <v>#DIV/0!</v>
      </c>
      <c r="G317" s="656">
        <f>G23+G315</f>
        <v>224415</v>
      </c>
      <c r="H317" s="657">
        <f>H23+H315</f>
        <v>7411</v>
      </c>
      <c r="I317" s="658">
        <f>H317/G317</f>
        <v>0.03302363923980126</v>
      </c>
      <c r="J317" s="642"/>
    </row>
    <row r="318" spans="3:10" s="632" customFormat="1" ht="12" hidden="1">
      <c r="C318" s="694"/>
      <c r="D318" s="656"/>
      <c r="E318" s="652"/>
      <c r="F318" s="668" t="e">
        <f t="shared" si="1"/>
        <v>#DIV/0!</v>
      </c>
      <c r="G318" s="656"/>
      <c r="H318" s="652"/>
      <c r="I318" s="655"/>
      <c r="J318" s="642"/>
    </row>
    <row r="319" spans="3:10" s="632" customFormat="1" ht="12" hidden="1">
      <c r="C319" s="666"/>
      <c r="D319" s="656"/>
      <c r="E319" s="652"/>
      <c r="F319" s="668" t="e">
        <f t="shared" si="1"/>
        <v>#DIV/0!</v>
      </c>
      <c r="G319" s="656"/>
      <c r="H319" s="652"/>
      <c r="I319" s="655"/>
      <c r="J319" s="642"/>
    </row>
    <row r="320" spans="3:10" s="632" customFormat="1" ht="12" hidden="1">
      <c r="C320" s="666"/>
      <c r="D320" s="656"/>
      <c r="E320" s="652"/>
      <c r="F320" s="668" t="e">
        <f t="shared" si="1"/>
        <v>#DIV/0!</v>
      </c>
      <c r="G320" s="656"/>
      <c r="H320" s="652"/>
      <c r="I320" s="655"/>
      <c r="J320" s="642"/>
    </row>
    <row r="321" spans="3:10" s="632" customFormat="1" ht="12" hidden="1">
      <c r="C321" s="666"/>
      <c r="D321" s="656"/>
      <c r="E321" s="652"/>
      <c r="F321" s="668" t="e">
        <f t="shared" si="1"/>
        <v>#DIV/0!</v>
      </c>
      <c r="G321" s="656"/>
      <c r="H321" s="652"/>
      <c r="I321" s="655"/>
      <c r="J321" s="642"/>
    </row>
    <row r="322" spans="3:10" s="632" customFormat="1" ht="12" hidden="1">
      <c r="C322" s="666" t="s">
        <v>684</v>
      </c>
      <c r="D322" s="656">
        <f>SUM(D317:D321)</f>
        <v>0</v>
      </c>
      <c r="E322" s="657">
        <f>SUM(E317:E321)</f>
        <v>0</v>
      </c>
      <c r="F322" s="668" t="e">
        <f t="shared" si="1"/>
        <v>#DIV/0!</v>
      </c>
      <c r="G322" s="656">
        <f>SUM(G317:G321)</f>
        <v>224415</v>
      </c>
      <c r="H322" s="657">
        <f>SUM(H317:H321)</f>
        <v>7411</v>
      </c>
      <c r="I322" s="655">
        <f>H322/G322</f>
        <v>0.03302363923980126</v>
      </c>
      <c r="J322" s="642"/>
    </row>
    <row r="323" spans="3:10" s="632" customFormat="1" ht="12">
      <c r="C323" s="666" t="s">
        <v>834</v>
      </c>
      <c r="D323" s="656">
        <f>-D14-D20</f>
        <v>0</v>
      </c>
      <c r="E323" s="657">
        <f>-E14-E20</f>
        <v>0</v>
      </c>
      <c r="F323" s="668">
        <v>0</v>
      </c>
      <c r="G323" s="656">
        <v>795706</v>
      </c>
      <c r="H323" s="657">
        <v>121713</v>
      </c>
      <c r="I323" s="658">
        <f>H323/G323</f>
        <v>0.1529622750111222</v>
      </c>
      <c r="J323" s="642"/>
    </row>
    <row r="324" spans="3:10" s="632" customFormat="1" ht="12.75" thickBot="1">
      <c r="C324" s="695"/>
      <c r="D324" s="696"/>
      <c r="E324" s="697"/>
      <c r="F324" s="698"/>
      <c r="G324" s="699"/>
      <c r="H324" s="1140">
        <v>33578</v>
      </c>
      <c r="I324" s="700"/>
      <c r="J324" s="649" t="s">
        <v>1150</v>
      </c>
    </row>
    <row r="325" spans="3:10" s="632" customFormat="1" ht="12.75" thickBot="1">
      <c r="C325" s="691" t="s">
        <v>835</v>
      </c>
      <c r="D325" s="692">
        <f>D315+D323</f>
        <v>0</v>
      </c>
      <c r="E325" s="692">
        <f>E315+E323</f>
        <v>0</v>
      </c>
      <c r="F325" s="864">
        <v>0</v>
      </c>
      <c r="G325" s="865">
        <f>G322+G323+G324</f>
        <v>1020121</v>
      </c>
      <c r="H325" s="692">
        <f>H322+H323+H324</f>
        <v>162702</v>
      </c>
      <c r="I325" s="693">
        <f>H325/G325</f>
        <v>0.15949284447629253</v>
      </c>
      <c r="J325" s="642"/>
    </row>
    <row r="326" spans="2:10" s="632" customFormat="1" ht="12">
      <c r="B326" s="645"/>
      <c r="C326" s="645"/>
      <c r="D326" s="646"/>
      <c r="E326" s="701"/>
      <c r="F326" s="702"/>
      <c r="G326" s="646"/>
      <c r="I326" s="702"/>
      <c r="J326" s="649"/>
    </row>
    <row r="327" spans="3:10" s="632" customFormat="1" ht="12" hidden="1">
      <c r="C327" s="650" t="s">
        <v>686</v>
      </c>
      <c r="D327" s="651"/>
      <c r="E327" s="654"/>
      <c r="F327" s="665"/>
      <c r="G327" s="651"/>
      <c r="H327" s="654"/>
      <c r="I327" s="655"/>
      <c r="J327" s="642"/>
    </row>
    <row r="328" spans="3:10" s="632" customFormat="1" ht="12" hidden="1">
      <c r="C328" s="650"/>
      <c r="D328" s="651"/>
      <c r="E328" s="654"/>
      <c r="F328" s="665"/>
      <c r="G328" s="651"/>
      <c r="H328" s="654"/>
      <c r="I328" s="655"/>
      <c r="J328" s="642"/>
    </row>
    <row r="329" spans="3:10" s="632" customFormat="1" ht="12">
      <c r="C329" s="650" t="s">
        <v>836</v>
      </c>
      <c r="D329" s="651"/>
      <c r="E329" s="652"/>
      <c r="F329" s="665"/>
      <c r="G329" s="654">
        <v>1018066</v>
      </c>
      <c r="H329" s="654">
        <f>'[3]2-1'!V69</f>
        <v>847887</v>
      </c>
      <c r="I329" s="655">
        <f>H329/G329</f>
        <v>0.8328408963662474</v>
      </c>
      <c r="J329" s="642"/>
    </row>
    <row r="330" spans="3:10" s="632" customFormat="1" ht="12">
      <c r="C330" s="650" t="s">
        <v>689</v>
      </c>
      <c r="D330" s="651">
        <v>0</v>
      </c>
      <c r="E330" s="654">
        <v>0</v>
      </c>
      <c r="F330" s="665">
        <v>0</v>
      </c>
      <c r="G330" s="651"/>
      <c r="H330" s="652"/>
      <c r="I330" s="655"/>
      <c r="J330" s="642"/>
    </row>
    <row r="331" spans="3:10" s="632" customFormat="1" ht="12">
      <c r="C331" s="650" t="s">
        <v>690</v>
      </c>
      <c r="D331" s="651">
        <f>'[3]3'!C26</f>
        <v>1400</v>
      </c>
      <c r="E331" s="651">
        <f>'[3]3'!D26</f>
        <v>7500</v>
      </c>
      <c r="F331" s="665">
        <f>E331/D331</f>
        <v>5.357142857142857</v>
      </c>
      <c r="G331" s="651"/>
      <c r="H331" s="652"/>
      <c r="I331" s="655"/>
      <c r="J331" s="642"/>
    </row>
    <row r="332" spans="3:10" s="632" customFormat="1" ht="12" hidden="1">
      <c r="C332" s="650" t="s">
        <v>691</v>
      </c>
      <c r="D332" s="651"/>
      <c r="E332" s="654"/>
      <c r="F332" s="665">
        <v>0</v>
      </c>
      <c r="G332" s="651"/>
      <c r="H332" s="652"/>
      <c r="I332" s="655"/>
      <c r="J332" s="642"/>
    </row>
    <row r="333" spans="3:10" s="632" customFormat="1" ht="12">
      <c r="C333" s="650" t="s">
        <v>692</v>
      </c>
      <c r="D333" s="651"/>
      <c r="E333" s="652"/>
      <c r="F333" s="665"/>
      <c r="G333" s="651">
        <v>0</v>
      </c>
      <c r="H333" s="654">
        <f>'[3]Tartalék'!C63</f>
        <v>0</v>
      </c>
      <c r="I333" s="655">
        <v>0</v>
      </c>
      <c r="J333" s="642"/>
    </row>
    <row r="334" spans="3:10" s="632" customFormat="1" ht="12">
      <c r="C334" s="650" t="s">
        <v>837</v>
      </c>
      <c r="D334" s="651"/>
      <c r="E334" s="654"/>
      <c r="F334" s="665"/>
      <c r="G334" s="651">
        <v>655</v>
      </c>
      <c r="H334" s="654">
        <v>0</v>
      </c>
      <c r="I334" s="655">
        <f>H334/G334</f>
        <v>0</v>
      </c>
      <c r="J334" s="642"/>
    </row>
    <row r="335" spans="3:10" s="632" customFormat="1" ht="12" hidden="1">
      <c r="C335" s="650" t="s">
        <v>838</v>
      </c>
      <c r="D335" s="651"/>
      <c r="E335" s="652"/>
      <c r="F335" s="665"/>
      <c r="G335" s="651">
        <v>0</v>
      </c>
      <c r="H335" s="654">
        <f>'[3]Tartalék'!G33</f>
        <v>0</v>
      </c>
      <c r="I335" s="655">
        <v>0</v>
      </c>
      <c r="J335" s="642"/>
    </row>
    <row r="336" spans="3:10" s="632" customFormat="1" ht="12" hidden="1">
      <c r="C336" s="703" t="s">
        <v>839</v>
      </c>
      <c r="D336" s="651"/>
      <c r="E336" s="652"/>
      <c r="F336" s="665"/>
      <c r="J336" s="642"/>
    </row>
    <row r="337" spans="3:10" s="632" customFormat="1" ht="12.75" thickBot="1">
      <c r="C337" s="704"/>
      <c r="D337" s="639"/>
      <c r="E337" s="705"/>
      <c r="F337" s="706"/>
      <c r="G337" s="639"/>
      <c r="I337" s="641"/>
      <c r="J337" s="642"/>
    </row>
    <row r="338" spans="3:10" s="632" customFormat="1" ht="12.75" thickBot="1">
      <c r="C338" s="707" t="s">
        <v>840</v>
      </c>
      <c r="D338" s="692">
        <f>SUM(D327:D337)</f>
        <v>1400</v>
      </c>
      <c r="E338" s="692">
        <f>SUM(E327:E337)</f>
        <v>7500</v>
      </c>
      <c r="F338" s="709">
        <f>E338/D338</f>
        <v>5.357142857142857</v>
      </c>
      <c r="G338" s="692">
        <f>SUM(G327:G337)</f>
        <v>1018721</v>
      </c>
      <c r="H338" s="692">
        <f>SUM(H327:H337)</f>
        <v>847887</v>
      </c>
      <c r="I338" s="709">
        <f>H338/G338</f>
        <v>0.8323054104116829</v>
      </c>
      <c r="J338" s="649"/>
    </row>
    <row r="339" spans="4:10" s="632" customFormat="1" ht="12">
      <c r="D339" s="639" t="s">
        <v>697</v>
      </c>
      <c r="E339" s="710"/>
      <c r="F339" s="702"/>
      <c r="G339" s="639">
        <f>D325+G325</f>
        <v>1020121</v>
      </c>
      <c r="H339" s="639">
        <f>E325+H325</f>
        <v>162702</v>
      </c>
      <c r="I339" s="702">
        <f>H339/G339</f>
        <v>0.15949284447629253</v>
      </c>
      <c r="J339" s="649"/>
    </row>
    <row r="340" spans="4:10" s="632" customFormat="1" ht="12">
      <c r="D340" s="639" t="s">
        <v>698</v>
      </c>
      <c r="E340" s="639"/>
      <c r="F340" s="640"/>
      <c r="G340" s="639">
        <f>D338+G338</f>
        <v>1020121</v>
      </c>
      <c r="H340" s="639">
        <f>E338+H338</f>
        <v>855387</v>
      </c>
      <c r="I340" s="641">
        <f>H340/G340</f>
        <v>0.8385152349574218</v>
      </c>
      <c r="J340" s="642"/>
    </row>
    <row r="341" spans="4:10" s="632" customFormat="1" ht="12">
      <c r="D341" s="639"/>
      <c r="E341" s="639"/>
      <c r="F341" s="640"/>
      <c r="G341" s="639"/>
      <c r="H341" s="639"/>
      <c r="I341" s="640"/>
      <c r="J341" s="639"/>
    </row>
    <row r="342" spans="4:10" s="632" customFormat="1" ht="12">
      <c r="D342" s="639"/>
      <c r="E342" s="639"/>
      <c r="F342" s="640"/>
      <c r="G342" s="639"/>
      <c r="H342" s="639">
        <f>H340-H339</f>
        <v>692685</v>
      </c>
      <c r="I342" s="640"/>
      <c r="J342" s="639"/>
    </row>
    <row r="343" spans="4:10" s="632" customFormat="1" ht="12">
      <c r="D343" s="639"/>
      <c r="E343" s="639"/>
      <c r="F343" s="640"/>
      <c r="G343" s="639"/>
      <c r="H343" s="639"/>
      <c r="I343" s="640"/>
      <c r="J343" s="639"/>
    </row>
    <row r="344" spans="4:10" s="632" customFormat="1" ht="12" hidden="1">
      <c r="D344" s="639"/>
      <c r="E344" s="639"/>
      <c r="F344" s="640"/>
      <c r="G344" s="639">
        <f>G339-G340</f>
        <v>0</v>
      </c>
      <c r="H344" s="639">
        <f>H339-H340</f>
        <v>-692685</v>
      </c>
      <c r="I344" s="640"/>
      <c r="J344" s="639"/>
    </row>
    <row r="345" spans="4:10" s="632" customFormat="1" ht="12">
      <c r="D345" s="639"/>
      <c r="E345" s="639"/>
      <c r="F345" s="640"/>
      <c r="G345" s="639"/>
      <c r="H345" s="639"/>
      <c r="I345" s="640"/>
      <c r="J345" s="639"/>
    </row>
    <row r="346" spans="5:9" s="632" customFormat="1" ht="12">
      <c r="E346" s="639"/>
      <c r="F346" s="640"/>
      <c r="G346" s="639"/>
      <c r="I346" s="624"/>
    </row>
  </sheetData>
  <sheetProtection/>
  <mergeCells count="8">
    <mergeCell ref="F8:F9"/>
    <mergeCell ref="I8:I9"/>
    <mergeCell ref="A1:I1"/>
    <mergeCell ref="A3:I3"/>
    <mergeCell ref="A4:I4"/>
    <mergeCell ref="A5:I5"/>
    <mergeCell ref="D7:F7"/>
    <mergeCell ref="G7:I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pane ySplit="2100" topLeftCell="A26" activePane="bottomLeft" state="split"/>
      <selection pane="topLeft" activeCell="A1" sqref="A1:IV16384"/>
      <selection pane="bottomLeft" activeCell="D32" sqref="D32"/>
    </sheetView>
  </sheetViews>
  <sheetFormatPr defaultColWidth="9.00390625" defaultRowHeight="12.75"/>
  <cols>
    <col min="1" max="1" width="2.50390625" style="714" customWidth="1"/>
    <col min="2" max="2" width="31.625" style="840" customWidth="1"/>
    <col min="3" max="4" width="10.00390625" style="712" customWidth="1"/>
    <col min="5" max="5" width="7.625" style="712" customWidth="1"/>
    <col min="6" max="7" width="10.00390625" style="712" customWidth="1"/>
    <col min="8" max="8" width="8.00390625" style="712" customWidth="1"/>
    <col min="9" max="10" width="10.00390625" style="712" customWidth="1"/>
    <col min="11" max="11" width="8.125" style="712" customWidth="1"/>
    <col min="12" max="12" width="9.00390625" style="712" customWidth="1"/>
    <col min="13" max="13" width="8.875" style="712" customWidth="1"/>
    <col min="14" max="14" width="7.00390625" style="712" customWidth="1"/>
    <col min="15" max="16" width="10.00390625" style="712" customWidth="1"/>
    <col min="17" max="17" width="7.875" style="712" customWidth="1"/>
    <col min="18" max="19" width="10.00390625" style="712" customWidth="1"/>
    <col min="20" max="20" width="7.125" style="712" customWidth="1"/>
    <col min="21" max="22" width="10.00390625" style="712" customWidth="1"/>
    <col min="23" max="23" width="8.625" style="712" customWidth="1"/>
    <col min="24" max="16384" width="9.375" style="712" customWidth="1"/>
  </cols>
  <sheetData>
    <row r="1" spans="1:23" s="711" customFormat="1" ht="9" customHeight="1">
      <c r="A1" s="1345" t="s">
        <v>841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6"/>
    </row>
    <row r="2" spans="1:22" ht="10.5" customHeight="1">
      <c r="A2" s="1347" t="s">
        <v>842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</row>
    <row r="3" spans="1:22" s="713" customFormat="1" ht="15" customHeight="1">
      <c r="A3" s="1348" t="str">
        <f>'[3]1'!A3:K3</f>
        <v>2013. ÉV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</row>
    <row r="4" spans="1:23" s="714" customFormat="1" ht="8.25" customHeight="1" thickBot="1">
      <c r="A4" s="1349" t="s">
        <v>700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  <c r="W4" s="1350"/>
    </row>
    <row r="5" spans="1:23" s="717" customFormat="1" ht="24" customHeight="1">
      <c r="A5" s="715"/>
      <c r="B5" s="716"/>
      <c r="C5" s="1335" t="s">
        <v>701</v>
      </c>
      <c r="D5" s="1336"/>
      <c r="E5" s="1337"/>
      <c r="F5" s="1335" t="s">
        <v>702</v>
      </c>
      <c r="G5" s="1336"/>
      <c r="H5" s="1337"/>
      <c r="I5" s="1335" t="s">
        <v>703</v>
      </c>
      <c r="J5" s="1336"/>
      <c r="K5" s="1337"/>
      <c r="L5" s="1335" t="s">
        <v>704</v>
      </c>
      <c r="M5" s="1336"/>
      <c r="N5" s="1337"/>
      <c r="O5" s="1351" t="s">
        <v>795</v>
      </c>
      <c r="P5" s="1352"/>
      <c r="Q5" s="1352"/>
      <c r="R5" s="1352"/>
      <c r="S5" s="1352"/>
      <c r="T5" s="1353"/>
      <c r="U5" s="1335" t="s">
        <v>706</v>
      </c>
      <c r="V5" s="1336"/>
      <c r="W5" s="1337"/>
    </row>
    <row r="6" spans="1:23" s="717" customFormat="1" ht="24" customHeight="1">
      <c r="A6" s="718"/>
      <c r="C6" s="1338"/>
      <c r="D6" s="1339"/>
      <c r="E6" s="1340"/>
      <c r="F6" s="1338"/>
      <c r="G6" s="1339"/>
      <c r="H6" s="1340"/>
      <c r="I6" s="1338"/>
      <c r="J6" s="1339"/>
      <c r="K6" s="1340"/>
      <c r="L6" s="1338"/>
      <c r="M6" s="1339"/>
      <c r="N6" s="1340"/>
      <c r="O6" s="1338" t="s">
        <v>796</v>
      </c>
      <c r="P6" s="1339"/>
      <c r="Q6" s="1340"/>
      <c r="R6" s="1338" t="s">
        <v>797</v>
      </c>
      <c r="S6" s="1339"/>
      <c r="T6" s="1340"/>
      <c r="U6" s="1364"/>
      <c r="V6" s="1365"/>
      <c r="W6" s="1333"/>
    </row>
    <row r="7" spans="1:23" s="717" customFormat="1" ht="11.25" customHeight="1">
      <c r="A7" s="718"/>
      <c r="C7" s="849">
        <v>2012</v>
      </c>
      <c r="D7" s="720">
        <v>2013</v>
      </c>
      <c r="E7" s="1341" t="s">
        <v>552</v>
      </c>
      <c r="F7" s="719">
        <f aca="true" t="shared" si="0" ref="F7:N7">C7</f>
        <v>2012</v>
      </c>
      <c r="G7" s="720">
        <f t="shared" si="0"/>
        <v>2013</v>
      </c>
      <c r="H7" s="1341" t="str">
        <f t="shared" si="0"/>
        <v>%</v>
      </c>
      <c r="I7" s="719">
        <f t="shared" si="0"/>
        <v>2012</v>
      </c>
      <c r="J7" s="720">
        <f t="shared" si="0"/>
        <v>2013</v>
      </c>
      <c r="K7" s="1341" t="str">
        <f t="shared" si="0"/>
        <v>%</v>
      </c>
      <c r="L7" s="719">
        <f t="shared" si="0"/>
        <v>2012</v>
      </c>
      <c r="M7" s="721">
        <f t="shared" si="0"/>
        <v>2013</v>
      </c>
      <c r="N7" s="1341" t="str">
        <f t="shared" si="0"/>
        <v>%</v>
      </c>
      <c r="O7" s="719">
        <f>C7</f>
        <v>2012</v>
      </c>
      <c r="P7" s="866">
        <f>J7</f>
        <v>2013</v>
      </c>
      <c r="Q7" s="1343" t="str">
        <f>N7</f>
        <v>%</v>
      </c>
      <c r="R7" s="867">
        <f>C7</f>
        <v>2012</v>
      </c>
      <c r="S7" s="867">
        <f>P7</f>
        <v>2013</v>
      </c>
      <c r="T7" s="1343" t="str">
        <f>Q7</f>
        <v>%</v>
      </c>
      <c r="U7" s="719">
        <f>F7</f>
        <v>2012</v>
      </c>
      <c r="V7" s="722">
        <f>S7</f>
        <v>2013</v>
      </c>
      <c r="W7" s="1363" t="str">
        <f>T7</f>
        <v>%</v>
      </c>
    </row>
    <row r="8" spans="1:23" s="717" customFormat="1" ht="9.75" customHeight="1" thickBot="1">
      <c r="A8" s="723"/>
      <c r="B8" s="724"/>
      <c r="C8" s="725" t="s">
        <v>553</v>
      </c>
      <c r="D8" s="726" t="s">
        <v>553</v>
      </c>
      <c r="E8" s="1342"/>
      <c r="F8" s="725" t="s">
        <v>553</v>
      </c>
      <c r="G8" s="727" t="str">
        <f>D8</f>
        <v>terv</v>
      </c>
      <c r="H8" s="1342"/>
      <c r="I8" s="725" t="s">
        <v>553</v>
      </c>
      <c r="J8" s="727" t="str">
        <f>G8</f>
        <v>terv</v>
      </c>
      <c r="K8" s="1342"/>
      <c r="L8" s="725" t="str">
        <f>I8</f>
        <v>terv</v>
      </c>
      <c r="M8" s="728" t="str">
        <f>J8</f>
        <v>terv</v>
      </c>
      <c r="N8" s="1342"/>
      <c r="O8" s="725" t="s">
        <v>553</v>
      </c>
      <c r="P8" s="727" t="str">
        <f>J8</f>
        <v>terv</v>
      </c>
      <c r="Q8" s="1342"/>
      <c r="R8" s="728" t="s">
        <v>553</v>
      </c>
      <c r="S8" s="728" t="str">
        <f>P8</f>
        <v>terv</v>
      </c>
      <c r="T8" s="1342"/>
      <c r="U8" s="725" t="s">
        <v>553</v>
      </c>
      <c r="V8" s="729" t="str">
        <f>S8</f>
        <v>terv</v>
      </c>
      <c r="W8" s="1334"/>
    </row>
    <row r="9" spans="1:23" s="717" customFormat="1" ht="9" customHeight="1">
      <c r="A9" s="730" t="s">
        <v>74</v>
      </c>
      <c r="B9" s="731" t="s">
        <v>843</v>
      </c>
      <c r="C9" s="732"/>
      <c r="D9" s="733"/>
      <c r="E9" s="734"/>
      <c r="F9" s="732"/>
      <c r="G9" s="733"/>
      <c r="H9" s="734"/>
      <c r="I9" s="732"/>
      <c r="J9" s="733"/>
      <c r="K9" s="734"/>
      <c r="L9" s="732"/>
      <c r="M9" s="733"/>
      <c r="N9" s="734"/>
      <c r="O9" s="732"/>
      <c r="P9" s="733"/>
      <c r="Q9" s="734"/>
      <c r="R9" s="732"/>
      <c r="S9" s="733"/>
      <c r="T9" s="734"/>
      <c r="U9" s="733"/>
      <c r="V9" s="733"/>
      <c r="W9" s="734"/>
    </row>
    <row r="10" spans="1:23" s="717" customFormat="1" ht="9" customHeight="1">
      <c r="A10" s="735"/>
      <c r="B10" s="736"/>
      <c r="C10" s="739"/>
      <c r="D10" s="737"/>
      <c r="E10" s="738"/>
      <c r="F10" s="739"/>
      <c r="G10" s="737"/>
      <c r="H10" s="738"/>
      <c r="I10" s="739"/>
      <c r="J10" s="737"/>
      <c r="K10" s="738"/>
      <c r="L10" s="739"/>
      <c r="M10" s="737"/>
      <c r="N10" s="738"/>
      <c r="O10" s="739"/>
      <c r="P10" s="737"/>
      <c r="Q10" s="738"/>
      <c r="R10" s="739"/>
      <c r="S10" s="737"/>
      <c r="T10" s="738"/>
      <c r="U10" s="740"/>
      <c r="V10" s="741"/>
      <c r="W10" s="742"/>
    </row>
    <row r="11" spans="1:23" s="717" customFormat="1" ht="9" customHeight="1">
      <c r="A11" s="743" t="s">
        <v>75</v>
      </c>
      <c r="B11" s="744" t="s">
        <v>844</v>
      </c>
      <c r="C11" s="745"/>
      <c r="D11" s="746"/>
      <c r="E11" s="747"/>
      <c r="F11" s="745"/>
      <c r="G11" s="748"/>
      <c r="H11" s="747"/>
      <c r="I11" s="750"/>
      <c r="J11" s="749"/>
      <c r="K11" s="747"/>
      <c r="L11" s="750"/>
      <c r="M11" s="749"/>
      <c r="N11" s="747"/>
      <c r="O11" s="750"/>
      <c r="P11" s="748"/>
      <c r="Q11" s="747"/>
      <c r="R11" s="745"/>
      <c r="S11" s="748"/>
      <c r="T11" s="747"/>
      <c r="U11" s="749"/>
      <c r="V11" s="749"/>
      <c r="W11" s="751"/>
    </row>
    <row r="12" spans="1:23" s="752" customFormat="1" ht="9.75" customHeight="1">
      <c r="A12" s="735"/>
      <c r="B12" s="736"/>
      <c r="C12" s="739"/>
      <c r="D12" s="737"/>
      <c r="E12" s="738"/>
      <c r="F12" s="739"/>
      <c r="G12" s="737"/>
      <c r="H12" s="738"/>
      <c r="I12" s="739"/>
      <c r="J12" s="737"/>
      <c r="K12" s="738"/>
      <c r="L12" s="739"/>
      <c r="M12" s="737"/>
      <c r="N12" s="738"/>
      <c r="O12" s="739"/>
      <c r="P12" s="737"/>
      <c r="Q12" s="738"/>
      <c r="R12" s="739"/>
      <c r="S12" s="737"/>
      <c r="T12" s="738"/>
      <c r="U12" s="740"/>
      <c r="V12" s="741"/>
      <c r="W12" s="742"/>
    </row>
    <row r="13" spans="1:23" s="752" customFormat="1" ht="12" customHeight="1" hidden="1">
      <c r="A13" s="735"/>
      <c r="B13" s="753"/>
      <c r="C13" s="739"/>
      <c r="D13" s="737"/>
      <c r="E13" s="738"/>
      <c r="F13" s="739"/>
      <c r="G13" s="737"/>
      <c r="H13" s="738"/>
      <c r="I13" s="739"/>
      <c r="J13" s="737"/>
      <c r="K13" s="738"/>
      <c r="L13" s="739"/>
      <c r="M13" s="737"/>
      <c r="N13" s="738"/>
      <c r="O13" s="739"/>
      <c r="P13" s="737"/>
      <c r="Q13" s="738"/>
      <c r="R13" s="739"/>
      <c r="S13" s="737"/>
      <c r="T13" s="738"/>
      <c r="U13" s="740"/>
      <c r="V13" s="741"/>
      <c r="W13" s="742"/>
    </row>
    <row r="14" spans="1:23" s="752" customFormat="1" ht="12" customHeight="1" hidden="1">
      <c r="A14" s="735"/>
      <c r="B14" s="753"/>
      <c r="C14" s="739"/>
      <c r="D14" s="737"/>
      <c r="E14" s="738"/>
      <c r="F14" s="739"/>
      <c r="G14" s="737"/>
      <c r="H14" s="738"/>
      <c r="I14" s="739"/>
      <c r="J14" s="737"/>
      <c r="K14" s="738"/>
      <c r="L14" s="739"/>
      <c r="M14" s="737"/>
      <c r="N14" s="738"/>
      <c r="O14" s="739"/>
      <c r="P14" s="737"/>
      <c r="Q14" s="738"/>
      <c r="R14" s="739"/>
      <c r="S14" s="737"/>
      <c r="T14" s="738"/>
      <c r="U14" s="740"/>
      <c r="V14" s="741"/>
      <c r="W14" s="742"/>
    </row>
    <row r="15" spans="1:23" s="752" customFormat="1" ht="12" customHeight="1" hidden="1">
      <c r="A15" s="735"/>
      <c r="B15" s="753"/>
      <c r="C15" s="739"/>
      <c r="D15" s="737"/>
      <c r="E15" s="738"/>
      <c r="F15" s="739"/>
      <c r="G15" s="737"/>
      <c r="H15" s="738"/>
      <c r="I15" s="739"/>
      <c r="J15" s="737"/>
      <c r="K15" s="738"/>
      <c r="L15" s="739"/>
      <c r="M15" s="737"/>
      <c r="N15" s="738"/>
      <c r="O15" s="739"/>
      <c r="P15" s="737"/>
      <c r="Q15" s="738"/>
      <c r="R15" s="739"/>
      <c r="S15" s="737"/>
      <c r="T15" s="738"/>
      <c r="U15" s="740"/>
      <c r="V15" s="741"/>
      <c r="W15" s="742"/>
    </row>
    <row r="16" spans="1:23" s="752" customFormat="1" ht="12" customHeight="1" hidden="1">
      <c r="A16" s="735"/>
      <c r="B16" s="753"/>
      <c r="C16" s="739"/>
      <c r="D16" s="737"/>
      <c r="E16" s="738"/>
      <c r="F16" s="739"/>
      <c r="G16" s="737"/>
      <c r="H16" s="738"/>
      <c r="I16" s="739"/>
      <c r="J16" s="737"/>
      <c r="K16" s="738"/>
      <c r="L16" s="739"/>
      <c r="M16" s="737"/>
      <c r="N16" s="738"/>
      <c r="O16" s="739"/>
      <c r="P16" s="737"/>
      <c r="Q16" s="738"/>
      <c r="R16" s="739"/>
      <c r="S16" s="737"/>
      <c r="T16" s="738"/>
      <c r="U16" s="740"/>
      <c r="V16" s="741"/>
      <c r="W16" s="742"/>
    </row>
    <row r="17" spans="1:23" s="752" customFormat="1" ht="12" customHeight="1" hidden="1">
      <c r="A17" s="735"/>
      <c r="B17" s="753"/>
      <c r="C17" s="739"/>
      <c r="D17" s="737"/>
      <c r="E17" s="738"/>
      <c r="F17" s="739"/>
      <c r="G17" s="737"/>
      <c r="H17" s="738"/>
      <c r="I17" s="739"/>
      <c r="J17" s="737"/>
      <c r="K17" s="738"/>
      <c r="L17" s="739"/>
      <c r="M17" s="737"/>
      <c r="N17" s="738"/>
      <c r="O17" s="739"/>
      <c r="P17" s="737"/>
      <c r="Q17" s="738"/>
      <c r="R17" s="739"/>
      <c r="S17" s="737"/>
      <c r="T17" s="738"/>
      <c r="U17" s="740"/>
      <c r="V17" s="741"/>
      <c r="W17" s="742"/>
    </row>
    <row r="18" spans="1:23" s="752" customFormat="1" ht="12" customHeight="1" hidden="1">
      <c r="A18" s="735"/>
      <c r="B18" s="753"/>
      <c r="C18" s="739"/>
      <c r="D18" s="737"/>
      <c r="E18" s="738"/>
      <c r="F18" s="739"/>
      <c r="G18" s="737"/>
      <c r="H18" s="738"/>
      <c r="I18" s="739"/>
      <c r="J18" s="737"/>
      <c r="K18" s="738"/>
      <c r="L18" s="739"/>
      <c r="M18" s="737"/>
      <c r="N18" s="738"/>
      <c r="O18" s="739"/>
      <c r="P18" s="737"/>
      <c r="Q18" s="738"/>
      <c r="R18" s="739"/>
      <c r="S18" s="737"/>
      <c r="T18" s="738"/>
      <c r="U18" s="740"/>
      <c r="V18" s="741"/>
      <c r="W18" s="742"/>
    </row>
    <row r="19" spans="1:23" s="752" customFormat="1" ht="12" customHeight="1" hidden="1">
      <c r="A19" s="735"/>
      <c r="B19" s="753"/>
      <c r="C19" s="739"/>
      <c r="D19" s="737"/>
      <c r="E19" s="738"/>
      <c r="F19" s="739"/>
      <c r="G19" s="737"/>
      <c r="H19" s="738"/>
      <c r="I19" s="739"/>
      <c r="J19" s="737"/>
      <c r="K19" s="738"/>
      <c r="L19" s="739"/>
      <c r="M19" s="737"/>
      <c r="N19" s="738"/>
      <c r="O19" s="739"/>
      <c r="P19" s="737"/>
      <c r="Q19" s="738"/>
      <c r="R19" s="739"/>
      <c r="S19" s="737"/>
      <c r="T19" s="738"/>
      <c r="U19" s="740"/>
      <c r="V19" s="741"/>
      <c r="W19" s="742"/>
    </row>
    <row r="20" spans="1:23" s="752" customFormat="1" ht="12" customHeight="1" hidden="1">
      <c r="A20" s="735"/>
      <c r="B20" s="736"/>
      <c r="C20" s="739"/>
      <c r="D20" s="737"/>
      <c r="E20" s="738"/>
      <c r="F20" s="739"/>
      <c r="G20" s="737"/>
      <c r="H20" s="738"/>
      <c r="I20" s="739"/>
      <c r="J20" s="737"/>
      <c r="K20" s="738"/>
      <c r="L20" s="739"/>
      <c r="M20" s="737"/>
      <c r="N20" s="738"/>
      <c r="O20" s="739"/>
      <c r="P20" s="737"/>
      <c r="Q20" s="738"/>
      <c r="R20" s="739"/>
      <c r="S20" s="737"/>
      <c r="T20" s="738"/>
      <c r="U20" s="740"/>
      <c r="V20" s="741"/>
      <c r="W20" s="742"/>
    </row>
    <row r="21" spans="1:23" s="752" customFormat="1" ht="12" customHeight="1" hidden="1">
      <c r="A21" s="735"/>
      <c r="B21" s="736"/>
      <c r="C21" s="739"/>
      <c r="D21" s="737"/>
      <c r="E21" s="738"/>
      <c r="F21" s="739"/>
      <c r="G21" s="737"/>
      <c r="H21" s="738"/>
      <c r="I21" s="739"/>
      <c r="J21" s="737"/>
      <c r="K21" s="738"/>
      <c r="L21" s="739"/>
      <c r="M21" s="737"/>
      <c r="N21" s="738"/>
      <c r="O21" s="739"/>
      <c r="P21" s="737"/>
      <c r="Q21" s="738"/>
      <c r="R21" s="739"/>
      <c r="S21" s="737"/>
      <c r="T21" s="738"/>
      <c r="U21" s="740"/>
      <c r="V21" s="741"/>
      <c r="W21" s="742"/>
    </row>
    <row r="22" spans="1:23" s="752" customFormat="1" ht="9" customHeight="1" hidden="1">
      <c r="A22" s="735"/>
      <c r="B22" s="736"/>
      <c r="C22" s="739"/>
      <c r="D22" s="737"/>
      <c r="E22" s="738"/>
      <c r="F22" s="739"/>
      <c r="G22" s="737"/>
      <c r="H22" s="738"/>
      <c r="I22" s="739"/>
      <c r="J22" s="737"/>
      <c r="K22" s="738"/>
      <c r="L22" s="739"/>
      <c r="M22" s="737"/>
      <c r="N22" s="738"/>
      <c r="O22" s="739"/>
      <c r="P22" s="737"/>
      <c r="Q22" s="738"/>
      <c r="R22" s="739"/>
      <c r="S22" s="737"/>
      <c r="T22" s="738"/>
      <c r="U22" s="740">
        <v>0</v>
      </c>
      <c r="V22" s="741">
        <v>0</v>
      </c>
      <c r="W22" s="742"/>
    </row>
    <row r="23" spans="1:23" s="752" customFormat="1" ht="9" customHeight="1" hidden="1">
      <c r="A23" s="735"/>
      <c r="B23" s="736"/>
      <c r="C23" s="739"/>
      <c r="D23" s="737"/>
      <c r="E23" s="738"/>
      <c r="F23" s="739"/>
      <c r="G23" s="737"/>
      <c r="H23" s="738"/>
      <c r="I23" s="739"/>
      <c r="J23" s="737"/>
      <c r="K23" s="738"/>
      <c r="L23" s="739"/>
      <c r="M23" s="737"/>
      <c r="N23" s="738"/>
      <c r="O23" s="739"/>
      <c r="P23" s="737"/>
      <c r="Q23" s="738"/>
      <c r="R23" s="739"/>
      <c r="S23" s="737"/>
      <c r="T23" s="738"/>
      <c r="U23" s="740">
        <v>0</v>
      </c>
      <c r="V23" s="741">
        <v>0</v>
      </c>
      <c r="W23" s="742"/>
    </row>
    <row r="24" spans="1:23" s="752" customFormat="1" ht="9" customHeight="1" hidden="1">
      <c r="A24" s="735"/>
      <c r="B24" s="736"/>
      <c r="C24" s="739"/>
      <c r="D24" s="737"/>
      <c r="E24" s="738"/>
      <c r="F24" s="739"/>
      <c r="G24" s="737"/>
      <c r="H24" s="738"/>
      <c r="I24" s="739"/>
      <c r="J24" s="737"/>
      <c r="K24" s="738"/>
      <c r="L24" s="739"/>
      <c r="M24" s="737"/>
      <c r="N24" s="738"/>
      <c r="O24" s="739"/>
      <c r="P24" s="737"/>
      <c r="Q24" s="738"/>
      <c r="R24" s="739"/>
      <c r="S24" s="737"/>
      <c r="T24" s="738"/>
      <c r="U24" s="740">
        <v>0</v>
      </c>
      <c r="V24" s="741">
        <v>0</v>
      </c>
      <c r="W24" s="742"/>
    </row>
    <row r="25" spans="1:23" s="752" customFormat="1" ht="9" customHeight="1" hidden="1">
      <c r="A25" s="735"/>
      <c r="B25" s="736"/>
      <c r="C25" s="739"/>
      <c r="D25" s="737"/>
      <c r="E25" s="738"/>
      <c r="F25" s="739"/>
      <c r="G25" s="737"/>
      <c r="H25" s="738"/>
      <c r="I25" s="739"/>
      <c r="J25" s="737"/>
      <c r="K25" s="738"/>
      <c r="L25" s="739"/>
      <c r="M25" s="737"/>
      <c r="N25" s="738"/>
      <c r="O25" s="739"/>
      <c r="P25" s="737"/>
      <c r="Q25" s="738"/>
      <c r="R25" s="739"/>
      <c r="S25" s="737"/>
      <c r="T25" s="738"/>
      <c r="U25" s="740">
        <v>0</v>
      </c>
      <c r="V25" s="741">
        <v>0</v>
      </c>
      <c r="W25" s="742"/>
    </row>
    <row r="26" spans="1:23" s="752" customFormat="1" ht="8.25" customHeight="1">
      <c r="A26" s="743" t="s">
        <v>76</v>
      </c>
      <c r="B26" s="755" t="s">
        <v>845</v>
      </c>
      <c r="C26" s="750"/>
      <c r="D26" s="749"/>
      <c r="E26" s="747"/>
      <c r="F26" s="750"/>
      <c r="G26" s="749"/>
      <c r="H26" s="747"/>
      <c r="I26" s="750"/>
      <c r="J26" s="749"/>
      <c r="K26" s="747"/>
      <c r="L26" s="750"/>
      <c r="M26" s="749"/>
      <c r="N26" s="747"/>
      <c r="O26" s="750"/>
      <c r="P26" s="749"/>
      <c r="Q26" s="747"/>
      <c r="R26" s="750"/>
      <c r="S26" s="749"/>
      <c r="T26" s="747"/>
      <c r="U26" s="749"/>
      <c r="V26" s="749"/>
      <c r="W26" s="751"/>
    </row>
    <row r="27" spans="1:23" s="752" customFormat="1" ht="9.75" customHeight="1">
      <c r="A27" s="735"/>
      <c r="B27" s="756"/>
      <c r="C27" s="739"/>
      <c r="D27" s="737"/>
      <c r="E27" s="738"/>
      <c r="F27" s="739"/>
      <c r="G27" s="737"/>
      <c r="H27" s="738"/>
      <c r="I27" s="739"/>
      <c r="J27" s="737"/>
      <c r="K27" s="738"/>
      <c r="L27" s="739"/>
      <c r="M27" s="737"/>
      <c r="N27" s="738"/>
      <c r="O27" s="739"/>
      <c r="P27" s="737"/>
      <c r="Q27" s="738"/>
      <c r="R27" s="739"/>
      <c r="S27" s="737"/>
      <c r="T27" s="738"/>
      <c r="U27" s="740"/>
      <c r="V27" s="741"/>
      <c r="W27" s="742"/>
    </row>
    <row r="28" spans="1:25" s="752" customFormat="1" ht="11.25" customHeight="1" hidden="1">
      <c r="A28" s="735"/>
      <c r="B28" s="756"/>
      <c r="C28" s="739"/>
      <c r="D28" s="737"/>
      <c r="E28" s="738"/>
      <c r="F28" s="739"/>
      <c r="G28" s="737"/>
      <c r="H28" s="738"/>
      <c r="I28" s="739"/>
      <c r="J28" s="737"/>
      <c r="K28" s="738"/>
      <c r="L28" s="739"/>
      <c r="M28" s="737"/>
      <c r="N28" s="738"/>
      <c r="O28" s="739"/>
      <c r="P28" s="737"/>
      <c r="Q28" s="738"/>
      <c r="R28" s="739"/>
      <c r="S28" s="737"/>
      <c r="T28" s="738"/>
      <c r="U28" s="740"/>
      <c r="V28" s="741"/>
      <c r="W28" s="742"/>
      <c r="Y28" s="757"/>
    </row>
    <row r="29" spans="1:23" s="752" customFormat="1" ht="11.25" customHeight="1" hidden="1">
      <c r="A29" s="735"/>
      <c r="B29" s="756"/>
      <c r="C29" s="739"/>
      <c r="D29" s="737"/>
      <c r="E29" s="738"/>
      <c r="F29" s="739"/>
      <c r="G29" s="737"/>
      <c r="H29" s="738"/>
      <c r="I29" s="739"/>
      <c r="J29" s="737"/>
      <c r="K29" s="738"/>
      <c r="L29" s="739"/>
      <c r="M29" s="737"/>
      <c r="N29" s="738"/>
      <c r="O29" s="739"/>
      <c r="P29" s="737"/>
      <c r="Q29" s="738"/>
      <c r="R29" s="739"/>
      <c r="S29" s="737"/>
      <c r="T29" s="738"/>
      <c r="U29" s="740"/>
      <c r="V29" s="741"/>
      <c r="W29" s="742"/>
    </row>
    <row r="30" spans="1:23" s="752" customFormat="1" ht="9" customHeight="1" hidden="1">
      <c r="A30" s="735"/>
      <c r="B30" s="756"/>
      <c r="C30" s="739"/>
      <c r="D30" s="737"/>
      <c r="E30" s="738"/>
      <c r="F30" s="739"/>
      <c r="G30" s="737"/>
      <c r="H30" s="738"/>
      <c r="I30" s="739"/>
      <c r="J30" s="737"/>
      <c r="K30" s="738"/>
      <c r="L30" s="739"/>
      <c r="M30" s="737"/>
      <c r="N30" s="738"/>
      <c r="O30" s="739"/>
      <c r="P30" s="737"/>
      <c r="Q30" s="738"/>
      <c r="R30" s="739"/>
      <c r="S30" s="737"/>
      <c r="T30" s="738"/>
      <c r="U30" s="740">
        <v>0</v>
      </c>
      <c r="V30" s="741">
        <v>0</v>
      </c>
      <c r="W30" s="742">
        <v>0</v>
      </c>
    </row>
    <row r="31" spans="1:23" s="752" customFormat="1" ht="9" customHeight="1">
      <c r="A31" s="743" t="s">
        <v>77</v>
      </c>
      <c r="B31" s="755" t="s">
        <v>846</v>
      </c>
      <c r="C31" s="750"/>
      <c r="D31" s="758"/>
      <c r="E31" s="747"/>
      <c r="F31" s="750"/>
      <c r="G31" s="758"/>
      <c r="H31" s="747"/>
      <c r="I31" s="750"/>
      <c r="J31" s="749"/>
      <c r="K31" s="747"/>
      <c r="L31" s="750"/>
      <c r="M31" s="749"/>
      <c r="N31" s="747"/>
      <c r="O31" s="750"/>
      <c r="P31" s="758"/>
      <c r="Q31" s="747"/>
      <c r="R31" s="750"/>
      <c r="S31" s="749"/>
      <c r="T31" s="747"/>
      <c r="U31" s="749"/>
      <c r="V31" s="749"/>
      <c r="W31" s="751"/>
    </row>
    <row r="32" spans="1:23" s="752" customFormat="1" ht="11.25" customHeight="1">
      <c r="A32" s="759" t="s">
        <v>1150</v>
      </c>
      <c r="B32" s="761" t="s">
        <v>847</v>
      </c>
      <c r="C32" s="737">
        <v>42394</v>
      </c>
      <c r="D32" s="737">
        <v>7920</v>
      </c>
      <c r="E32" s="738">
        <f>D32/C32</f>
        <v>0.1868188894654904</v>
      </c>
      <c r="F32" s="737">
        <v>11370</v>
      </c>
      <c r="G32" s="737">
        <v>2079</v>
      </c>
      <c r="H32" s="738">
        <f>G32/F32</f>
        <v>0.18284960422163588</v>
      </c>
      <c r="I32" s="737">
        <v>26177</v>
      </c>
      <c r="J32" s="737">
        <v>1341</v>
      </c>
      <c r="K32" s="738">
        <f>J32/I32</f>
        <v>0.051228177407647936</v>
      </c>
      <c r="L32" s="739"/>
      <c r="M32" s="737"/>
      <c r="N32" s="738"/>
      <c r="O32" s="739"/>
      <c r="P32" s="737"/>
      <c r="Q32" s="738"/>
      <c r="R32" s="739"/>
      <c r="S32" s="737"/>
      <c r="T32" s="738"/>
      <c r="U32" s="740">
        <f>C32+F32+I32+L32+O32+R32</f>
        <v>79941</v>
      </c>
      <c r="V32" s="741">
        <f>D32+G32+J32+M32+P32+S32</f>
        <v>11340</v>
      </c>
      <c r="W32" s="742">
        <f>V32/U32</f>
        <v>0.1418546177806132</v>
      </c>
    </row>
    <row r="33" spans="1:23" s="752" customFormat="1" ht="11.25" customHeight="1">
      <c r="A33" s="735"/>
      <c r="B33" s="761" t="s">
        <v>762</v>
      </c>
      <c r="C33" s="737">
        <v>1080</v>
      </c>
      <c r="D33" s="737">
        <v>0</v>
      </c>
      <c r="E33" s="738">
        <f aca="true" t="shared" si="1" ref="E33:E43">D33/C33</f>
        <v>0</v>
      </c>
      <c r="F33" s="737">
        <v>296</v>
      </c>
      <c r="G33" s="737">
        <v>0</v>
      </c>
      <c r="H33" s="738">
        <f aca="true" t="shared" si="2" ref="H33:H39">G33/F33</f>
        <v>0</v>
      </c>
      <c r="I33" s="737">
        <v>3124</v>
      </c>
      <c r="J33" s="737">
        <v>0</v>
      </c>
      <c r="K33" s="738">
        <f aca="true" t="shared" si="3" ref="K33:K46">J33/I33</f>
        <v>0</v>
      </c>
      <c r="L33" s="739"/>
      <c r="M33" s="737"/>
      <c r="N33" s="738"/>
      <c r="O33" s="739"/>
      <c r="P33" s="737"/>
      <c r="Q33" s="738"/>
      <c r="R33" s="739"/>
      <c r="S33" s="737"/>
      <c r="T33" s="738"/>
      <c r="U33" s="740">
        <f aca="true" t="shared" si="4" ref="U33:V48">C33+F33+I33+L33+O33+R33</f>
        <v>4500</v>
      </c>
      <c r="V33" s="741">
        <f t="shared" si="4"/>
        <v>0</v>
      </c>
      <c r="W33" s="742">
        <f aca="true" t="shared" si="5" ref="W33:W43">V33/U33</f>
        <v>0</v>
      </c>
    </row>
    <row r="34" spans="1:23" s="752" customFormat="1" ht="11.25" customHeight="1">
      <c r="A34" s="735"/>
      <c r="B34" s="761" t="s">
        <v>848</v>
      </c>
      <c r="C34" s="737">
        <v>334</v>
      </c>
      <c r="D34" s="737">
        <v>0</v>
      </c>
      <c r="E34" s="738">
        <f t="shared" si="1"/>
        <v>0</v>
      </c>
      <c r="F34" s="737">
        <v>90</v>
      </c>
      <c r="G34" s="737">
        <v>0</v>
      </c>
      <c r="H34" s="738">
        <f t="shared" si="2"/>
        <v>0</v>
      </c>
      <c r="I34" s="737">
        <v>31243</v>
      </c>
      <c r="J34" s="737">
        <v>0</v>
      </c>
      <c r="K34" s="738">
        <f t="shared" si="3"/>
        <v>0</v>
      </c>
      <c r="L34" s="739"/>
      <c r="M34" s="737"/>
      <c r="N34" s="738"/>
      <c r="O34" s="739"/>
      <c r="P34" s="737"/>
      <c r="Q34" s="738"/>
      <c r="R34" s="739"/>
      <c r="S34" s="737"/>
      <c r="T34" s="738"/>
      <c r="U34" s="740">
        <f t="shared" si="4"/>
        <v>31667</v>
      </c>
      <c r="V34" s="741">
        <f t="shared" si="4"/>
        <v>0</v>
      </c>
      <c r="W34" s="742">
        <f t="shared" si="5"/>
        <v>0</v>
      </c>
    </row>
    <row r="35" spans="1:23" s="752" customFormat="1" ht="11.25" customHeight="1">
      <c r="A35" s="1109"/>
      <c r="B35" s="761" t="s">
        <v>849</v>
      </c>
      <c r="C35" s="737">
        <f>470312-56408</f>
        <v>413904</v>
      </c>
      <c r="D35" s="737">
        <v>84289</v>
      </c>
      <c r="E35" s="738">
        <f t="shared" si="1"/>
        <v>0.20364384011751518</v>
      </c>
      <c r="F35" s="737">
        <f>128520-15163</f>
        <v>113357</v>
      </c>
      <c r="G35" s="737">
        <v>23445</v>
      </c>
      <c r="H35" s="738">
        <f t="shared" si="2"/>
        <v>0.20682445724569282</v>
      </c>
      <c r="I35" s="737">
        <f>187177-1093</f>
        <v>186084</v>
      </c>
      <c r="J35" s="737">
        <v>18043</v>
      </c>
      <c r="K35" s="738">
        <f t="shared" si="3"/>
        <v>0.09696158724017111</v>
      </c>
      <c r="L35" s="739"/>
      <c r="M35" s="737"/>
      <c r="N35" s="738"/>
      <c r="O35" s="739"/>
      <c r="P35" s="737"/>
      <c r="Q35" s="738"/>
      <c r="R35" s="739">
        <v>500</v>
      </c>
      <c r="S35" s="737">
        <v>0</v>
      </c>
      <c r="T35" s="738">
        <f>S35/R35</f>
        <v>0</v>
      </c>
      <c r="U35" s="740">
        <f t="shared" si="4"/>
        <v>713845</v>
      </c>
      <c r="V35" s="1110">
        <f t="shared" si="4"/>
        <v>125777</v>
      </c>
      <c r="W35" s="742">
        <f t="shared" si="5"/>
        <v>0.17619651324867444</v>
      </c>
    </row>
    <row r="36" spans="1:23" s="752" customFormat="1" ht="11.25" customHeight="1">
      <c r="A36" s="735" t="s">
        <v>1150</v>
      </c>
      <c r="B36" s="761" t="s">
        <v>850</v>
      </c>
      <c r="C36" s="737">
        <v>56408</v>
      </c>
      <c r="D36" s="737">
        <v>9491</v>
      </c>
      <c r="E36" s="738">
        <f t="shared" si="1"/>
        <v>0.16825627570557367</v>
      </c>
      <c r="F36" s="737">
        <v>15163</v>
      </c>
      <c r="G36" s="737">
        <v>2466</v>
      </c>
      <c r="H36" s="738">
        <f t="shared" si="2"/>
        <v>0.16263272439490867</v>
      </c>
      <c r="I36" s="737">
        <v>1093</v>
      </c>
      <c r="J36" s="737">
        <v>101</v>
      </c>
      <c r="K36" s="738">
        <f t="shared" si="3"/>
        <v>0.09240622140896615</v>
      </c>
      <c r="L36" s="739"/>
      <c r="M36" s="737"/>
      <c r="N36" s="738"/>
      <c r="O36" s="739"/>
      <c r="P36" s="737"/>
      <c r="Q36" s="738"/>
      <c r="R36" s="739"/>
      <c r="S36" s="737"/>
      <c r="T36" s="738"/>
      <c r="U36" s="740">
        <f t="shared" si="4"/>
        <v>72664</v>
      </c>
      <c r="V36" s="741">
        <f t="shared" si="4"/>
        <v>12058</v>
      </c>
      <c r="W36" s="742">
        <f t="shared" si="5"/>
        <v>0.16594186942640096</v>
      </c>
    </row>
    <row r="37" spans="1:23" s="752" customFormat="1" ht="11.25" customHeight="1">
      <c r="A37" s="735"/>
      <c r="B37" s="761" t="s">
        <v>851</v>
      </c>
      <c r="C37" s="737">
        <v>17558</v>
      </c>
      <c r="D37" s="737">
        <v>0</v>
      </c>
      <c r="E37" s="738">
        <f t="shared" si="1"/>
        <v>0</v>
      </c>
      <c r="F37" s="737">
        <v>4882</v>
      </c>
      <c r="G37" s="737">
        <v>0</v>
      </c>
      <c r="H37" s="738">
        <f t="shared" si="2"/>
        <v>0</v>
      </c>
      <c r="I37" s="737">
        <v>4240</v>
      </c>
      <c r="J37" s="737">
        <v>0</v>
      </c>
      <c r="K37" s="738">
        <f t="shared" si="3"/>
        <v>0</v>
      </c>
      <c r="L37" s="739"/>
      <c r="M37" s="737"/>
      <c r="N37" s="738"/>
      <c r="O37" s="739"/>
      <c r="P37" s="737"/>
      <c r="Q37" s="738"/>
      <c r="R37" s="739">
        <v>15</v>
      </c>
      <c r="S37" s="737">
        <v>0</v>
      </c>
      <c r="T37" s="738">
        <f>S37/R37</f>
        <v>0</v>
      </c>
      <c r="U37" s="740">
        <f t="shared" si="4"/>
        <v>26695</v>
      </c>
      <c r="V37" s="741">
        <f t="shared" si="4"/>
        <v>0</v>
      </c>
      <c r="W37" s="742">
        <f t="shared" si="5"/>
        <v>0</v>
      </c>
    </row>
    <row r="38" spans="1:23" s="752" customFormat="1" ht="11.25" customHeight="1">
      <c r="A38" s="735" t="s">
        <v>1149</v>
      </c>
      <c r="B38" s="761" t="s">
        <v>852</v>
      </c>
      <c r="C38" s="737">
        <v>0</v>
      </c>
      <c r="D38" s="737">
        <v>0</v>
      </c>
      <c r="E38" s="738">
        <v>0</v>
      </c>
      <c r="F38" s="737">
        <v>0</v>
      </c>
      <c r="G38" s="737">
        <v>0</v>
      </c>
      <c r="H38" s="738">
        <v>0</v>
      </c>
      <c r="I38" s="737">
        <v>800</v>
      </c>
      <c r="J38" s="737">
        <v>326</v>
      </c>
      <c r="K38" s="738">
        <f t="shared" si="3"/>
        <v>0.4075</v>
      </c>
      <c r="L38" s="739"/>
      <c r="M38" s="737"/>
      <c r="N38" s="738"/>
      <c r="O38" s="739"/>
      <c r="P38" s="737"/>
      <c r="Q38" s="738"/>
      <c r="R38" s="739"/>
      <c r="S38" s="737"/>
      <c r="T38" s="738"/>
      <c r="U38" s="740">
        <f t="shared" si="4"/>
        <v>800</v>
      </c>
      <c r="V38" s="741">
        <f t="shared" si="4"/>
        <v>326</v>
      </c>
      <c r="W38" s="742">
        <f t="shared" si="5"/>
        <v>0.4075</v>
      </c>
    </row>
    <row r="39" spans="1:23" s="752" customFormat="1" ht="11.25" customHeight="1">
      <c r="A39" s="735" t="s">
        <v>1150</v>
      </c>
      <c r="B39" s="761" t="s">
        <v>853</v>
      </c>
      <c r="C39" s="737">
        <v>14500</v>
      </c>
      <c r="D39" s="737">
        <v>0</v>
      </c>
      <c r="E39" s="738">
        <f t="shared" si="1"/>
        <v>0</v>
      </c>
      <c r="F39" s="737">
        <v>4415</v>
      </c>
      <c r="G39" s="737">
        <v>0</v>
      </c>
      <c r="H39" s="738">
        <f t="shared" si="2"/>
        <v>0</v>
      </c>
      <c r="I39" s="737"/>
      <c r="J39" s="737"/>
      <c r="K39" s="738"/>
      <c r="L39" s="739"/>
      <c r="M39" s="737"/>
      <c r="N39" s="738"/>
      <c r="O39" s="739"/>
      <c r="P39" s="737"/>
      <c r="Q39" s="738"/>
      <c r="R39" s="739"/>
      <c r="S39" s="737"/>
      <c r="T39" s="738"/>
      <c r="U39" s="740">
        <f t="shared" si="4"/>
        <v>18915</v>
      </c>
      <c r="V39" s="741">
        <f t="shared" si="4"/>
        <v>0</v>
      </c>
      <c r="W39" s="742">
        <f t="shared" si="5"/>
        <v>0</v>
      </c>
    </row>
    <row r="40" spans="1:23" s="752" customFormat="1" ht="11.25" customHeight="1">
      <c r="A40" s="735" t="s">
        <v>1150</v>
      </c>
      <c r="B40" s="761" t="s">
        <v>719</v>
      </c>
      <c r="C40" s="737"/>
      <c r="D40" s="737"/>
      <c r="E40" s="738"/>
      <c r="F40" s="737"/>
      <c r="G40" s="737"/>
      <c r="H40" s="738"/>
      <c r="I40" s="737">
        <v>7000</v>
      </c>
      <c r="J40" s="737">
        <v>113</v>
      </c>
      <c r="K40" s="738">
        <f t="shared" si="3"/>
        <v>0.016142857142857143</v>
      </c>
      <c r="L40" s="739"/>
      <c r="M40" s="737"/>
      <c r="N40" s="738"/>
      <c r="O40" s="739"/>
      <c r="P40" s="737"/>
      <c r="Q40" s="738"/>
      <c r="R40" s="739"/>
      <c r="S40" s="737"/>
      <c r="T40" s="738"/>
      <c r="U40" s="740">
        <f t="shared" si="4"/>
        <v>7000</v>
      </c>
      <c r="V40" s="741">
        <f t="shared" si="4"/>
        <v>113</v>
      </c>
      <c r="W40" s="742">
        <f t="shared" si="5"/>
        <v>0.016142857142857143</v>
      </c>
    </row>
    <row r="41" spans="1:23" s="752" customFormat="1" ht="11.25" customHeight="1">
      <c r="A41" s="735" t="s">
        <v>1150</v>
      </c>
      <c r="B41" s="761" t="s">
        <v>721</v>
      </c>
      <c r="C41" s="737"/>
      <c r="D41" s="737"/>
      <c r="E41" s="738"/>
      <c r="F41" s="737"/>
      <c r="G41" s="737"/>
      <c r="H41" s="738"/>
      <c r="I41" s="737">
        <v>26325</v>
      </c>
      <c r="J41" s="737">
        <v>4328</v>
      </c>
      <c r="K41" s="738">
        <f t="shared" si="3"/>
        <v>0.16440645773979107</v>
      </c>
      <c r="L41" s="739"/>
      <c r="M41" s="737"/>
      <c r="N41" s="738"/>
      <c r="O41" s="739"/>
      <c r="P41" s="737"/>
      <c r="Q41" s="738"/>
      <c r="R41" s="739"/>
      <c r="S41" s="737"/>
      <c r="T41" s="738"/>
      <c r="U41" s="740">
        <f t="shared" si="4"/>
        <v>26325</v>
      </c>
      <c r="V41" s="741">
        <f t="shared" si="4"/>
        <v>4328</v>
      </c>
      <c r="W41" s="742">
        <f t="shared" si="5"/>
        <v>0.16440645773979107</v>
      </c>
    </row>
    <row r="42" spans="1:23" s="752" customFormat="1" ht="11.25" customHeight="1">
      <c r="A42" s="735"/>
      <c r="B42" s="736" t="s">
        <v>854</v>
      </c>
      <c r="C42" s="737"/>
      <c r="D42" s="737"/>
      <c r="E42" s="738"/>
      <c r="F42" s="737"/>
      <c r="G42" s="737"/>
      <c r="H42" s="738"/>
      <c r="I42" s="737">
        <v>1000</v>
      </c>
      <c r="J42" s="737">
        <v>0</v>
      </c>
      <c r="K42" s="738">
        <f t="shared" si="3"/>
        <v>0</v>
      </c>
      <c r="L42" s="739"/>
      <c r="M42" s="737"/>
      <c r="N42" s="738"/>
      <c r="O42" s="739"/>
      <c r="P42" s="737"/>
      <c r="Q42" s="738"/>
      <c r="R42" s="739"/>
      <c r="S42" s="737"/>
      <c r="T42" s="738"/>
      <c r="U42" s="740">
        <f t="shared" si="4"/>
        <v>1000</v>
      </c>
      <c r="V42" s="741">
        <f t="shared" si="4"/>
        <v>0</v>
      </c>
      <c r="W42" s="742">
        <f t="shared" si="5"/>
        <v>0</v>
      </c>
    </row>
    <row r="43" spans="1:23" s="752" customFormat="1" ht="11.25" customHeight="1">
      <c r="A43" s="735"/>
      <c r="B43" s="736" t="s">
        <v>855</v>
      </c>
      <c r="C43" s="737">
        <v>1530</v>
      </c>
      <c r="D43" s="737">
        <v>0</v>
      </c>
      <c r="E43" s="738">
        <f t="shared" si="1"/>
        <v>0</v>
      </c>
      <c r="F43" s="737">
        <v>413</v>
      </c>
      <c r="G43" s="737">
        <v>0</v>
      </c>
      <c r="H43" s="738">
        <f>G43/F43</f>
        <v>0</v>
      </c>
      <c r="I43" s="737">
        <v>3721</v>
      </c>
      <c r="J43" s="737">
        <v>0</v>
      </c>
      <c r="K43" s="738">
        <f t="shared" si="3"/>
        <v>0</v>
      </c>
      <c r="L43" s="739"/>
      <c r="M43" s="737"/>
      <c r="N43" s="738"/>
      <c r="O43" s="739"/>
      <c r="P43" s="737"/>
      <c r="Q43" s="738"/>
      <c r="R43" s="739"/>
      <c r="S43" s="737"/>
      <c r="T43" s="738"/>
      <c r="U43" s="740">
        <f t="shared" si="4"/>
        <v>5664</v>
      </c>
      <c r="V43" s="741">
        <f t="shared" si="4"/>
        <v>0</v>
      </c>
      <c r="W43" s="742">
        <f t="shared" si="5"/>
        <v>0</v>
      </c>
    </row>
    <row r="44" spans="1:23" s="752" customFormat="1" ht="11.25" customHeight="1">
      <c r="A44" s="735"/>
      <c r="B44" s="736" t="s">
        <v>856</v>
      </c>
      <c r="C44" s="737"/>
      <c r="D44" s="737"/>
      <c r="E44" s="738"/>
      <c r="F44" s="737"/>
      <c r="G44" s="737"/>
      <c r="H44" s="738"/>
      <c r="I44" s="737">
        <v>200</v>
      </c>
      <c r="J44" s="737">
        <v>0</v>
      </c>
      <c r="K44" s="738">
        <f t="shared" si="3"/>
        <v>0</v>
      </c>
      <c r="L44" s="739"/>
      <c r="M44" s="737"/>
      <c r="N44" s="738"/>
      <c r="O44" s="739"/>
      <c r="P44" s="737"/>
      <c r="Q44" s="738"/>
      <c r="R44" s="739"/>
      <c r="S44" s="737"/>
      <c r="T44" s="738"/>
      <c r="U44" s="740">
        <f t="shared" si="4"/>
        <v>200</v>
      </c>
      <c r="V44" s="741">
        <f t="shared" si="4"/>
        <v>0</v>
      </c>
      <c r="W44" s="742">
        <v>0</v>
      </c>
    </row>
    <row r="45" spans="1:23" s="752" customFormat="1" ht="11.25" customHeight="1">
      <c r="A45" s="735" t="s">
        <v>1150</v>
      </c>
      <c r="B45" s="761" t="s">
        <v>857</v>
      </c>
      <c r="C45" s="739"/>
      <c r="D45" s="737"/>
      <c r="E45" s="738"/>
      <c r="F45" s="739"/>
      <c r="G45" s="737"/>
      <c r="H45" s="738"/>
      <c r="I45" s="737">
        <v>3600</v>
      </c>
      <c r="J45" s="737">
        <v>254</v>
      </c>
      <c r="K45" s="738">
        <f t="shared" si="3"/>
        <v>0.07055555555555555</v>
      </c>
      <c r="L45" s="739"/>
      <c r="M45" s="737"/>
      <c r="N45" s="738"/>
      <c r="O45" s="739"/>
      <c r="P45" s="737"/>
      <c r="Q45" s="738"/>
      <c r="R45" s="739"/>
      <c r="S45" s="737"/>
      <c r="T45" s="738"/>
      <c r="U45" s="740">
        <f t="shared" si="4"/>
        <v>3600</v>
      </c>
      <c r="V45" s="741">
        <f t="shared" si="4"/>
        <v>254</v>
      </c>
      <c r="W45" s="742">
        <f>V45/U45</f>
        <v>0.07055555555555555</v>
      </c>
    </row>
    <row r="46" spans="1:23" s="752" customFormat="1" ht="11.25" customHeight="1">
      <c r="A46" s="735"/>
      <c r="B46" s="761" t="s">
        <v>761</v>
      </c>
      <c r="C46" s="739"/>
      <c r="D46" s="737"/>
      <c r="E46" s="738"/>
      <c r="F46" s="739"/>
      <c r="G46" s="737"/>
      <c r="H46" s="738"/>
      <c r="I46" s="737">
        <v>15000</v>
      </c>
      <c r="J46" s="737">
        <v>0</v>
      </c>
      <c r="K46" s="738">
        <f t="shared" si="3"/>
        <v>0</v>
      </c>
      <c r="L46" s="739"/>
      <c r="M46" s="737"/>
      <c r="N46" s="738"/>
      <c r="O46" s="739"/>
      <c r="P46" s="737"/>
      <c r="Q46" s="738"/>
      <c r="R46" s="739"/>
      <c r="S46" s="737"/>
      <c r="T46" s="738"/>
      <c r="U46" s="740">
        <f t="shared" si="4"/>
        <v>15000</v>
      </c>
      <c r="V46" s="741">
        <f t="shared" si="4"/>
        <v>0</v>
      </c>
      <c r="W46" s="742">
        <v>0</v>
      </c>
    </row>
    <row r="47" spans="1:23" s="752" customFormat="1" ht="11.25" customHeight="1">
      <c r="A47" s="735" t="s">
        <v>1150</v>
      </c>
      <c r="B47" s="736" t="s">
        <v>859</v>
      </c>
      <c r="C47" s="739"/>
      <c r="D47" s="737"/>
      <c r="E47" s="738"/>
      <c r="F47" s="739"/>
      <c r="G47" s="737"/>
      <c r="H47" s="738"/>
      <c r="I47" s="739">
        <v>0</v>
      </c>
      <c r="J47" s="737">
        <v>0</v>
      </c>
      <c r="K47" s="738">
        <v>0</v>
      </c>
      <c r="L47" s="739"/>
      <c r="M47" s="737"/>
      <c r="N47" s="738"/>
      <c r="O47" s="739"/>
      <c r="P47" s="737"/>
      <c r="Q47" s="738"/>
      <c r="R47" s="739"/>
      <c r="S47" s="737"/>
      <c r="T47" s="738"/>
      <c r="U47" s="740">
        <f t="shared" si="4"/>
        <v>0</v>
      </c>
      <c r="V47" s="741">
        <f t="shared" si="4"/>
        <v>0</v>
      </c>
      <c r="W47" s="742">
        <v>0</v>
      </c>
    </row>
    <row r="48" spans="1:23" s="752" customFormat="1" ht="11.25" customHeight="1">
      <c r="A48" s="735" t="s">
        <v>1150</v>
      </c>
      <c r="B48" s="736" t="s">
        <v>858</v>
      </c>
      <c r="C48" s="739"/>
      <c r="D48" s="737"/>
      <c r="E48" s="738"/>
      <c r="F48" s="739"/>
      <c r="G48" s="737"/>
      <c r="H48" s="738"/>
      <c r="I48" s="739">
        <v>0</v>
      </c>
      <c r="J48" s="737">
        <v>642</v>
      </c>
      <c r="K48" s="738">
        <v>0</v>
      </c>
      <c r="L48" s="739"/>
      <c r="M48" s="737"/>
      <c r="N48" s="738"/>
      <c r="O48" s="739"/>
      <c r="P48" s="737"/>
      <c r="Q48" s="738"/>
      <c r="R48" s="739"/>
      <c r="S48" s="737"/>
      <c r="T48" s="738"/>
      <c r="U48" s="740">
        <f t="shared" si="4"/>
        <v>0</v>
      </c>
      <c r="V48" s="741">
        <f t="shared" si="4"/>
        <v>642</v>
      </c>
      <c r="W48" s="742">
        <v>0</v>
      </c>
    </row>
    <row r="49" spans="1:23" s="752" customFormat="1" ht="11.25" customHeight="1" thickBot="1">
      <c r="A49" s="735"/>
      <c r="B49" s="868"/>
      <c r="C49" s="739"/>
      <c r="D49" s="737"/>
      <c r="E49" s="738"/>
      <c r="F49" s="739"/>
      <c r="G49" s="737"/>
      <c r="H49" s="738"/>
      <c r="I49" s="739"/>
      <c r="J49" s="737"/>
      <c r="K49" s="738"/>
      <c r="L49" s="739"/>
      <c r="M49" s="737"/>
      <c r="N49" s="738"/>
      <c r="O49" s="739"/>
      <c r="P49" s="737"/>
      <c r="Q49" s="738"/>
      <c r="R49" s="739"/>
      <c r="S49" s="737"/>
      <c r="T49" s="738"/>
      <c r="U49" s="740">
        <f>C49+F49+I49+L49+O49+R49</f>
        <v>0</v>
      </c>
      <c r="V49" s="741">
        <f>D49+G49+J49+M49+P49+S49</f>
        <v>0</v>
      </c>
      <c r="W49" s="742">
        <v>0</v>
      </c>
    </row>
    <row r="50" spans="1:23" s="752" customFormat="1" ht="11.25" customHeight="1" hidden="1">
      <c r="A50" s="735"/>
      <c r="B50" s="868"/>
      <c r="C50" s="739"/>
      <c r="D50" s="737"/>
      <c r="E50" s="738"/>
      <c r="F50" s="739"/>
      <c r="G50" s="737"/>
      <c r="H50" s="738"/>
      <c r="I50" s="739"/>
      <c r="J50" s="737"/>
      <c r="K50" s="738"/>
      <c r="L50" s="739"/>
      <c r="M50" s="737"/>
      <c r="N50" s="738"/>
      <c r="O50" s="739"/>
      <c r="P50" s="737"/>
      <c r="Q50" s="738"/>
      <c r="R50" s="739"/>
      <c r="S50" s="737"/>
      <c r="T50" s="738"/>
      <c r="U50" s="740">
        <f aca="true" t="shared" si="6" ref="U50:V58">C50+F50+I50+L50+O50+R50</f>
        <v>0</v>
      </c>
      <c r="V50" s="741">
        <f t="shared" si="6"/>
        <v>0</v>
      </c>
      <c r="W50" s="742">
        <v>0</v>
      </c>
    </row>
    <row r="51" spans="1:23" s="752" customFormat="1" ht="11.25" customHeight="1" hidden="1">
      <c r="A51" s="735"/>
      <c r="B51" s="761"/>
      <c r="C51" s="739"/>
      <c r="D51" s="737"/>
      <c r="E51" s="738"/>
      <c r="F51" s="739"/>
      <c r="G51" s="737"/>
      <c r="H51" s="738"/>
      <c r="I51" s="739"/>
      <c r="J51" s="737"/>
      <c r="K51" s="738"/>
      <c r="L51" s="739"/>
      <c r="M51" s="737"/>
      <c r="N51" s="738"/>
      <c r="O51" s="739"/>
      <c r="P51" s="737"/>
      <c r="Q51" s="738"/>
      <c r="R51" s="739"/>
      <c r="S51" s="737"/>
      <c r="T51" s="738"/>
      <c r="U51" s="740">
        <f t="shared" si="6"/>
        <v>0</v>
      </c>
      <c r="V51" s="741">
        <f t="shared" si="6"/>
        <v>0</v>
      </c>
      <c r="W51" s="742">
        <v>0</v>
      </c>
    </row>
    <row r="52" spans="1:23" s="752" customFormat="1" ht="11.25" customHeight="1" hidden="1">
      <c r="A52" s="735"/>
      <c r="B52" s="761"/>
      <c r="C52" s="739"/>
      <c r="D52" s="737"/>
      <c r="E52" s="738"/>
      <c r="F52" s="739"/>
      <c r="G52" s="737"/>
      <c r="H52" s="738"/>
      <c r="I52" s="739"/>
      <c r="J52" s="737"/>
      <c r="K52" s="738"/>
      <c r="L52" s="739"/>
      <c r="M52" s="737"/>
      <c r="N52" s="738"/>
      <c r="O52" s="739"/>
      <c r="P52" s="737"/>
      <c r="Q52" s="738"/>
      <c r="R52" s="739"/>
      <c r="S52" s="737"/>
      <c r="T52" s="738"/>
      <c r="U52" s="740">
        <f t="shared" si="6"/>
        <v>0</v>
      </c>
      <c r="V52" s="741">
        <f t="shared" si="6"/>
        <v>0</v>
      </c>
      <c r="W52" s="742">
        <v>0</v>
      </c>
    </row>
    <row r="53" spans="1:23" s="752" customFormat="1" ht="11.25" customHeight="1" hidden="1">
      <c r="A53" s="735"/>
      <c r="B53" s="761"/>
      <c r="C53" s="739"/>
      <c r="D53" s="737"/>
      <c r="E53" s="738"/>
      <c r="F53" s="739"/>
      <c r="G53" s="737"/>
      <c r="H53" s="738"/>
      <c r="I53" s="739"/>
      <c r="J53" s="737"/>
      <c r="K53" s="738"/>
      <c r="L53" s="739"/>
      <c r="M53" s="737"/>
      <c r="N53" s="738"/>
      <c r="O53" s="739"/>
      <c r="P53" s="737"/>
      <c r="Q53" s="738"/>
      <c r="R53" s="739"/>
      <c r="S53" s="737"/>
      <c r="T53" s="738"/>
      <c r="U53" s="740">
        <f t="shared" si="6"/>
        <v>0</v>
      </c>
      <c r="V53" s="741">
        <f t="shared" si="6"/>
        <v>0</v>
      </c>
      <c r="W53" s="742">
        <v>0</v>
      </c>
    </row>
    <row r="54" spans="1:23" s="752" customFormat="1" ht="11.25" customHeight="1" hidden="1">
      <c r="A54" s="735"/>
      <c r="B54" s="761"/>
      <c r="C54" s="739"/>
      <c r="D54" s="737"/>
      <c r="E54" s="738"/>
      <c r="F54" s="739"/>
      <c r="G54" s="737"/>
      <c r="H54" s="738"/>
      <c r="I54" s="739"/>
      <c r="J54" s="737"/>
      <c r="K54" s="738"/>
      <c r="L54" s="739"/>
      <c r="M54" s="737"/>
      <c r="N54" s="738"/>
      <c r="O54" s="739"/>
      <c r="P54" s="737"/>
      <c r="Q54" s="738"/>
      <c r="R54" s="739"/>
      <c r="S54" s="737"/>
      <c r="T54" s="738"/>
      <c r="U54" s="740">
        <f t="shared" si="6"/>
        <v>0</v>
      </c>
      <c r="V54" s="741">
        <f t="shared" si="6"/>
        <v>0</v>
      </c>
      <c r="W54" s="742">
        <v>0</v>
      </c>
    </row>
    <row r="55" spans="1:23" s="752" customFormat="1" ht="11.25" customHeight="1" hidden="1">
      <c r="A55" s="735"/>
      <c r="B55" s="761"/>
      <c r="C55" s="739"/>
      <c r="D55" s="737"/>
      <c r="E55" s="738"/>
      <c r="F55" s="739"/>
      <c r="G55" s="737"/>
      <c r="H55" s="738"/>
      <c r="I55" s="739"/>
      <c r="J55" s="737"/>
      <c r="K55" s="738"/>
      <c r="L55" s="739"/>
      <c r="M55" s="737"/>
      <c r="N55" s="738"/>
      <c r="O55" s="739"/>
      <c r="P55" s="737"/>
      <c r="Q55" s="738"/>
      <c r="R55" s="739"/>
      <c r="S55" s="737"/>
      <c r="T55" s="738"/>
      <c r="U55" s="740">
        <f t="shared" si="6"/>
        <v>0</v>
      </c>
      <c r="V55" s="741">
        <f t="shared" si="6"/>
        <v>0</v>
      </c>
      <c r="W55" s="742">
        <v>0</v>
      </c>
    </row>
    <row r="56" spans="1:23" s="757" customFormat="1" ht="11.25" customHeight="1" hidden="1">
      <c r="A56" s="735"/>
      <c r="B56" s="761"/>
      <c r="C56" s="739"/>
      <c r="D56" s="737"/>
      <c r="E56" s="738"/>
      <c r="F56" s="739"/>
      <c r="G56" s="737"/>
      <c r="H56" s="738"/>
      <c r="I56" s="739"/>
      <c r="J56" s="737"/>
      <c r="K56" s="738"/>
      <c r="L56" s="739"/>
      <c r="M56" s="737"/>
      <c r="N56" s="738"/>
      <c r="O56" s="739"/>
      <c r="P56" s="737"/>
      <c r="Q56" s="738"/>
      <c r="R56" s="739"/>
      <c r="S56" s="737"/>
      <c r="T56" s="738"/>
      <c r="U56" s="740">
        <f t="shared" si="6"/>
        <v>0</v>
      </c>
      <c r="V56" s="741">
        <f t="shared" si="6"/>
        <v>0</v>
      </c>
      <c r="W56" s="742">
        <v>0</v>
      </c>
    </row>
    <row r="57" spans="1:23" s="757" customFormat="1" ht="11.25" customHeight="1" hidden="1">
      <c r="A57" s="735"/>
      <c r="B57" s="761"/>
      <c r="C57" s="739"/>
      <c r="D57" s="737"/>
      <c r="E57" s="738"/>
      <c r="F57" s="739"/>
      <c r="G57" s="737"/>
      <c r="H57" s="738"/>
      <c r="I57" s="739"/>
      <c r="J57" s="737"/>
      <c r="K57" s="738"/>
      <c r="L57" s="739"/>
      <c r="M57" s="737"/>
      <c r="N57" s="738"/>
      <c r="O57" s="739"/>
      <c r="P57" s="737"/>
      <c r="Q57" s="738"/>
      <c r="R57" s="739"/>
      <c r="S57" s="737"/>
      <c r="T57" s="738"/>
      <c r="U57" s="740">
        <f t="shared" si="6"/>
        <v>0</v>
      </c>
      <c r="V57" s="741">
        <f t="shared" si="6"/>
        <v>0</v>
      </c>
      <c r="W57" s="742">
        <v>0</v>
      </c>
    </row>
    <row r="58" spans="1:23" s="757" customFormat="1" ht="11.25" customHeight="1" hidden="1" thickBot="1">
      <c r="A58" s="735"/>
      <c r="B58" s="868"/>
      <c r="C58" s="739"/>
      <c r="D58" s="737"/>
      <c r="E58" s="738"/>
      <c r="F58" s="739"/>
      <c r="G58" s="737"/>
      <c r="H58" s="738"/>
      <c r="I58" s="739"/>
      <c r="J58" s="737"/>
      <c r="K58" s="738"/>
      <c r="L58" s="739"/>
      <c r="M58" s="737"/>
      <c r="N58" s="738"/>
      <c r="O58" s="739"/>
      <c r="P58" s="737"/>
      <c r="Q58" s="738"/>
      <c r="R58" s="739"/>
      <c r="S58" s="737"/>
      <c r="T58" s="738"/>
      <c r="U58" s="740">
        <f t="shared" si="6"/>
        <v>0</v>
      </c>
      <c r="V58" s="741">
        <f t="shared" si="6"/>
        <v>0</v>
      </c>
      <c r="W58" s="742">
        <v>0</v>
      </c>
    </row>
    <row r="59" spans="1:23" s="776" customFormat="1" ht="9" customHeight="1" thickBot="1">
      <c r="A59" s="759"/>
      <c r="B59" s="770" t="s">
        <v>860</v>
      </c>
      <c r="C59" s="869">
        <f>SUM(C10:C58)</f>
        <v>547708</v>
      </c>
      <c r="D59" s="772">
        <f>SUM(D10:D58)</f>
        <v>101700</v>
      </c>
      <c r="E59" s="773">
        <f>D59/C59</f>
        <v>0.1856828821196696</v>
      </c>
      <c r="F59" s="771">
        <f>SUM(F10:F58)</f>
        <v>149986</v>
      </c>
      <c r="G59" s="772">
        <f>SUM(G10:G58)</f>
        <v>27990</v>
      </c>
      <c r="H59" s="773">
        <f>G59/F59</f>
        <v>0.18661741762564507</v>
      </c>
      <c r="I59" s="869">
        <f>SUM(I10:I58)</f>
        <v>309607</v>
      </c>
      <c r="J59" s="772">
        <f>SUM(J10:J58)</f>
        <v>25148</v>
      </c>
      <c r="K59" s="773">
        <f>J59/I59</f>
        <v>0.08122555368580167</v>
      </c>
      <c r="L59" s="771">
        <f>SUM(L10:L58)</f>
        <v>0</v>
      </c>
      <c r="M59" s="772">
        <f>SUM(M10:M58)</f>
        <v>0</v>
      </c>
      <c r="N59" s="773">
        <v>0</v>
      </c>
      <c r="O59" s="771">
        <f>SUM(O10:O58)</f>
        <v>0</v>
      </c>
      <c r="P59" s="772">
        <f>SUM(P10:P58)</f>
        <v>0</v>
      </c>
      <c r="Q59" s="773">
        <v>0</v>
      </c>
      <c r="R59" s="771">
        <f>SUM(R10:R58)</f>
        <v>515</v>
      </c>
      <c r="S59" s="774">
        <f>SUM(S10:S58)</f>
        <v>0</v>
      </c>
      <c r="T59" s="773">
        <f>S59/R59</f>
        <v>0</v>
      </c>
      <c r="U59" s="772">
        <f>C59+F59+I59+L59+O59+R59</f>
        <v>1007816</v>
      </c>
      <c r="V59" s="775">
        <f>D59+G59+J59+M59+P59+S59</f>
        <v>154838</v>
      </c>
      <c r="W59" s="773">
        <f>V59/U59</f>
        <v>0.15363717186470546</v>
      </c>
    </row>
    <row r="60" spans="1:23" s="776" customFormat="1" ht="9" customHeight="1">
      <c r="A60" s="759"/>
      <c r="B60" s="870"/>
      <c r="C60" s="871"/>
      <c r="D60" s="872"/>
      <c r="E60" s="873"/>
      <c r="F60" s="874"/>
      <c r="G60" s="875"/>
      <c r="H60" s="873"/>
      <c r="I60" s="871"/>
      <c r="J60" s="872"/>
      <c r="K60" s="873"/>
      <c r="L60" s="871"/>
      <c r="M60" s="875"/>
      <c r="N60" s="873"/>
      <c r="O60" s="871"/>
      <c r="P60" s="872"/>
      <c r="Q60" s="876"/>
      <c r="R60" s="871"/>
      <c r="S60" s="877"/>
      <c r="T60" s="873"/>
      <c r="U60" s="877"/>
      <c r="V60" s="786"/>
      <c r="W60" s="876"/>
    </row>
    <row r="61" spans="1:23" s="752" customFormat="1" ht="11.25" customHeight="1">
      <c r="A61" s="735" t="s">
        <v>1150</v>
      </c>
      <c r="B61" s="736" t="s">
        <v>861</v>
      </c>
      <c r="C61" s="737">
        <v>7664</v>
      </c>
      <c r="D61" s="737">
        <v>555</v>
      </c>
      <c r="E61" s="738">
        <f>D61/C61</f>
        <v>0.07241649269311065</v>
      </c>
      <c r="F61" s="737">
        <v>1868</v>
      </c>
      <c r="G61" s="737">
        <v>150</v>
      </c>
      <c r="H61" s="738">
        <f>G61/F61</f>
        <v>0.08029978586723768</v>
      </c>
      <c r="I61" s="737">
        <v>718</v>
      </c>
      <c r="J61" s="737">
        <v>0</v>
      </c>
      <c r="K61" s="738">
        <f>J61/I61</f>
        <v>0</v>
      </c>
      <c r="L61" s="739"/>
      <c r="M61" s="737"/>
      <c r="N61" s="738"/>
      <c r="O61" s="739"/>
      <c r="P61" s="737"/>
      <c r="Q61" s="738"/>
      <c r="R61" s="739"/>
      <c r="S61" s="737"/>
      <c r="T61" s="738"/>
      <c r="U61" s="740">
        <f>C61+F61+I61+L61+O61+R61</f>
        <v>10250</v>
      </c>
      <c r="V61" s="741">
        <f>D61+G61+J61+M61+P61+S61</f>
        <v>705</v>
      </c>
      <c r="W61" s="742">
        <f>V61/U61</f>
        <v>0.06878048780487805</v>
      </c>
    </row>
    <row r="62" spans="1:23" s="752" customFormat="1" ht="11.25" customHeight="1" thickBot="1">
      <c r="A62" s="735"/>
      <c r="B62" s="736"/>
      <c r="C62" s="737"/>
      <c r="D62" s="737"/>
      <c r="E62" s="738"/>
      <c r="F62" s="739"/>
      <c r="G62" s="737"/>
      <c r="H62" s="738"/>
      <c r="I62" s="737"/>
      <c r="J62" s="737"/>
      <c r="K62" s="738"/>
      <c r="L62" s="739"/>
      <c r="M62" s="737"/>
      <c r="N62" s="738"/>
      <c r="O62" s="739"/>
      <c r="P62" s="737"/>
      <c r="Q62" s="738"/>
      <c r="R62" s="739"/>
      <c r="S62" s="737"/>
      <c r="T62" s="738"/>
      <c r="U62" s="740"/>
      <c r="V62" s="741"/>
      <c r="W62" s="742"/>
    </row>
    <row r="63" spans="1:23" s="776" customFormat="1" ht="9" customHeight="1" thickBot="1">
      <c r="A63" s="759"/>
      <c r="B63" s="770" t="s">
        <v>862</v>
      </c>
      <c r="C63" s="869">
        <f>C61</f>
        <v>7664</v>
      </c>
      <c r="D63" s="772">
        <f>D61</f>
        <v>555</v>
      </c>
      <c r="E63" s="773">
        <f>D63/C63</f>
        <v>0.07241649269311065</v>
      </c>
      <c r="F63" s="869">
        <f>F61</f>
        <v>1868</v>
      </c>
      <c r="G63" s="772">
        <f>G61</f>
        <v>150</v>
      </c>
      <c r="H63" s="773">
        <f>G63/F63</f>
        <v>0.08029978586723768</v>
      </c>
      <c r="I63" s="869">
        <f>I61</f>
        <v>718</v>
      </c>
      <c r="J63" s="772">
        <f>J61</f>
        <v>0</v>
      </c>
      <c r="K63" s="773">
        <f>J63/I63</f>
        <v>0</v>
      </c>
      <c r="L63" s="869">
        <f>L61</f>
        <v>0</v>
      </c>
      <c r="M63" s="772">
        <f>M61</f>
        <v>0</v>
      </c>
      <c r="N63" s="773">
        <v>0</v>
      </c>
      <c r="O63" s="869">
        <f>O61</f>
        <v>0</v>
      </c>
      <c r="P63" s="772">
        <f>P61</f>
        <v>0</v>
      </c>
      <c r="Q63" s="773">
        <v>0</v>
      </c>
      <c r="R63" s="869">
        <f>R61</f>
        <v>0</v>
      </c>
      <c r="S63" s="772">
        <f>S61</f>
        <v>0</v>
      </c>
      <c r="T63" s="773">
        <v>0</v>
      </c>
      <c r="U63" s="772">
        <f>C63+F63+I63+L63+O63+R63</f>
        <v>10250</v>
      </c>
      <c r="V63" s="775">
        <f>D63+G63+J63+M63+P63+S63</f>
        <v>705</v>
      </c>
      <c r="W63" s="773">
        <f>V63/U63</f>
        <v>0.06878048780487805</v>
      </c>
    </row>
    <row r="64" spans="1:23" s="752" customFormat="1" ht="9.75" customHeight="1">
      <c r="A64" s="735"/>
      <c r="B64" s="761"/>
      <c r="C64" s="871"/>
      <c r="D64" s="737"/>
      <c r="E64" s="738"/>
      <c r="F64" s="871"/>
      <c r="G64" s="737"/>
      <c r="H64" s="738"/>
      <c r="I64" s="871"/>
      <c r="J64" s="737"/>
      <c r="K64" s="738"/>
      <c r="L64" s="871"/>
      <c r="M64" s="737"/>
      <c r="N64" s="738"/>
      <c r="O64" s="871"/>
      <c r="P64" s="737"/>
      <c r="Q64" s="738"/>
      <c r="R64" s="871"/>
      <c r="S64" s="737"/>
      <c r="T64" s="738"/>
      <c r="U64" s="740"/>
      <c r="V64" s="741"/>
      <c r="W64" s="742"/>
    </row>
    <row r="65" spans="1:23" s="752" customFormat="1" ht="11.25" customHeight="1">
      <c r="A65" s="735" t="s">
        <v>1150</v>
      </c>
      <c r="B65" s="736" t="s">
        <v>863</v>
      </c>
      <c r="C65" s="737">
        <v>0</v>
      </c>
      <c r="D65" s="737">
        <v>0</v>
      </c>
      <c r="E65" s="738">
        <v>0</v>
      </c>
      <c r="F65" s="739">
        <v>0</v>
      </c>
      <c r="G65" s="737">
        <v>0</v>
      </c>
      <c r="H65" s="738">
        <v>0</v>
      </c>
      <c r="I65" s="737">
        <v>0</v>
      </c>
      <c r="J65" s="737">
        <v>0</v>
      </c>
      <c r="K65" s="738">
        <v>0</v>
      </c>
      <c r="L65" s="739"/>
      <c r="M65" s="737"/>
      <c r="N65" s="738"/>
      <c r="O65" s="739"/>
      <c r="P65" s="737"/>
      <c r="Q65" s="738"/>
      <c r="R65" s="739"/>
      <c r="S65" s="737"/>
      <c r="T65" s="738"/>
      <c r="U65" s="740">
        <f>C65+F65+I65+L65+O65+R65</f>
        <v>0</v>
      </c>
      <c r="V65" s="741">
        <f>D65+G65+J65+M65+P65+S65</f>
        <v>0</v>
      </c>
      <c r="W65" s="742">
        <v>0</v>
      </c>
    </row>
    <row r="66" spans="1:23" s="752" customFormat="1" ht="11.25" customHeight="1" thickBot="1">
      <c r="A66" s="735"/>
      <c r="B66" s="761"/>
      <c r="C66" s="739"/>
      <c r="D66" s="737"/>
      <c r="E66" s="738"/>
      <c r="F66" s="739"/>
      <c r="G66" s="737"/>
      <c r="H66" s="738"/>
      <c r="I66" s="739"/>
      <c r="J66" s="737"/>
      <c r="K66" s="738"/>
      <c r="L66" s="739"/>
      <c r="M66" s="737"/>
      <c r="N66" s="738"/>
      <c r="O66" s="739"/>
      <c r="P66" s="737"/>
      <c r="Q66" s="738"/>
      <c r="R66" s="739"/>
      <c r="S66" s="737"/>
      <c r="T66" s="738"/>
      <c r="U66" s="740"/>
      <c r="V66" s="741"/>
      <c r="W66" s="742"/>
    </row>
    <row r="67" spans="1:23" s="776" customFormat="1" ht="9" customHeight="1" thickBot="1">
      <c r="A67" s="759"/>
      <c r="B67" s="770" t="s">
        <v>864</v>
      </c>
      <c r="C67" s="771">
        <f>C65</f>
        <v>0</v>
      </c>
      <c r="D67" s="772">
        <f>D65</f>
        <v>0</v>
      </c>
      <c r="E67" s="773">
        <v>0</v>
      </c>
      <c r="F67" s="771">
        <f>F65</f>
        <v>0</v>
      </c>
      <c r="G67" s="772">
        <f>G65</f>
        <v>0</v>
      </c>
      <c r="H67" s="773">
        <v>0</v>
      </c>
      <c r="I67" s="869">
        <f>I65</f>
        <v>0</v>
      </c>
      <c r="J67" s="772">
        <f>J65</f>
        <v>0</v>
      </c>
      <c r="K67" s="773">
        <v>0</v>
      </c>
      <c r="L67" s="869">
        <f>L65</f>
        <v>0</v>
      </c>
      <c r="M67" s="772">
        <f>M65</f>
        <v>0</v>
      </c>
      <c r="N67" s="773">
        <v>0</v>
      </c>
      <c r="O67" s="869">
        <f>O65</f>
        <v>0</v>
      </c>
      <c r="P67" s="772">
        <f>P65</f>
        <v>0</v>
      </c>
      <c r="Q67" s="773">
        <v>0</v>
      </c>
      <c r="R67" s="869">
        <f>R65</f>
        <v>0</v>
      </c>
      <c r="S67" s="772">
        <f>S65</f>
        <v>0</v>
      </c>
      <c r="T67" s="773">
        <v>0</v>
      </c>
      <c r="U67" s="772">
        <f>C67+F67+I67+L67+O67+R67</f>
        <v>0</v>
      </c>
      <c r="V67" s="775">
        <f>D67+G67+J67+M67+P67+S67</f>
        <v>0</v>
      </c>
      <c r="W67" s="773">
        <v>0</v>
      </c>
    </row>
    <row r="68" spans="1:23" s="752" customFormat="1" ht="10.5" customHeight="1" thickBot="1">
      <c r="A68" s="735"/>
      <c r="B68" s="793"/>
      <c r="C68" s="878"/>
      <c r="D68" s="794"/>
      <c r="E68" s="879"/>
      <c r="F68" s="796"/>
      <c r="G68" s="797"/>
      <c r="H68" s="879"/>
      <c r="I68" s="880"/>
      <c r="J68" s="797"/>
      <c r="K68" s="879"/>
      <c r="L68" s="880"/>
      <c r="M68" s="797"/>
      <c r="N68" s="879"/>
      <c r="O68" s="881"/>
      <c r="P68" s="802"/>
      <c r="Q68" s="882"/>
      <c r="R68" s="880"/>
      <c r="S68" s="804"/>
      <c r="T68" s="879"/>
      <c r="U68" s="883"/>
      <c r="V68" s="805"/>
      <c r="W68" s="882"/>
    </row>
    <row r="69" spans="1:23" s="776" customFormat="1" ht="11.25" thickBot="1">
      <c r="A69" s="884"/>
      <c r="B69" s="836" t="s">
        <v>802</v>
      </c>
      <c r="C69" s="837">
        <f>C59+C63+C67</f>
        <v>555372</v>
      </c>
      <c r="D69" s="838">
        <f>D59+D63+D67</f>
        <v>102255</v>
      </c>
      <c r="E69" s="839">
        <f>D69/C69</f>
        <v>0.18411983319288694</v>
      </c>
      <c r="F69" s="837">
        <f>F59+F63+F67</f>
        <v>151854</v>
      </c>
      <c r="G69" s="838">
        <f>G59+G63+G67</f>
        <v>28140</v>
      </c>
      <c r="H69" s="839">
        <f>G69/F69</f>
        <v>0.18530957366944564</v>
      </c>
      <c r="I69" s="837">
        <f>I59+I63+I67</f>
        <v>310325</v>
      </c>
      <c r="J69" s="838">
        <f>J59+J63+J67</f>
        <v>25148</v>
      </c>
      <c r="K69" s="839">
        <f>J69/I69</f>
        <v>0.08103762184806251</v>
      </c>
      <c r="L69" s="837">
        <f>L59+L63+L67</f>
        <v>0</v>
      </c>
      <c r="M69" s="838">
        <f>M59+M63+M67</f>
        <v>0</v>
      </c>
      <c r="N69" s="839">
        <v>0</v>
      </c>
      <c r="O69" s="837">
        <f>O59+O63+O67</f>
        <v>0</v>
      </c>
      <c r="P69" s="838">
        <f>P59+P63+P67</f>
        <v>0</v>
      </c>
      <c r="Q69" s="839">
        <v>0</v>
      </c>
      <c r="R69" s="837">
        <f>R59+R63+R67</f>
        <v>515</v>
      </c>
      <c r="S69" s="838">
        <f>S59+S63+S67</f>
        <v>0</v>
      </c>
      <c r="T69" s="839">
        <f>S69/R69</f>
        <v>0</v>
      </c>
      <c r="U69" s="837">
        <f>U59+U63+U67</f>
        <v>1018066</v>
      </c>
      <c r="V69" s="838">
        <f>V59+V63+V67</f>
        <v>155543</v>
      </c>
      <c r="W69" s="839">
        <f>V69/U69</f>
        <v>0.1527828254749692</v>
      </c>
    </row>
  </sheetData>
  <sheetProtection/>
  <mergeCells count="19">
    <mergeCell ref="A1:W1"/>
    <mergeCell ref="A2:V2"/>
    <mergeCell ref="A3:V3"/>
    <mergeCell ref="A4:W4"/>
    <mergeCell ref="C5:E6"/>
    <mergeCell ref="F5:H6"/>
    <mergeCell ref="I5:K6"/>
    <mergeCell ref="L5:N6"/>
    <mergeCell ref="O5:T5"/>
    <mergeCell ref="U5:W6"/>
    <mergeCell ref="W7:W8"/>
    <mergeCell ref="O6:Q6"/>
    <mergeCell ref="R6:T6"/>
    <mergeCell ref="E7:E8"/>
    <mergeCell ref="H7:H8"/>
    <mergeCell ref="K7:K8"/>
    <mergeCell ref="N7:N8"/>
    <mergeCell ref="Q7:Q8"/>
    <mergeCell ref="T7:T8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23" sqref="D23"/>
    </sheetView>
  </sheetViews>
  <sheetFormatPr defaultColWidth="9.00390625" defaultRowHeight="12" customHeight="1"/>
  <cols>
    <col min="1" max="1" width="4.50390625" style="1025" customWidth="1"/>
    <col min="2" max="2" width="77.125" style="1087" customWidth="1"/>
    <col min="3" max="3" width="12.625" style="1088" customWidth="1"/>
    <col min="4" max="4" width="12.50390625" style="1089" customWidth="1"/>
    <col min="5" max="5" width="12.125" style="1025" customWidth="1"/>
    <col min="6" max="6" width="9.375" style="1025" customWidth="1"/>
    <col min="7" max="7" width="11.875" style="1025" hidden="1" customWidth="1"/>
    <col min="8" max="9" width="0" style="1025" hidden="1" customWidth="1"/>
    <col min="10" max="16384" width="9.375" style="1025" customWidth="1"/>
  </cols>
  <sheetData>
    <row r="1" spans="1:5" ht="15.75">
      <c r="A1" s="1359" t="s">
        <v>876</v>
      </c>
      <c r="B1" s="1359"/>
      <c r="C1" s="1359"/>
      <c r="D1" s="1359"/>
      <c r="E1" s="1360"/>
    </row>
    <row r="2" spans="1:5" ht="15.75">
      <c r="A2" s="1361" t="s">
        <v>1108</v>
      </c>
      <c r="B2" s="1361"/>
      <c r="C2" s="1361"/>
      <c r="D2" s="1361"/>
      <c r="E2" s="1283"/>
    </row>
    <row r="3" spans="1:7" ht="15.75">
      <c r="A3" s="1361" t="str">
        <f>'[6]1'!A3:K3</f>
        <v>2013. ÉV</v>
      </c>
      <c r="B3" s="1361"/>
      <c r="C3" s="1361"/>
      <c r="D3" s="1361"/>
      <c r="E3" s="1283"/>
      <c r="G3" s="1027">
        <f>G49</f>
        <v>7159</v>
      </c>
    </row>
    <row r="4" spans="1:7" s="1028" customFormat="1" ht="12.75">
      <c r="A4" s="1362" t="s">
        <v>700</v>
      </c>
      <c r="B4" s="1362"/>
      <c r="C4" s="1362"/>
      <c r="D4" s="1362"/>
      <c r="E4" s="1283"/>
      <c r="G4" s="1027"/>
    </row>
    <row r="5" spans="1:4" s="1032" customFormat="1" ht="12">
      <c r="A5" s="1030" t="s">
        <v>1004</v>
      </c>
      <c r="B5" s="1031"/>
      <c r="C5" s="1030"/>
      <c r="D5" s="685"/>
    </row>
    <row r="6" spans="3:5" s="1033" customFormat="1" ht="25.5">
      <c r="C6" s="1059" t="s">
        <v>1109</v>
      </c>
      <c r="D6" s="1034" t="s">
        <v>1110</v>
      </c>
      <c r="E6" s="1035" t="s">
        <v>552</v>
      </c>
    </row>
    <row r="7" spans="1:4" s="1032" customFormat="1" ht="12">
      <c r="A7" s="1048" t="s">
        <v>1111</v>
      </c>
      <c r="B7" s="1056"/>
      <c r="C7" s="1047"/>
      <c r="D7" s="1047"/>
    </row>
    <row r="8" spans="1:5" s="1032" customFormat="1" ht="12">
      <c r="A8" s="652" t="s">
        <v>74</v>
      </c>
      <c r="B8" s="558" t="s">
        <v>1112</v>
      </c>
      <c r="C8" s="1040">
        <v>400</v>
      </c>
      <c r="D8" s="654">
        <v>0</v>
      </c>
      <c r="E8" s="1041">
        <f>D8/C8</f>
        <v>0</v>
      </c>
    </row>
    <row r="9" spans="1:5" s="1032" customFormat="1" ht="12">
      <c r="A9" s="652" t="s">
        <v>75</v>
      </c>
      <c r="B9" s="977" t="s">
        <v>1113</v>
      </c>
      <c r="C9" s="654">
        <v>1000</v>
      </c>
      <c r="D9" s="654">
        <v>0</v>
      </c>
      <c r="E9" s="1041">
        <f>D9/C9</f>
        <v>0</v>
      </c>
    </row>
    <row r="10" spans="1:6" s="1032" customFormat="1" ht="12.75" thickBot="1">
      <c r="A10" s="652" t="s">
        <v>76</v>
      </c>
      <c r="B10" s="977" t="s">
        <v>1114</v>
      </c>
      <c r="C10" s="654">
        <v>0</v>
      </c>
      <c r="D10" s="654">
        <v>7159</v>
      </c>
      <c r="E10" s="1041">
        <v>0</v>
      </c>
      <c r="F10" s="1032" t="s">
        <v>1150</v>
      </c>
    </row>
    <row r="11" spans="1:5" s="1032" customFormat="1" ht="12.75" hidden="1" thickBot="1">
      <c r="A11" s="652" t="s">
        <v>77</v>
      </c>
      <c r="B11" s="558"/>
      <c r="C11" s="1040"/>
      <c r="D11" s="1040"/>
      <c r="E11" s="1041">
        <v>0</v>
      </c>
    </row>
    <row r="12" spans="1:5" s="1066" customFormat="1" ht="12.75" hidden="1" thickBot="1">
      <c r="A12" s="652" t="s">
        <v>78</v>
      </c>
      <c r="B12" s="558"/>
      <c r="C12" s="1040"/>
      <c r="D12" s="654"/>
      <c r="E12" s="1041">
        <v>0</v>
      </c>
    </row>
    <row r="13" spans="1:5" s="1032" customFormat="1" ht="12.75" hidden="1" thickBot="1">
      <c r="A13" s="652" t="s">
        <v>79</v>
      </c>
      <c r="B13" s="558"/>
      <c r="C13" s="1040"/>
      <c r="D13" s="654"/>
      <c r="E13" s="1041">
        <v>0</v>
      </c>
    </row>
    <row r="14" spans="1:5" s="1032" customFormat="1" ht="12.75" hidden="1" thickBot="1">
      <c r="A14" s="652" t="s">
        <v>80</v>
      </c>
      <c r="B14" s="977"/>
      <c r="C14" s="1040"/>
      <c r="D14" s="1040"/>
      <c r="E14" s="1041">
        <v>0</v>
      </c>
    </row>
    <row r="15" spans="1:5" s="1032" customFormat="1" ht="12.75" hidden="1" thickBot="1">
      <c r="A15" s="652" t="s">
        <v>81</v>
      </c>
      <c r="B15" s="977"/>
      <c r="C15" s="1040"/>
      <c r="D15" s="1040"/>
      <c r="E15" s="1041">
        <v>0</v>
      </c>
    </row>
    <row r="16" spans="1:5" s="1032" customFormat="1" ht="12.75" hidden="1" thickBot="1">
      <c r="A16" s="652" t="s">
        <v>82</v>
      </c>
      <c r="B16" s="977"/>
      <c r="C16" s="1040"/>
      <c r="D16" s="1040"/>
      <c r="E16" s="1041">
        <v>0</v>
      </c>
    </row>
    <row r="17" spans="1:5" s="1032" customFormat="1" ht="12.75" hidden="1" thickBot="1">
      <c r="A17" s="652" t="s">
        <v>83</v>
      </c>
      <c r="B17" s="977"/>
      <c r="C17" s="1040"/>
      <c r="D17" s="1040"/>
      <c r="E17" s="1041">
        <v>0</v>
      </c>
    </row>
    <row r="18" spans="1:5" s="1032" customFormat="1" ht="12.75" hidden="1" thickBot="1">
      <c r="A18" s="652" t="s">
        <v>84</v>
      </c>
      <c r="B18" s="977"/>
      <c r="C18" s="1040"/>
      <c r="D18" s="1040"/>
      <c r="E18" s="1041">
        <v>0</v>
      </c>
    </row>
    <row r="19" spans="1:5" s="1032" customFormat="1" ht="12.75" hidden="1" thickBot="1">
      <c r="A19" s="652" t="s">
        <v>85</v>
      </c>
      <c r="B19" s="977"/>
      <c r="C19" s="1040"/>
      <c r="D19" s="1040"/>
      <c r="E19" s="1041">
        <v>0</v>
      </c>
    </row>
    <row r="20" spans="1:5" s="1032" customFormat="1" ht="12.75" hidden="1" thickBot="1">
      <c r="A20" s="652" t="s">
        <v>86</v>
      </c>
      <c r="B20" s="558"/>
      <c r="C20" s="654"/>
      <c r="D20" s="654"/>
      <c r="E20" s="1041">
        <v>0</v>
      </c>
    </row>
    <row r="21" spans="1:5" s="1032" customFormat="1" ht="12.75" hidden="1" thickBot="1">
      <c r="A21" s="652" t="s">
        <v>87</v>
      </c>
      <c r="B21" s="977"/>
      <c r="C21" s="654"/>
      <c r="D21" s="654"/>
      <c r="E21" s="1041">
        <v>0</v>
      </c>
    </row>
    <row r="22" spans="1:5" s="1032" customFormat="1" ht="12.75" hidden="1" thickBot="1">
      <c r="A22" s="652" t="s">
        <v>88</v>
      </c>
      <c r="B22" s="977"/>
      <c r="C22" s="654"/>
      <c r="D22" s="654"/>
      <c r="E22" s="1041">
        <v>0</v>
      </c>
    </row>
    <row r="23" spans="1:5" s="643" customFormat="1" ht="12">
      <c r="A23" s="1042" t="s">
        <v>107</v>
      </c>
      <c r="B23" s="1043"/>
      <c r="C23" s="1044">
        <f>SUM(C8:C22)</f>
        <v>1400</v>
      </c>
      <c r="D23" s="1044">
        <f>SUM(D8:D22)</f>
        <v>7159</v>
      </c>
      <c r="E23" s="1045">
        <f>D23/C23</f>
        <v>5.113571428571428</v>
      </c>
    </row>
    <row r="24" spans="1:5" s="643" customFormat="1" ht="12">
      <c r="A24" s="644"/>
      <c r="B24" s="1050"/>
      <c r="C24" s="1051"/>
      <c r="D24" s="1051"/>
      <c r="E24" s="649"/>
    </row>
    <row r="25" spans="2:4" s="1032" customFormat="1" ht="12">
      <c r="B25" s="1046"/>
      <c r="C25" s="685"/>
      <c r="D25" s="685"/>
    </row>
    <row r="26" spans="1:5" s="1032" customFormat="1" ht="12">
      <c r="A26" s="1068" t="s">
        <v>1115</v>
      </c>
      <c r="B26" s="1069"/>
      <c r="C26" s="1070">
        <f>C23</f>
        <v>1400</v>
      </c>
      <c r="D26" s="1070">
        <f>D23</f>
        <v>7159</v>
      </c>
      <c r="E26" s="1071">
        <f>D26/C26</f>
        <v>5.113571428571428</v>
      </c>
    </row>
    <row r="27" spans="1:4" s="1066" customFormat="1" ht="12">
      <c r="A27" s="1065"/>
      <c r="B27" s="1055"/>
      <c r="C27" s="646"/>
      <c r="D27" s="646"/>
    </row>
    <row r="28" spans="1:4" s="1066" customFormat="1" ht="12">
      <c r="A28" s="1065"/>
      <c r="B28" s="1055"/>
      <c r="C28" s="646"/>
      <c r="D28" s="646"/>
    </row>
    <row r="29" spans="1:4" s="1032" customFormat="1" ht="12">
      <c r="A29" s="1037" t="s">
        <v>1085</v>
      </c>
      <c r="B29" s="1033"/>
      <c r="C29" s="685"/>
      <c r="D29" s="685"/>
    </row>
    <row r="30" spans="1:5" s="1032" customFormat="1" ht="25.5">
      <c r="A30" s="1037"/>
      <c r="B30" s="1033"/>
      <c r="C30" s="1059" t="str">
        <f>C6</f>
        <v>2012. évi terv</v>
      </c>
      <c r="D30" s="1059" t="str">
        <f>D6</f>
        <v>2013. évi        terv</v>
      </c>
      <c r="E30" s="1035" t="s">
        <v>552</v>
      </c>
    </row>
    <row r="31" spans="1:9" s="1032" customFormat="1" ht="12">
      <c r="A31" s="1037" t="s">
        <v>1116</v>
      </c>
      <c r="B31" s="1033"/>
      <c r="C31" s="654"/>
      <c r="D31" s="654"/>
      <c r="E31" s="652"/>
      <c r="I31" s="1032">
        <v>0</v>
      </c>
    </row>
    <row r="32" spans="1:5" s="1032" customFormat="1" ht="12">
      <c r="A32" s="1039" t="s">
        <v>74</v>
      </c>
      <c r="B32" s="558"/>
      <c r="C32" s="654"/>
      <c r="D32" s="654"/>
      <c r="E32" s="1041"/>
    </row>
    <row r="33" spans="1:5" s="1032" customFormat="1" ht="12.75" thickBot="1">
      <c r="A33" s="1039" t="s">
        <v>75</v>
      </c>
      <c r="B33" s="558"/>
      <c r="C33" s="654"/>
      <c r="D33" s="654"/>
      <c r="E33" s="1041"/>
    </row>
    <row r="34" spans="1:5" s="1032" customFormat="1" ht="12.75" hidden="1" thickBot="1">
      <c r="A34" s="1032" t="s">
        <v>76</v>
      </c>
      <c r="B34" s="1033"/>
      <c r="C34" s="685"/>
      <c r="D34" s="685"/>
      <c r="E34" s="649" t="e">
        <f>D34/C34</f>
        <v>#DIV/0!</v>
      </c>
    </row>
    <row r="35" spans="1:5" s="1032" customFormat="1" ht="12.75" hidden="1" thickBot="1">
      <c r="A35" s="1032" t="s">
        <v>77</v>
      </c>
      <c r="B35" s="1033"/>
      <c r="C35" s="685"/>
      <c r="D35" s="685"/>
      <c r="E35" s="649" t="e">
        <f>D35/C35</f>
        <v>#DIV/0!</v>
      </c>
    </row>
    <row r="36" spans="1:5" s="1032" customFormat="1" ht="12.75" hidden="1" thickBot="1">
      <c r="A36" s="1032" t="s">
        <v>78</v>
      </c>
      <c r="B36" s="1033"/>
      <c r="C36" s="685"/>
      <c r="D36" s="685"/>
      <c r="E36" s="649" t="e">
        <f>D36/C36</f>
        <v>#DIV/0!</v>
      </c>
    </row>
    <row r="37" spans="1:5" s="1032" customFormat="1" ht="12.75" hidden="1" thickBot="1">
      <c r="A37" s="1032" t="s">
        <v>79</v>
      </c>
      <c r="B37" s="1033"/>
      <c r="C37" s="685"/>
      <c r="D37" s="685"/>
      <c r="E37" s="649" t="e">
        <f>D37/C37</f>
        <v>#DIV/0!</v>
      </c>
    </row>
    <row r="38" spans="1:5" s="1032" customFormat="1" ht="12">
      <c r="A38" s="1042" t="s">
        <v>107</v>
      </c>
      <c r="B38" s="1043"/>
      <c r="C38" s="1044">
        <f>SUM(C32:C37)</f>
        <v>0</v>
      </c>
      <c r="D38" s="1044">
        <f>SUM(D32:D37)</f>
        <v>0</v>
      </c>
      <c r="E38" s="1045">
        <v>0</v>
      </c>
    </row>
    <row r="39" spans="1:4" s="1032" customFormat="1" ht="12">
      <c r="A39" s="1037"/>
      <c r="B39" s="1033"/>
      <c r="C39" s="685"/>
      <c r="D39" s="685"/>
    </row>
    <row r="40" spans="2:5" s="643" customFormat="1" ht="12">
      <c r="B40" s="1046"/>
      <c r="C40" s="685"/>
      <c r="D40" s="685"/>
      <c r="E40" s="685"/>
    </row>
    <row r="41" spans="1:7" s="643" customFormat="1" ht="12">
      <c r="A41" s="1068" t="s">
        <v>1117</v>
      </c>
      <c r="B41" s="1069"/>
      <c r="C41" s="1070">
        <f>C38</f>
        <v>0</v>
      </c>
      <c r="D41" s="1070">
        <f>D38</f>
        <v>0</v>
      </c>
      <c r="E41" s="1071">
        <v>0</v>
      </c>
      <c r="G41" s="685">
        <f>D26</f>
        <v>7159</v>
      </c>
    </row>
    <row r="42" spans="1:5" s="643" customFormat="1" ht="12.75" thickBot="1">
      <c r="A42" s="1074"/>
      <c r="B42" s="1046"/>
      <c r="C42" s="1075"/>
      <c r="D42" s="685"/>
      <c r="E42" s="1076"/>
    </row>
    <row r="43" spans="1:5" s="643" customFormat="1" ht="12.75" thickBot="1">
      <c r="A43" s="1077" t="s">
        <v>1102</v>
      </c>
      <c r="B43" s="1078"/>
      <c r="C43" s="1079">
        <f>C26+C41</f>
        <v>1400</v>
      </c>
      <c r="D43" s="1080">
        <f>D26+D41</f>
        <v>7159</v>
      </c>
      <c r="E43" s="1081">
        <f>D43/C43</f>
        <v>5.113571428571428</v>
      </c>
    </row>
    <row r="44" spans="1:4" s="643" customFormat="1" ht="12">
      <c r="A44" s="1048"/>
      <c r="B44" s="1082"/>
      <c r="C44" s="646"/>
      <c r="D44" s="685"/>
    </row>
    <row r="45" spans="1:5" s="643" customFormat="1" ht="12.75" hidden="1">
      <c r="A45" s="1366" t="s">
        <v>1103</v>
      </c>
      <c r="B45" s="1367"/>
      <c r="C45" s="657"/>
      <c r="D45" s="657"/>
      <c r="E45" s="1041"/>
    </row>
    <row r="46" spans="1:5" s="643" customFormat="1" ht="12.75" hidden="1">
      <c r="A46" s="1366" t="s">
        <v>1104</v>
      </c>
      <c r="B46" s="1367"/>
      <c r="C46" s="657"/>
      <c r="D46" s="657"/>
      <c r="E46" s="1041"/>
    </row>
    <row r="47" spans="1:5" s="643" customFormat="1" ht="12.75" hidden="1">
      <c r="A47" s="1366" t="s">
        <v>1105</v>
      </c>
      <c r="B47" s="1367"/>
      <c r="C47" s="1083"/>
      <c r="D47" s="1083"/>
      <c r="E47" s="1041"/>
    </row>
    <row r="48" spans="1:5" s="1032" customFormat="1" ht="12.75" hidden="1">
      <c r="A48" s="1366" t="s">
        <v>1106</v>
      </c>
      <c r="B48" s="1367"/>
      <c r="C48" s="1083"/>
      <c r="D48" s="1083"/>
      <c r="E48" s="1041"/>
    </row>
    <row r="49" spans="1:7" s="1032" customFormat="1" ht="12.75" hidden="1">
      <c r="A49" s="1366" t="s">
        <v>1118</v>
      </c>
      <c r="B49" s="1367"/>
      <c r="C49" s="1083"/>
      <c r="D49" s="1083"/>
      <c r="E49" s="1041"/>
      <c r="G49" s="1027">
        <f>D43+D45+D46+D47+D48+D49</f>
        <v>7159</v>
      </c>
    </row>
    <row r="50" spans="1:4" s="1032" customFormat="1" ht="12">
      <c r="A50" s="643"/>
      <c r="B50" s="1033"/>
      <c r="C50" s="1047"/>
      <c r="D50" s="1047"/>
    </row>
    <row r="51" spans="1:4" s="1032" customFormat="1" ht="12">
      <c r="A51" s="643"/>
      <c r="B51" s="1033"/>
      <c r="C51" s="1047"/>
      <c r="D51" s="1047"/>
    </row>
    <row r="52" spans="2:4" s="643" customFormat="1" ht="12">
      <c r="B52" s="1046"/>
      <c r="C52" s="685"/>
      <c r="D52" s="685"/>
    </row>
    <row r="53" spans="2:4" s="643" customFormat="1" ht="12">
      <c r="B53" s="1046"/>
      <c r="C53" s="685"/>
      <c r="D53" s="685"/>
    </row>
    <row r="54" spans="2:4" s="643" customFormat="1" ht="12">
      <c r="B54" s="1046"/>
      <c r="C54" s="685"/>
      <c r="D54" s="685"/>
    </row>
    <row r="55" spans="1:4" s="643" customFormat="1" ht="12">
      <c r="A55" s="645"/>
      <c r="B55" s="1086"/>
      <c r="C55" s="646"/>
      <c r="D55" s="646"/>
    </row>
    <row r="56" spans="1:4" s="643" customFormat="1" ht="12">
      <c r="A56" s="645"/>
      <c r="B56" s="1086"/>
      <c r="C56" s="646"/>
      <c r="D56" s="685"/>
    </row>
    <row r="57" spans="1:4" s="643" customFormat="1" ht="12">
      <c r="A57" s="1048"/>
      <c r="B57" s="1046"/>
      <c r="C57" s="685"/>
      <c r="D57" s="685"/>
    </row>
    <row r="58" spans="2:4" s="643" customFormat="1" ht="12">
      <c r="B58" s="1046"/>
      <c r="C58" s="685"/>
      <c r="D58" s="685"/>
    </row>
    <row r="59" spans="2:4" s="1032" customFormat="1" ht="12">
      <c r="B59" s="1033"/>
      <c r="C59" s="643"/>
      <c r="D59" s="685"/>
    </row>
    <row r="60" spans="1:4" s="1032" customFormat="1" ht="12">
      <c r="A60" s="645"/>
      <c r="B60" s="1086"/>
      <c r="C60" s="646"/>
      <c r="D60" s="646"/>
    </row>
    <row r="61" spans="2:4" s="1032" customFormat="1" ht="12">
      <c r="B61" s="1033"/>
      <c r="C61" s="646"/>
      <c r="D61" s="685"/>
    </row>
    <row r="62" spans="1:4" s="1032" customFormat="1" ht="12">
      <c r="A62" s="1037"/>
      <c r="B62" s="1033"/>
      <c r="C62" s="646"/>
      <c r="D62" s="646"/>
    </row>
    <row r="63" spans="2:4" s="1032" customFormat="1" ht="12">
      <c r="B63" s="1033"/>
      <c r="C63" s="685"/>
      <c r="D63" s="685"/>
    </row>
    <row r="64" spans="1:4" s="1032" customFormat="1" ht="12">
      <c r="A64" s="1065"/>
      <c r="B64" s="1055"/>
      <c r="C64" s="646"/>
      <c r="D64" s="646"/>
    </row>
    <row r="65" spans="2:4" s="1032" customFormat="1" ht="12">
      <c r="B65" s="1084"/>
      <c r="C65" s="646"/>
      <c r="D65" s="685"/>
    </row>
    <row r="66" spans="2:4" s="1032" customFormat="1" ht="12">
      <c r="B66" s="1050"/>
      <c r="C66" s="646"/>
      <c r="D66" s="646"/>
    </row>
    <row r="67" spans="2:4" s="1032" customFormat="1" ht="12">
      <c r="B67" s="1086"/>
      <c r="C67" s="646"/>
      <c r="D67" s="646"/>
    </row>
    <row r="68" spans="2:4" s="1032" customFormat="1" ht="12">
      <c r="B68" s="1086"/>
      <c r="C68" s="646"/>
      <c r="D68" s="646"/>
    </row>
    <row r="69" spans="2:5" s="1032" customFormat="1" ht="12">
      <c r="B69" s="1086"/>
      <c r="C69" s="646"/>
      <c r="D69" s="646"/>
      <c r="E69" s="1027"/>
    </row>
    <row r="70" spans="2:4" s="1032" customFormat="1" ht="12">
      <c r="B70" s="1033"/>
      <c r="C70" s="646"/>
      <c r="D70" s="646"/>
    </row>
    <row r="71" spans="2:4" s="1032" customFormat="1" ht="12">
      <c r="B71" s="1033"/>
      <c r="C71" s="643"/>
      <c r="D71" s="685"/>
    </row>
    <row r="72" spans="2:4" s="1032" customFormat="1" ht="12">
      <c r="B72" s="1033"/>
      <c r="C72" s="643"/>
      <c r="D72" s="685"/>
    </row>
  </sheetData>
  <sheetProtection/>
  <mergeCells count="9">
    <mergeCell ref="A47:B47"/>
    <mergeCell ref="A48:B48"/>
    <mergeCell ref="A49:B49"/>
    <mergeCell ref="A1:E1"/>
    <mergeCell ref="A2:E2"/>
    <mergeCell ref="A3:E3"/>
    <mergeCell ref="A4:E4"/>
    <mergeCell ref="A45:B45"/>
    <mergeCell ref="A46:B4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G60" sqref="G6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319" t="s">
        <v>1219</v>
      </c>
    </row>
    <row r="2" spans="1:4" s="109" customFormat="1" ht="25.5" customHeight="1" thickBot="1">
      <c r="A2" s="1323" t="s">
        <v>339</v>
      </c>
      <c r="B2" s="1324"/>
      <c r="C2" s="1115" t="s">
        <v>1233</v>
      </c>
      <c r="D2" s="1118" t="s">
        <v>124</v>
      </c>
    </row>
    <row r="3" spans="1:4" s="109" customFormat="1" ht="16.5" hidden="1" thickBot="1">
      <c r="A3" s="1112"/>
      <c r="B3" s="1113"/>
      <c r="C3" s="1117"/>
      <c r="D3" s="518"/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162042</v>
      </c>
    </row>
    <row r="9" spans="1:4" s="111" customFormat="1" ht="12" customHeight="1">
      <c r="A9" s="289"/>
      <c r="B9" s="288" t="s">
        <v>172</v>
      </c>
      <c r="C9" s="12" t="s">
        <v>266</v>
      </c>
      <c r="D9" s="495"/>
    </row>
    <row r="10" spans="1:4" s="111" customFormat="1" ht="12" customHeight="1">
      <c r="A10" s="287"/>
      <c r="B10" s="288" t="s">
        <v>173</v>
      </c>
      <c r="C10" s="9" t="s">
        <v>267</v>
      </c>
      <c r="D10" s="438">
        <f>'K1'!H40+'K1'!H59</f>
        <v>124427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v>0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f>'K1'!H150</f>
        <v>37371</v>
      </c>
    </row>
    <row r="15" spans="1:4" s="112" customFormat="1" ht="12" customHeight="1">
      <c r="A15" s="287"/>
      <c r="B15" s="288" t="s">
        <v>177</v>
      </c>
      <c r="C15" s="9" t="s">
        <v>26</v>
      </c>
      <c r="D15" s="438"/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f>'K1'!H144</f>
        <v>244</v>
      </c>
    </row>
    <row r="17" spans="1:4" s="111" customFormat="1" ht="12" customHeight="1" thickBot="1">
      <c r="A17" s="240" t="s">
        <v>75</v>
      </c>
      <c r="B17" s="285"/>
      <c r="C17" s="286" t="s">
        <v>27</v>
      </c>
      <c r="D17" s="440">
        <f>D18+D24</f>
        <v>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0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v>0</v>
      </c>
    </row>
    <row r="21" spans="1:6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0</v>
      </c>
      <c r="F21" s="616" t="s">
        <v>543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2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f>'P1'!H252</f>
        <v>0</v>
      </c>
    </row>
    <row r="24" spans="1:4" s="112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2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2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6" s="112" customFormat="1" ht="12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  <c r="F27" s="616" t="s">
        <v>543</v>
      </c>
    </row>
    <row r="28" spans="1:4" s="112" customFormat="1" ht="12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s="112" customFormat="1" ht="12" customHeight="1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s="112" customFormat="1" ht="12" customHeight="1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111" customFormat="1" ht="12" customHeight="1">
      <c r="A31" s="489"/>
      <c r="B31" s="517" t="s">
        <v>152</v>
      </c>
      <c r="C31" s="165" t="s">
        <v>384</v>
      </c>
      <c r="D31" s="521">
        <v>0</v>
      </c>
    </row>
    <row r="32" spans="1:4" s="111" customFormat="1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s="112" customFormat="1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s="111" customFormat="1" ht="12" customHeight="1" thickBot="1">
      <c r="A34" s="240" t="s">
        <v>78</v>
      </c>
      <c r="B34" s="285"/>
      <c r="C34" s="147" t="s">
        <v>29</v>
      </c>
      <c r="D34" s="470">
        <f>'K1'!H323</f>
        <v>546069</v>
      </c>
    </row>
    <row r="35" spans="1:4" s="111" customFormat="1" ht="12" customHeight="1" thickBot="1">
      <c r="A35" s="512" t="s">
        <v>79</v>
      </c>
      <c r="B35" s="194"/>
      <c r="C35" s="147" t="s">
        <v>40</v>
      </c>
      <c r="D35" s="499">
        <f>+D8+D17+D30+D33+D34</f>
        <v>708111</v>
      </c>
    </row>
    <row r="36" spans="1:4" s="112" customFormat="1" ht="12" customHeight="1" thickBot="1">
      <c r="A36" s="512" t="s">
        <v>80</v>
      </c>
      <c r="B36" s="519"/>
      <c r="C36" s="514" t="s">
        <v>1218</v>
      </c>
      <c r="D36" s="523">
        <f>+D37+D38</f>
        <v>2800</v>
      </c>
    </row>
    <row r="37" spans="1:4" s="112" customFormat="1" ht="15" customHeight="1">
      <c r="A37" s="289"/>
      <c r="B37" s="192" t="s">
        <v>159</v>
      </c>
      <c r="C37" s="165" t="s">
        <v>478</v>
      </c>
      <c r="D37" s="521">
        <f>'K1'!H311</f>
        <v>2800</v>
      </c>
    </row>
    <row r="38" spans="1:4" s="112" customFormat="1" ht="15" customHeight="1" thickBot="1">
      <c r="A38" s="520"/>
      <c r="B38" s="193" t="s">
        <v>160</v>
      </c>
      <c r="C38" s="513" t="s">
        <v>31</v>
      </c>
      <c r="D38" s="97">
        <v>0</v>
      </c>
    </row>
    <row r="39" spans="1:4" ht="13.5" thickBot="1">
      <c r="A39" s="299" t="s">
        <v>81</v>
      </c>
      <c r="B39" s="510"/>
      <c r="C39" s="511" t="s">
        <v>32</v>
      </c>
      <c r="D39" s="497">
        <v>0</v>
      </c>
    </row>
    <row r="40" spans="1:4" s="67" customFormat="1" ht="16.5" customHeight="1" thickBot="1">
      <c r="A40" s="299" t="s">
        <v>82</v>
      </c>
      <c r="B40" s="300"/>
      <c r="C40" s="301" t="s">
        <v>41</v>
      </c>
      <c r="D40" s="503">
        <f>+D35+D36+D39</f>
        <v>710911</v>
      </c>
    </row>
    <row r="41" spans="1:4" s="113" customFormat="1" ht="12" customHeight="1">
      <c r="A41" s="302"/>
      <c r="B41" s="302"/>
      <c r="C41" s="303"/>
      <c r="D41" s="501"/>
    </row>
    <row r="42" spans="1:4" ht="12" customHeight="1" thickBot="1">
      <c r="A42" s="304"/>
      <c r="B42" s="305"/>
      <c r="C42" s="305"/>
      <c r="D42" s="502"/>
    </row>
    <row r="43" spans="1:4" ht="12" customHeight="1" thickBot="1">
      <c r="A43" s="306"/>
      <c r="B43" s="307"/>
      <c r="C43" s="308" t="s">
        <v>119</v>
      </c>
      <c r="D43" s="503"/>
    </row>
    <row r="44" spans="1:4" ht="12" customHeight="1" thickBot="1">
      <c r="A44" s="248" t="s">
        <v>74</v>
      </c>
      <c r="B44" s="24"/>
      <c r="C44" s="147" t="s">
        <v>22</v>
      </c>
      <c r="D44" s="440">
        <f>SUM(D45:D49)</f>
        <v>710080</v>
      </c>
    </row>
    <row r="45" spans="1:4" ht="12" customHeight="1">
      <c r="A45" s="309"/>
      <c r="B45" s="191" t="s">
        <v>172</v>
      </c>
      <c r="C45" s="11" t="s">
        <v>105</v>
      </c>
      <c r="D45" s="90">
        <f>'K2'!D69</f>
        <v>382648</v>
      </c>
    </row>
    <row r="46" spans="1:4" ht="12" customHeight="1">
      <c r="A46" s="310"/>
      <c r="B46" s="174" t="s">
        <v>173</v>
      </c>
      <c r="C46" s="9" t="s">
        <v>298</v>
      </c>
      <c r="D46" s="93">
        <f>'K2'!G69</f>
        <v>105298</v>
      </c>
    </row>
    <row r="47" spans="1:4" ht="12" customHeight="1">
      <c r="A47" s="310"/>
      <c r="B47" s="174" t="s">
        <v>174</v>
      </c>
      <c r="C47" s="9" t="s">
        <v>215</v>
      </c>
      <c r="D47" s="93">
        <f>'K2'!J69</f>
        <v>221634</v>
      </c>
    </row>
    <row r="48" spans="1:4" s="113" customFormat="1" ht="12" customHeight="1">
      <c r="A48" s="310"/>
      <c r="B48" s="174" t="s">
        <v>175</v>
      </c>
      <c r="C48" s="9" t="s">
        <v>299</v>
      </c>
      <c r="D48" s="93">
        <f>'K2'!M69</f>
        <v>0</v>
      </c>
    </row>
    <row r="49" spans="1:4" ht="12" customHeight="1" thickBot="1">
      <c r="A49" s="310"/>
      <c r="B49" s="174" t="s">
        <v>186</v>
      </c>
      <c r="C49" s="9" t="s">
        <v>300</v>
      </c>
      <c r="D49" s="93">
        <f>'K2'!P69+'K2'!S69</f>
        <v>500</v>
      </c>
    </row>
    <row r="50" spans="1:4" ht="12" customHeight="1" hidden="1">
      <c r="A50" s="310"/>
      <c r="B50" s="174"/>
      <c r="C50" s="614" t="str">
        <f>4!B82</f>
        <v> - az 1.5-ből: - Lakosságnak juttatott támogatások</v>
      </c>
      <c r="D50" s="619"/>
    </row>
    <row r="51" spans="1:4" ht="12" customHeight="1" hidden="1">
      <c r="A51" s="310"/>
      <c r="B51" s="174"/>
      <c r="C51" s="614" t="str">
        <f>4!B83</f>
        <v>   - Szociális, rászorultság jellegű ellátások</v>
      </c>
      <c r="D51" s="619"/>
    </row>
    <row r="52" spans="1:4" ht="12" customHeight="1" hidden="1">
      <c r="A52" s="310"/>
      <c r="B52" s="174"/>
      <c r="C52" s="614" t="str">
        <f>4!B84</f>
        <v>   - Működési célú pénzeszköz átadás államháztartáson belülre</v>
      </c>
      <c r="D52" s="619">
        <f>'K2'!P69</f>
        <v>0</v>
      </c>
    </row>
    <row r="53" spans="1:4" ht="15" customHeight="1" hidden="1">
      <c r="A53" s="310"/>
      <c r="B53" s="174"/>
      <c r="C53" s="614" t="str">
        <f>4!B85</f>
        <v>   - Működési célú pénzeszköz átadás államháztartáson kívülre</v>
      </c>
      <c r="D53" s="619">
        <f>'K2'!S69</f>
        <v>500</v>
      </c>
    </row>
    <row r="54" spans="1:4" ht="12.75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5" customHeight="1" hidden="1">
      <c r="A55" s="310"/>
      <c r="B55" s="174"/>
      <c r="C55" s="614" t="str">
        <f>4!B87</f>
        <v>   - Kamatkiadások</v>
      </c>
      <c r="D55" s="619"/>
    </row>
    <row r="56" spans="1:4" ht="14.25" customHeight="1" hidden="1" thickBot="1">
      <c r="A56" s="310"/>
      <c r="B56" s="174"/>
      <c r="C56" s="614" t="str">
        <f>4!B88</f>
        <v>   - Pénzforgalom nélküli kiadások</v>
      </c>
      <c r="D56" s="619"/>
    </row>
    <row r="57" spans="1:4" ht="13.5" thickBot="1">
      <c r="A57" s="248" t="s">
        <v>75</v>
      </c>
      <c r="B57" s="24"/>
      <c r="C57" s="147" t="s">
        <v>38</v>
      </c>
      <c r="D57" s="440">
        <f>SUM(D58:D61)</f>
        <v>831</v>
      </c>
    </row>
    <row r="58" spans="1:4" ht="12.75">
      <c r="A58" s="309"/>
      <c r="B58" s="191" t="s">
        <v>178</v>
      </c>
      <c r="C58" s="11" t="s">
        <v>417</v>
      </c>
      <c r="D58" s="90">
        <f>'K3'!D26</f>
        <v>831</v>
      </c>
    </row>
    <row r="59" spans="1:4" ht="12.75">
      <c r="A59" s="310"/>
      <c r="B59" s="174" t="s">
        <v>179</v>
      </c>
      <c r="C59" s="9" t="s">
        <v>302</v>
      </c>
      <c r="D59" s="93">
        <v>0</v>
      </c>
    </row>
    <row r="60" spans="1:4" ht="12.75">
      <c r="A60" s="310"/>
      <c r="B60" s="174" t="s">
        <v>180</v>
      </c>
      <c r="C60" s="9" t="s">
        <v>120</v>
      </c>
      <c r="D60" s="93">
        <v>0</v>
      </c>
    </row>
    <row r="61" spans="1:4" ht="13.5" thickBot="1">
      <c r="A61" s="310"/>
      <c r="B61" s="174" t="s">
        <v>181</v>
      </c>
      <c r="C61" s="9" t="s">
        <v>35</v>
      </c>
      <c r="D61" s="93">
        <v>0</v>
      </c>
    </row>
    <row r="62" spans="1:4" ht="12.75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.75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.75" hidden="1">
      <c r="A64" s="310"/>
      <c r="B64" s="174"/>
      <c r="C64" s="614" t="str">
        <f>4!B95</f>
        <v>               - Pénzügyi befektetések kiadásai</v>
      </c>
      <c r="D64" s="619"/>
    </row>
    <row r="65" spans="1:4" ht="12.75" hidden="1">
      <c r="A65" s="310"/>
      <c r="B65" s="174"/>
      <c r="C65" s="614" t="str">
        <f>4!B96</f>
        <v>- Lakástámogatás</v>
      </c>
      <c r="D65" s="619"/>
    </row>
    <row r="66" spans="1:4" ht="12.75" hidden="1">
      <c r="A66" s="310"/>
      <c r="B66" s="174"/>
      <c r="C66" s="614" t="str">
        <f>4!B97</f>
        <v>- Lakásépítés</v>
      </c>
      <c r="D66" s="619"/>
    </row>
    <row r="67" spans="1:4" ht="34.5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3.5" thickBot="1">
      <c r="A68" s="248" t="s">
        <v>76</v>
      </c>
      <c r="B68" s="24"/>
      <c r="C68" s="24" t="s">
        <v>36</v>
      </c>
      <c r="D68" s="470">
        <v>0</v>
      </c>
    </row>
    <row r="69" spans="1:4" ht="13.5" thickBot="1">
      <c r="A69" s="299" t="s">
        <v>77</v>
      </c>
      <c r="B69" s="510"/>
      <c r="C69" s="511" t="s">
        <v>39</v>
      </c>
      <c r="D69" s="497">
        <v>0</v>
      </c>
    </row>
    <row r="70" spans="1:4" ht="13.5" thickBot="1">
      <c r="A70" s="248" t="s">
        <v>78</v>
      </c>
      <c r="B70" s="296"/>
      <c r="C70" s="312" t="s">
        <v>37</v>
      </c>
      <c r="D70" s="508">
        <f>+D44+D57+D68+D69</f>
        <v>710911</v>
      </c>
    </row>
    <row r="71" spans="1:4" ht="13.5" thickBot="1">
      <c r="A71" s="313"/>
      <c r="B71" s="314"/>
      <c r="C71" s="314"/>
      <c r="D71" s="509"/>
    </row>
    <row r="72" spans="1:4" ht="13.5" thickBot="1">
      <c r="A72" s="315" t="s">
        <v>342</v>
      </c>
      <c r="B72" s="316"/>
      <c r="C72" s="317"/>
      <c r="D72" s="144">
        <v>133</v>
      </c>
    </row>
    <row r="73" spans="1:4" ht="13.5" thickBot="1">
      <c r="A73" s="1010" t="s">
        <v>997</v>
      </c>
      <c r="B73" s="316"/>
      <c r="C73" s="317"/>
      <c r="D73" s="144"/>
    </row>
    <row r="74" spans="1:4" ht="13.5" thickBot="1">
      <c r="A74" s="315" t="s">
        <v>343</v>
      </c>
      <c r="B74" s="316"/>
      <c r="C74" s="317"/>
      <c r="D74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6"/>
  <sheetViews>
    <sheetView zoomScalePageLayoutView="0" workbookViewId="0" topLeftCell="A239">
      <selection activeCell="H324" sqref="H324"/>
    </sheetView>
  </sheetViews>
  <sheetFormatPr defaultColWidth="9.00390625" defaultRowHeight="12.75"/>
  <cols>
    <col min="1" max="1" width="3.125" style="624" customWidth="1"/>
    <col min="2" max="2" width="3.875" style="624" customWidth="1"/>
    <col min="3" max="3" width="49.625" style="624" customWidth="1"/>
    <col min="4" max="4" width="11.625" style="624" customWidth="1"/>
    <col min="5" max="5" width="11.125" style="624" customWidth="1"/>
    <col min="6" max="6" width="9.125" style="624" customWidth="1"/>
    <col min="7" max="8" width="11.875" style="624" bestFit="1" customWidth="1"/>
    <col min="9" max="9" width="10.375" style="624" customWidth="1"/>
    <col min="10" max="10" width="10.625" style="622" customWidth="1"/>
    <col min="11" max="16384" width="9.375" style="622" customWidth="1"/>
  </cols>
  <sheetData>
    <row r="1" spans="1:10" ht="15.75">
      <c r="A1" s="1327" t="s">
        <v>545</v>
      </c>
      <c r="B1" s="1327"/>
      <c r="C1" s="1327"/>
      <c r="D1" s="1327"/>
      <c r="E1" s="1327"/>
      <c r="F1" s="1327"/>
      <c r="G1" s="1327"/>
      <c r="H1" s="1327"/>
      <c r="I1" s="1327"/>
      <c r="J1" s="621"/>
    </row>
    <row r="2" spans="1:8" ht="6" customHeight="1">
      <c r="A2" s="623"/>
      <c r="B2" s="623"/>
      <c r="C2" s="623"/>
      <c r="D2" s="623"/>
      <c r="E2" s="623"/>
      <c r="F2" s="623"/>
      <c r="G2" s="623"/>
      <c r="H2" s="623"/>
    </row>
    <row r="3" spans="1:10" ht="15.75">
      <c r="A3" s="1328" t="s">
        <v>803</v>
      </c>
      <c r="B3" s="1328"/>
      <c r="C3" s="1328"/>
      <c r="D3" s="1328"/>
      <c r="E3" s="1328"/>
      <c r="F3" s="1328"/>
      <c r="G3" s="1328"/>
      <c r="H3" s="1328"/>
      <c r="I3" s="1328"/>
      <c r="J3" s="625"/>
    </row>
    <row r="4" spans="1:10" ht="15.75">
      <c r="A4" s="1328" t="str">
        <f>'[3]1'!A3:K3</f>
        <v>2013. ÉV</v>
      </c>
      <c r="B4" s="1283"/>
      <c r="C4" s="1283"/>
      <c r="D4" s="1283"/>
      <c r="E4" s="1283"/>
      <c r="F4" s="1283"/>
      <c r="G4" s="1283"/>
      <c r="H4" s="1283"/>
      <c r="I4" s="1283"/>
      <c r="J4" s="626"/>
    </row>
    <row r="5" spans="1:10" ht="12.75">
      <c r="A5" s="1329" t="s">
        <v>547</v>
      </c>
      <c r="B5" s="1329"/>
      <c r="C5" s="1329"/>
      <c r="D5" s="1329"/>
      <c r="E5" s="1329"/>
      <c r="F5" s="1329"/>
      <c r="G5" s="1329"/>
      <c r="H5" s="1329"/>
      <c r="I5" s="1329"/>
      <c r="J5" s="627"/>
    </row>
    <row r="6" spans="1:8" ht="12.75">
      <c r="A6" s="628"/>
      <c r="B6" s="628"/>
      <c r="C6" s="628"/>
      <c r="D6" s="628"/>
      <c r="E6" s="628"/>
      <c r="F6" s="629"/>
      <c r="G6" s="628"/>
      <c r="H6" s="628"/>
    </row>
    <row r="7" spans="1:10" s="632" customFormat="1" ht="12">
      <c r="A7" s="630"/>
      <c r="B7" s="630"/>
      <c r="C7" s="631"/>
      <c r="D7" s="1330" t="s">
        <v>548</v>
      </c>
      <c r="E7" s="1331"/>
      <c r="F7" s="1332"/>
      <c r="G7" s="1330" t="s">
        <v>549</v>
      </c>
      <c r="H7" s="1331"/>
      <c r="I7" s="1331"/>
      <c r="J7" s="630"/>
    </row>
    <row r="8" spans="1:10" s="632" customFormat="1" ht="12">
      <c r="A8" s="630"/>
      <c r="B8" s="630"/>
      <c r="C8" s="630"/>
      <c r="D8" s="633" t="s">
        <v>550</v>
      </c>
      <c r="E8" s="634" t="s">
        <v>551</v>
      </c>
      <c r="F8" s="1325" t="s">
        <v>552</v>
      </c>
      <c r="G8" s="635" t="str">
        <f>D8</f>
        <v>2012. évi</v>
      </c>
      <c r="H8" s="634" t="str">
        <f>E8</f>
        <v>2013. évi</v>
      </c>
      <c r="I8" s="1326" t="s">
        <v>552</v>
      </c>
      <c r="J8" s="636"/>
    </row>
    <row r="9" spans="1:10" s="632" customFormat="1" ht="12">
      <c r="A9" s="630"/>
      <c r="B9" s="630"/>
      <c r="C9" s="630"/>
      <c r="D9" s="633" t="s">
        <v>553</v>
      </c>
      <c r="E9" s="634" t="s">
        <v>553</v>
      </c>
      <c r="F9" s="1325"/>
      <c r="G9" s="635" t="s">
        <v>553</v>
      </c>
      <c r="H9" s="634" t="str">
        <f>E9</f>
        <v>terv</v>
      </c>
      <c r="I9" s="1326"/>
      <c r="J9" s="636"/>
    </row>
    <row r="10" spans="1:10" s="632" customFormat="1" ht="12" hidden="1">
      <c r="A10" s="644"/>
      <c r="B10" s="645"/>
      <c r="C10" s="645"/>
      <c r="D10" s="850"/>
      <c r="F10" s="851"/>
      <c r="G10" s="685"/>
      <c r="I10" s="640"/>
      <c r="J10" s="639"/>
    </row>
    <row r="11" spans="3:10" s="632" customFormat="1" ht="12" hidden="1">
      <c r="C11" s="650"/>
      <c r="D11" s="852"/>
      <c r="E11" s="652"/>
      <c r="F11" s="853"/>
      <c r="G11" s="651"/>
      <c r="H11" s="654"/>
      <c r="I11" s="655"/>
      <c r="J11" s="642"/>
    </row>
    <row r="12" spans="3:10" s="632" customFormat="1" ht="12" hidden="1">
      <c r="C12" s="650"/>
      <c r="D12" s="852"/>
      <c r="E12" s="652"/>
      <c r="F12" s="853"/>
      <c r="G12" s="651"/>
      <c r="H12" s="654"/>
      <c r="I12" s="655"/>
      <c r="J12" s="642"/>
    </row>
    <row r="13" spans="3:10" s="632" customFormat="1" ht="12" hidden="1">
      <c r="C13" s="650"/>
      <c r="D13" s="852"/>
      <c r="E13" s="652"/>
      <c r="F13" s="853"/>
      <c r="G13" s="651"/>
      <c r="H13" s="654"/>
      <c r="I13" s="655"/>
      <c r="J13" s="642"/>
    </row>
    <row r="14" spans="3:10" s="632" customFormat="1" ht="12.75" customHeight="1" hidden="1">
      <c r="C14" s="650"/>
      <c r="D14" s="852"/>
      <c r="E14" s="652"/>
      <c r="F14" s="853"/>
      <c r="G14" s="651"/>
      <c r="H14" s="654"/>
      <c r="I14" s="655"/>
      <c r="J14" s="642"/>
    </row>
    <row r="15" spans="3:10" s="632" customFormat="1" ht="12" hidden="1">
      <c r="C15" s="650"/>
      <c r="D15" s="852"/>
      <c r="E15" s="652"/>
      <c r="F15" s="853"/>
      <c r="G15" s="651"/>
      <c r="H15" s="652"/>
      <c r="I15" s="655"/>
      <c r="J15" s="642"/>
    </row>
    <row r="16" spans="1:10" s="637" customFormat="1" ht="12" hidden="1">
      <c r="A16" s="644"/>
      <c r="B16" s="644"/>
      <c r="C16" s="666"/>
      <c r="D16" s="854"/>
      <c r="E16" s="667"/>
      <c r="F16" s="855"/>
      <c r="G16" s="656"/>
      <c r="H16" s="657"/>
      <c r="I16" s="658"/>
      <c r="J16" s="642"/>
    </row>
    <row r="17" spans="3:10" s="632" customFormat="1" ht="12" hidden="1">
      <c r="C17" s="650"/>
      <c r="D17" s="852"/>
      <c r="E17" s="652"/>
      <c r="F17" s="853"/>
      <c r="G17" s="651"/>
      <c r="H17" s="654"/>
      <c r="I17" s="655"/>
      <c r="J17" s="642"/>
    </row>
    <row r="18" spans="3:10" s="632" customFormat="1" ht="12" hidden="1">
      <c r="C18" s="650"/>
      <c r="D18" s="852"/>
      <c r="E18" s="652"/>
      <c r="F18" s="853"/>
      <c r="G18" s="651"/>
      <c r="H18" s="654"/>
      <c r="I18" s="655"/>
      <c r="J18" s="642"/>
    </row>
    <row r="19" spans="3:10" s="632" customFormat="1" ht="12" hidden="1">
      <c r="C19" s="856"/>
      <c r="D19" s="852"/>
      <c r="E19" s="652"/>
      <c r="F19" s="853"/>
      <c r="G19" s="651"/>
      <c r="H19" s="654"/>
      <c r="I19" s="655"/>
      <c r="J19" s="642"/>
    </row>
    <row r="20" spans="3:10" s="632" customFormat="1" ht="12" hidden="1">
      <c r="C20" s="650"/>
      <c r="D20" s="852"/>
      <c r="E20" s="652"/>
      <c r="F20" s="853"/>
      <c r="G20" s="651"/>
      <c r="H20" s="654"/>
      <c r="I20" s="655"/>
      <c r="J20" s="642"/>
    </row>
    <row r="21" spans="3:10" s="632" customFormat="1" ht="12" hidden="1">
      <c r="C21" s="650"/>
      <c r="D21" s="852"/>
      <c r="E21" s="652"/>
      <c r="F21" s="853"/>
      <c r="G21" s="651"/>
      <c r="H21" s="652"/>
      <c r="I21" s="655"/>
      <c r="J21" s="642"/>
    </row>
    <row r="22" spans="1:10" s="637" customFormat="1" ht="12" hidden="1">
      <c r="A22" s="644"/>
      <c r="B22" s="644"/>
      <c r="C22" s="666"/>
      <c r="D22" s="854"/>
      <c r="E22" s="667"/>
      <c r="F22" s="855"/>
      <c r="G22" s="656"/>
      <c r="H22" s="657"/>
      <c r="I22" s="658"/>
      <c r="J22" s="642"/>
    </row>
    <row r="23" spans="3:10" s="637" customFormat="1" ht="12" hidden="1">
      <c r="C23" s="666"/>
      <c r="D23" s="854"/>
      <c r="E23" s="667"/>
      <c r="F23" s="855"/>
      <c r="G23" s="656"/>
      <c r="H23" s="657"/>
      <c r="I23" s="658"/>
      <c r="J23" s="642"/>
    </row>
    <row r="24" spans="3:10" s="632" customFormat="1" ht="12" hidden="1">
      <c r="C24" s="638"/>
      <c r="D24" s="671"/>
      <c r="F24" s="857"/>
      <c r="G24" s="671"/>
      <c r="I24" s="641"/>
      <c r="J24" s="642"/>
    </row>
    <row r="25" spans="1:10" s="632" customFormat="1" ht="12">
      <c r="A25" s="637" t="s">
        <v>554</v>
      </c>
      <c r="B25" s="638" t="s">
        <v>804</v>
      </c>
      <c r="C25" s="638"/>
      <c r="D25" s="639"/>
      <c r="F25" s="640"/>
      <c r="G25" s="639"/>
      <c r="I25" s="641"/>
      <c r="J25" s="642"/>
    </row>
    <row r="26" spans="2:10" s="643" customFormat="1" ht="12">
      <c r="B26" s="644" t="s">
        <v>555</v>
      </c>
      <c r="C26" s="645" t="s">
        <v>556</v>
      </c>
      <c r="D26" s="646"/>
      <c r="F26" s="647"/>
      <c r="G26" s="646"/>
      <c r="I26" s="648"/>
      <c r="J26" s="649"/>
    </row>
    <row r="27" spans="3:10" s="632" customFormat="1" ht="12">
      <c r="C27" s="650" t="s">
        <v>805</v>
      </c>
      <c r="D27" s="651"/>
      <c r="E27" s="652"/>
      <c r="F27" s="653"/>
      <c r="G27" s="654">
        <v>3000</v>
      </c>
      <c r="H27" s="654">
        <v>1000</v>
      </c>
      <c r="I27" s="655">
        <f>H27/G27</f>
        <v>0.3333333333333333</v>
      </c>
      <c r="J27" s="642" t="s">
        <v>1150</v>
      </c>
    </row>
    <row r="28" spans="3:10" s="632" customFormat="1" ht="12">
      <c r="C28" s="650" t="s">
        <v>806</v>
      </c>
      <c r="D28" s="651"/>
      <c r="E28" s="652"/>
      <c r="F28" s="653"/>
      <c r="G28" s="654">
        <v>1000</v>
      </c>
      <c r="H28" s="654">
        <v>500</v>
      </c>
      <c r="I28" s="655">
        <f>H28/G28</f>
        <v>0.5</v>
      </c>
      <c r="J28" s="642" t="s">
        <v>1153</v>
      </c>
    </row>
    <row r="29" spans="3:10" s="632" customFormat="1" ht="12">
      <c r="C29" s="650" t="s">
        <v>807</v>
      </c>
      <c r="D29" s="651"/>
      <c r="E29" s="652"/>
      <c r="F29" s="653"/>
      <c r="G29" s="654">
        <v>6000</v>
      </c>
      <c r="H29" s="654">
        <v>0</v>
      </c>
      <c r="I29" s="655">
        <f>H29/G29</f>
        <v>0</v>
      </c>
      <c r="J29" s="642"/>
    </row>
    <row r="30" spans="3:10" s="632" customFormat="1" ht="12">
      <c r="C30" s="650" t="s">
        <v>808</v>
      </c>
      <c r="D30" s="651"/>
      <c r="E30" s="652"/>
      <c r="F30" s="653"/>
      <c r="G30" s="654">
        <v>1200</v>
      </c>
      <c r="H30" s="654">
        <v>0</v>
      </c>
      <c r="I30" s="655">
        <f>H30/G30</f>
        <v>0</v>
      </c>
      <c r="J30" s="642"/>
    </row>
    <row r="31" spans="3:10" s="632" customFormat="1" ht="12" hidden="1">
      <c r="C31" s="650"/>
      <c r="D31" s="651"/>
      <c r="E31" s="652"/>
      <c r="F31" s="653"/>
      <c r="G31" s="651"/>
      <c r="H31" s="652"/>
      <c r="I31" s="655"/>
      <c r="J31" s="642"/>
    </row>
    <row r="32" spans="3:10" s="632" customFormat="1" ht="12" hidden="1">
      <c r="C32" s="650"/>
      <c r="D32" s="651"/>
      <c r="E32" s="652"/>
      <c r="F32" s="653"/>
      <c r="G32" s="651"/>
      <c r="H32" s="652"/>
      <c r="I32" s="655"/>
      <c r="J32" s="642"/>
    </row>
    <row r="33" spans="3:10" s="632" customFormat="1" ht="12" hidden="1">
      <c r="C33" s="650"/>
      <c r="D33" s="651"/>
      <c r="E33" s="652"/>
      <c r="F33" s="653"/>
      <c r="G33" s="651"/>
      <c r="H33" s="652"/>
      <c r="I33" s="655"/>
      <c r="J33" s="642"/>
    </row>
    <row r="34" spans="3:10" s="632" customFormat="1" ht="12" hidden="1">
      <c r="C34" s="650"/>
      <c r="D34" s="651"/>
      <c r="E34" s="652"/>
      <c r="F34" s="653"/>
      <c r="G34" s="651"/>
      <c r="H34" s="652"/>
      <c r="I34" s="655"/>
      <c r="J34" s="642"/>
    </row>
    <row r="35" spans="3:10" s="632" customFormat="1" ht="12" hidden="1">
      <c r="C35" s="650"/>
      <c r="D35" s="651"/>
      <c r="E35" s="652"/>
      <c r="F35" s="653"/>
      <c r="G35" s="651"/>
      <c r="H35" s="652"/>
      <c r="I35" s="655"/>
      <c r="J35" s="642"/>
    </row>
    <row r="36" spans="3:10" s="632" customFormat="1" ht="12" hidden="1">
      <c r="C36" s="650"/>
      <c r="D36" s="651"/>
      <c r="E36" s="652"/>
      <c r="F36" s="653"/>
      <c r="G36" s="651"/>
      <c r="H36" s="652"/>
      <c r="I36" s="655"/>
      <c r="J36" s="642"/>
    </row>
    <row r="37" spans="3:10" s="632" customFormat="1" ht="12" hidden="1">
      <c r="C37" s="650"/>
      <c r="D37" s="651"/>
      <c r="E37" s="652"/>
      <c r="F37" s="653"/>
      <c r="G37" s="651"/>
      <c r="H37" s="652"/>
      <c r="I37" s="655"/>
      <c r="J37" s="642"/>
    </row>
    <row r="38" spans="3:10" s="632" customFormat="1" ht="12" hidden="1">
      <c r="C38" s="650"/>
      <c r="D38" s="651"/>
      <c r="E38" s="652"/>
      <c r="F38" s="653"/>
      <c r="G38" s="651"/>
      <c r="H38" s="652"/>
      <c r="I38" s="655"/>
      <c r="J38" s="642"/>
    </row>
    <row r="39" spans="3:10" s="632" customFormat="1" ht="12" hidden="1">
      <c r="C39" s="650"/>
      <c r="D39" s="651"/>
      <c r="E39" s="652"/>
      <c r="F39" s="653"/>
      <c r="G39" s="651"/>
      <c r="H39" s="652"/>
      <c r="I39" s="655"/>
      <c r="J39" s="642"/>
    </row>
    <row r="40" spans="3:10" s="632" customFormat="1" ht="12">
      <c r="C40" s="650"/>
      <c r="D40" s="651"/>
      <c r="E40" s="652"/>
      <c r="F40" s="653"/>
      <c r="G40" s="656">
        <f>SUM(G27:G39)</f>
        <v>11200</v>
      </c>
      <c r="H40" s="657">
        <f>SUM(H27:H39)</f>
        <v>1500</v>
      </c>
      <c r="I40" s="658">
        <f>H40/G40</f>
        <v>0.13392857142857142</v>
      </c>
      <c r="J40" s="642"/>
    </row>
    <row r="41" spans="3:10" s="632" customFormat="1" ht="12" hidden="1">
      <c r="C41" s="650"/>
      <c r="D41" s="651"/>
      <c r="E41" s="652"/>
      <c r="F41" s="653"/>
      <c r="G41" s="656"/>
      <c r="H41" s="657"/>
      <c r="I41" s="658"/>
      <c r="J41" s="642"/>
    </row>
    <row r="42" spans="2:10" s="632" customFormat="1" ht="12">
      <c r="B42" s="644" t="s">
        <v>557</v>
      </c>
      <c r="C42" s="645" t="s">
        <v>558</v>
      </c>
      <c r="D42" s="646"/>
      <c r="E42" s="643"/>
      <c r="F42" s="647"/>
      <c r="G42" s="646"/>
      <c r="H42" s="643"/>
      <c r="I42" s="648"/>
      <c r="J42" s="642"/>
    </row>
    <row r="43" spans="3:10" s="632" customFormat="1" ht="12">
      <c r="C43" s="650" t="s">
        <v>809</v>
      </c>
      <c r="D43" s="651"/>
      <c r="E43" s="652"/>
      <c r="F43" s="653"/>
      <c r="G43" s="654">
        <v>1000</v>
      </c>
      <c r="H43" s="654">
        <v>976</v>
      </c>
      <c r="I43" s="655">
        <f aca="true" t="shared" si="0" ref="I43:I50">H43/G43</f>
        <v>0.976</v>
      </c>
      <c r="J43" s="642" t="s">
        <v>1153</v>
      </c>
    </row>
    <row r="44" spans="3:10" s="632" customFormat="1" ht="12">
      <c r="C44" s="650" t="s">
        <v>810</v>
      </c>
      <c r="D44" s="651"/>
      <c r="E44" s="652"/>
      <c r="F44" s="653"/>
      <c r="G44" s="654">
        <v>3354</v>
      </c>
      <c r="H44" s="654">
        <v>2832</v>
      </c>
      <c r="I44" s="655">
        <f t="shared" si="0"/>
        <v>0.8443649373881932</v>
      </c>
      <c r="J44" s="642" t="s">
        <v>1150</v>
      </c>
    </row>
    <row r="45" spans="3:10" s="632" customFormat="1" ht="12">
      <c r="C45" s="659" t="s">
        <v>811</v>
      </c>
      <c r="D45" s="651"/>
      <c r="E45" s="652"/>
      <c r="F45" s="653"/>
      <c r="G45" s="654">
        <v>5000</v>
      </c>
      <c r="H45" s="654">
        <v>4457</v>
      </c>
      <c r="I45" s="655">
        <f t="shared" si="0"/>
        <v>0.8914</v>
      </c>
      <c r="J45" s="642" t="s">
        <v>1150</v>
      </c>
    </row>
    <row r="46" spans="3:10" s="632" customFormat="1" ht="12">
      <c r="C46" s="650" t="s">
        <v>812</v>
      </c>
      <c r="D46" s="651"/>
      <c r="E46" s="652"/>
      <c r="F46" s="653"/>
      <c r="G46" s="654">
        <v>1698</v>
      </c>
      <c r="H46" s="654">
        <v>0</v>
      </c>
      <c r="I46" s="655">
        <f t="shared" si="0"/>
        <v>0</v>
      </c>
      <c r="J46" s="642"/>
    </row>
    <row r="47" spans="3:10" s="632" customFormat="1" ht="12">
      <c r="C47" s="650" t="s">
        <v>813</v>
      </c>
      <c r="D47" s="651"/>
      <c r="E47" s="652"/>
      <c r="F47" s="653"/>
      <c r="G47" s="654">
        <v>35224</v>
      </c>
      <c r="H47" s="654">
        <v>0</v>
      </c>
      <c r="I47" s="655">
        <f t="shared" si="0"/>
        <v>0</v>
      </c>
      <c r="J47" s="642"/>
    </row>
    <row r="48" spans="3:9" s="632" customFormat="1" ht="12">
      <c r="C48" s="659" t="s">
        <v>814</v>
      </c>
      <c r="D48" s="651"/>
      <c r="E48" s="652"/>
      <c r="F48" s="653"/>
      <c r="G48" s="654">
        <v>1534</v>
      </c>
      <c r="H48" s="654">
        <v>0</v>
      </c>
      <c r="I48" s="655">
        <f t="shared" si="0"/>
        <v>0</v>
      </c>
    </row>
    <row r="49" spans="3:10" s="632" customFormat="1" ht="12">
      <c r="C49" s="650" t="s">
        <v>815</v>
      </c>
      <c r="D49" s="651"/>
      <c r="E49" s="652"/>
      <c r="F49" s="653"/>
      <c r="G49" s="654">
        <v>1500</v>
      </c>
      <c r="H49" s="654">
        <v>0</v>
      </c>
      <c r="I49" s="655">
        <f t="shared" si="0"/>
        <v>0</v>
      </c>
      <c r="J49" s="642"/>
    </row>
    <row r="50" spans="3:11" s="632" customFormat="1" ht="12">
      <c r="C50" s="650" t="s">
        <v>816</v>
      </c>
      <c r="D50" s="651"/>
      <c r="E50" s="652"/>
      <c r="F50" s="653"/>
      <c r="G50" s="654">
        <v>95000</v>
      </c>
      <c r="H50" s="654">
        <v>98869</v>
      </c>
      <c r="I50" s="655">
        <f t="shared" si="0"/>
        <v>1.0407263157894737</v>
      </c>
      <c r="J50" s="632" t="s">
        <v>1150</v>
      </c>
      <c r="K50" s="642" t="s">
        <v>817</v>
      </c>
    </row>
    <row r="51" spans="3:11" s="632" customFormat="1" ht="12">
      <c r="C51" s="650" t="s">
        <v>450</v>
      </c>
      <c r="D51" s="651"/>
      <c r="E51" s="652"/>
      <c r="F51" s="653"/>
      <c r="G51" s="651">
        <v>0</v>
      </c>
      <c r="H51" s="654">
        <v>731</v>
      </c>
      <c r="I51" s="655">
        <v>0</v>
      </c>
      <c r="J51" s="632" t="s">
        <v>1150</v>
      </c>
      <c r="K51" s="642"/>
    </row>
    <row r="52" spans="3:11" s="632" customFormat="1" ht="12" customHeight="1">
      <c r="C52" s="650" t="s">
        <v>561</v>
      </c>
      <c r="D52" s="651"/>
      <c r="E52" s="652"/>
      <c r="F52" s="653"/>
      <c r="G52" s="651">
        <v>0</v>
      </c>
      <c r="H52" s="654">
        <f>7309+1311</f>
        <v>8620</v>
      </c>
      <c r="I52" s="655">
        <v>0</v>
      </c>
      <c r="J52" s="632" t="s">
        <v>1150</v>
      </c>
      <c r="K52" s="642" t="s">
        <v>818</v>
      </c>
    </row>
    <row r="53" spans="3:10" s="632" customFormat="1" ht="12" customHeight="1">
      <c r="C53" s="650" t="s">
        <v>996</v>
      </c>
      <c r="D53" s="651"/>
      <c r="E53" s="652"/>
      <c r="F53" s="653"/>
      <c r="G53" s="651">
        <v>0</v>
      </c>
      <c r="H53" s="654">
        <v>6442</v>
      </c>
      <c r="I53" s="655">
        <v>0</v>
      </c>
      <c r="J53" s="642" t="s">
        <v>1150</v>
      </c>
    </row>
    <row r="54" spans="3:10" s="632" customFormat="1" ht="12" customHeight="1" hidden="1">
      <c r="C54" s="650"/>
      <c r="D54" s="651"/>
      <c r="E54" s="652"/>
      <c r="F54" s="653"/>
      <c r="G54" s="651"/>
      <c r="H54" s="654"/>
      <c r="I54" s="655" t="e">
        <v>#DIV/0!</v>
      </c>
      <c r="J54" s="642"/>
    </row>
    <row r="55" spans="3:10" s="632" customFormat="1" ht="12" customHeight="1" hidden="1">
      <c r="C55" s="650"/>
      <c r="D55" s="651"/>
      <c r="E55" s="652"/>
      <c r="F55" s="653"/>
      <c r="G55" s="651"/>
      <c r="H55" s="654"/>
      <c r="I55" s="655" t="e">
        <v>#DIV/0!</v>
      </c>
      <c r="J55" s="642"/>
    </row>
    <row r="56" spans="3:10" s="632" customFormat="1" ht="12" customHeight="1" hidden="1">
      <c r="C56" s="650"/>
      <c r="D56" s="651"/>
      <c r="E56" s="652"/>
      <c r="F56" s="653"/>
      <c r="G56" s="651"/>
      <c r="H56" s="654"/>
      <c r="I56" s="655" t="e">
        <v>#DIV/0!</v>
      </c>
      <c r="J56" s="642"/>
    </row>
    <row r="57" spans="3:10" s="632" customFormat="1" ht="12" customHeight="1" hidden="1">
      <c r="C57" s="650"/>
      <c r="D57" s="651"/>
      <c r="E57" s="652"/>
      <c r="F57" s="653"/>
      <c r="G57" s="651"/>
      <c r="H57" s="654"/>
      <c r="I57" s="655" t="e">
        <v>#DIV/0!</v>
      </c>
      <c r="J57" s="642"/>
    </row>
    <row r="58" spans="3:10" s="632" customFormat="1" ht="12" customHeight="1" hidden="1">
      <c r="C58" s="650"/>
      <c r="D58" s="651"/>
      <c r="E58" s="652"/>
      <c r="F58" s="653"/>
      <c r="G58" s="651"/>
      <c r="H58" s="654"/>
      <c r="I58" s="655" t="e">
        <v>#DIV/0!</v>
      </c>
      <c r="J58" s="642"/>
    </row>
    <row r="59" spans="3:10" s="632" customFormat="1" ht="12">
      <c r="C59" s="660"/>
      <c r="D59" s="656"/>
      <c r="E59" s="652"/>
      <c r="F59" s="661"/>
      <c r="G59" s="656">
        <f>SUM(G43:G58)</f>
        <v>144310</v>
      </c>
      <c r="H59" s="656">
        <f>SUM(H43:H58)</f>
        <v>122927</v>
      </c>
      <c r="I59" s="658">
        <f>H59/G59</f>
        <v>0.8518259302889613</v>
      </c>
      <c r="J59" s="642"/>
    </row>
    <row r="60" spans="3:10" s="632" customFormat="1" ht="12">
      <c r="C60" s="858"/>
      <c r="D60" s="646"/>
      <c r="E60" s="643"/>
      <c r="F60" s="647"/>
      <c r="G60" s="646"/>
      <c r="H60" s="646"/>
      <c r="I60" s="859"/>
      <c r="J60" s="642"/>
    </row>
    <row r="61" spans="2:10" s="632" customFormat="1" ht="12">
      <c r="B61" s="644" t="s">
        <v>562</v>
      </c>
      <c r="C61" s="645" t="s">
        <v>819</v>
      </c>
      <c r="D61" s="646"/>
      <c r="E61" s="643"/>
      <c r="F61" s="647"/>
      <c r="G61" s="646"/>
      <c r="H61" s="643"/>
      <c r="I61" s="648"/>
      <c r="J61" s="642"/>
    </row>
    <row r="62" spans="3:10" s="632" customFormat="1" ht="12">
      <c r="C62" s="650"/>
      <c r="D62" s="651"/>
      <c r="E62" s="652"/>
      <c r="F62" s="653"/>
      <c r="G62" s="651"/>
      <c r="H62" s="654"/>
      <c r="I62" s="655"/>
      <c r="J62" s="642"/>
    </row>
    <row r="63" spans="3:10" s="632" customFormat="1" ht="12" customHeight="1" hidden="1">
      <c r="C63" s="662"/>
      <c r="D63" s="651"/>
      <c r="E63" s="652"/>
      <c r="F63" s="653"/>
      <c r="G63" s="651"/>
      <c r="H63" s="860"/>
      <c r="I63" s="664"/>
      <c r="J63" s="642"/>
    </row>
    <row r="64" spans="3:10" s="632" customFormat="1" ht="12" customHeight="1" hidden="1">
      <c r="C64" s="662"/>
      <c r="D64" s="651"/>
      <c r="E64" s="652"/>
      <c r="F64" s="653"/>
      <c r="G64" s="651"/>
      <c r="H64" s="860"/>
      <c r="I64" s="664"/>
      <c r="J64" s="642"/>
    </row>
    <row r="65" spans="3:10" s="632" customFormat="1" ht="12" customHeight="1" hidden="1">
      <c r="C65" s="662"/>
      <c r="D65" s="651"/>
      <c r="E65" s="652"/>
      <c r="F65" s="653"/>
      <c r="G65" s="670"/>
      <c r="H65" s="860"/>
      <c r="I65" s="664"/>
      <c r="J65" s="642"/>
    </row>
    <row r="66" spans="3:10" s="632" customFormat="1" ht="12" customHeight="1" hidden="1">
      <c r="C66" s="662"/>
      <c r="D66" s="651"/>
      <c r="E66" s="652"/>
      <c r="F66" s="653"/>
      <c r="G66" s="670"/>
      <c r="H66" s="860"/>
      <c r="I66" s="664"/>
      <c r="J66" s="642"/>
    </row>
    <row r="67" spans="3:10" s="632" customFormat="1" ht="12" hidden="1">
      <c r="C67" s="650"/>
      <c r="D67" s="651"/>
      <c r="E67" s="652"/>
      <c r="F67" s="653"/>
      <c r="G67" s="651"/>
      <c r="H67" s="654"/>
      <c r="I67" s="655"/>
      <c r="J67" s="642"/>
    </row>
    <row r="68" spans="3:10" s="632" customFormat="1" ht="12" hidden="1">
      <c r="C68" s="650"/>
      <c r="D68" s="651"/>
      <c r="E68" s="652"/>
      <c r="F68" s="653"/>
      <c r="G68" s="651"/>
      <c r="H68" s="654"/>
      <c r="I68" s="655"/>
      <c r="J68" s="642"/>
    </row>
    <row r="69" spans="3:10" s="632" customFormat="1" ht="12" hidden="1">
      <c r="C69" s="650"/>
      <c r="D69" s="651"/>
      <c r="E69" s="652"/>
      <c r="F69" s="653"/>
      <c r="G69" s="651"/>
      <c r="H69" s="654"/>
      <c r="I69" s="655"/>
      <c r="J69" s="642"/>
    </row>
    <row r="70" spans="3:10" s="632" customFormat="1" ht="12" hidden="1">
      <c r="C70" s="650"/>
      <c r="D70" s="651"/>
      <c r="E70" s="652"/>
      <c r="F70" s="665"/>
      <c r="G70" s="651"/>
      <c r="H70" s="654"/>
      <c r="I70" s="655"/>
      <c r="J70" s="642"/>
    </row>
    <row r="71" spans="3:10" s="632" customFormat="1" ht="12" hidden="1">
      <c r="C71" s="650"/>
      <c r="D71" s="651"/>
      <c r="E71" s="652"/>
      <c r="F71" s="665"/>
      <c r="G71" s="651"/>
      <c r="H71" s="654"/>
      <c r="I71" s="655"/>
      <c r="J71" s="642"/>
    </row>
    <row r="72" spans="3:10" s="632" customFormat="1" ht="12" hidden="1">
      <c r="C72" s="650"/>
      <c r="D72" s="651"/>
      <c r="E72" s="652"/>
      <c r="F72" s="665"/>
      <c r="G72" s="651"/>
      <c r="H72" s="654"/>
      <c r="I72" s="655"/>
      <c r="J72" s="642"/>
    </row>
    <row r="73" spans="3:10" s="632" customFormat="1" ht="12" hidden="1">
      <c r="C73" s="650"/>
      <c r="D73" s="651"/>
      <c r="E73" s="652"/>
      <c r="F73" s="665"/>
      <c r="G73" s="651"/>
      <c r="H73" s="654"/>
      <c r="I73" s="655"/>
      <c r="J73" s="642"/>
    </row>
    <row r="74" spans="3:10" s="632" customFormat="1" ht="12" hidden="1">
      <c r="C74" s="650"/>
      <c r="D74" s="651"/>
      <c r="E74" s="652"/>
      <c r="F74" s="665"/>
      <c r="G74" s="651"/>
      <c r="H74" s="654"/>
      <c r="I74" s="655"/>
      <c r="J74" s="642"/>
    </row>
    <row r="75" spans="3:10" s="632" customFormat="1" ht="12" hidden="1">
      <c r="C75" s="650"/>
      <c r="D75" s="651"/>
      <c r="E75" s="652"/>
      <c r="F75" s="665"/>
      <c r="G75" s="651"/>
      <c r="H75" s="654"/>
      <c r="I75" s="655"/>
      <c r="J75" s="642"/>
    </row>
    <row r="76" spans="3:10" s="632" customFormat="1" ht="12" hidden="1">
      <c r="C76" s="650"/>
      <c r="D76" s="651"/>
      <c r="E76" s="652"/>
      <c r="F76" s="665"/>
      <c r="G76" s="651"/>
      <c r="H76" s="654"/>
      <c r="I76" s="655"/>
      <c r="J76" s="642"/>
    </row>
    <row r="77" spans="3:10" s="632" customFormat="1" ht="12" customHeight="1" hidden="1">
      <c r="C77" s="650"/>
      <c r="D77" s="651"/>
      <c r="E77" s="652"/>
      <c r="F77" s="665"/>
      <c r="G77" s="651"/>
      <c r="H77" s="654"/>
      <c r="I77" s="655"/>
      <c r="J77" s="642"/>
    </row>
    <row r="78" spans="3:10" s="632" customFormat="1" ht="12" customHeight="1" hidden="1">
      <c r="C78" s="650"/>
      <c r="D78" s="651"/>
      <c r="E78" s="652"/>
      <c r="F78" s="665"/>
      <c r="G78" s="651"/>
      <c r="H78" s="654"/>
      <c r="I78" s="655"/>
      <c r="J78" s="642"/>
    </row>
    <row r="79" spans="3:10" s="632" customFormat="1" ht="12" customHeight="1" hidden="1">
      <c r="C79" s="650"/>
      <c r="D79" s="651"/>
      <c r="E79" s="652"/>
      <c r="F79" s="665"/>
      <c r="G79" s="651"/>
      <c r="H79" s="654"/>
      <c r="I79" s="655"/>
      <c r="J79" s="642"/>
    </row>
    <row r="80" spans="3:10" s="632" customFormat="1" ht="12" customHeight="1" hidden="1">
      <c r="C80" s="650"/>
      <c r="D80" s="651"/>
      <c r="E80" s="652"/>
      <c r="F80" s="665"/>
      <c r="G80" s="651"/>
      <c r="H80" s="654"/>
      <c r="I80" s="655"/>
      <c r="J80" s="642"/>
    </row>
    <row r="81" spans="3:10" s="632" customFormat="1" ht="12" customHeight="1" hidden="1">
      <c r="C81" s="650"/>
      <c r="D81" s="651"/>
      <c r="E81" s="652"/>
      <c r="F81" s="665"/>
      <c r="G81" s="651"/>
      <c r="H81" s="654"/>
      <c r="I81" s="655"/>
      <c r="J81" s="642"/>
    </row>
    <row r="82" spans="3:10" s="632" customFormat="1" ht="12" customHeight="1" hidden="1">
      <c r="C82" s="650"/>
      <c r="D82" s="651"/>
      <c r="E82" s="652"/>
      <c r="F82" s="665"/>
      <c r="G82" s="651"/>
      <c r="H82" s="654"/>
      <c r="I82" s="655"/>
      <c r="J82" s="642"/>
    </row>
    <row r="83" spans="3:10" s="637" customFormat="1" ht="12">
      <c r="C83" s="666"/>
      <c r="D83" s="656"/>
      <c r="E83" s="667"/>
      <c r="F83" s="668"/>
      <c r="G83" s="656">
        <f>SUM(G62:G82)</f>
        <v>0</v>
      </c>
      <c r="H83" s="656">
        <f>SUM(H62:H82)</f>
        <v>0</v>
      </c>
      <c r="I83" s="658">
        <v>0</v>
      </c>
      <c r="J83" s="642"/>
    </row>
    <row r="84" spans="2:10" s="637" customFormat="1" ht="12">
      <c r="B84" s="644" t="s">
        <v>585</v>
      </c>
      <c r="C84" s="645" t="s">
        <v>781</v>
      </c>
      <c r="D84" s="646"/>
      <c r="E84" s="643"/>
      <c r="F84" s="647"/>
      <c r="G84" s="646"/>
      <c r="H84" s="643"/>
      <c r="I84" s="648"/>
      <c r="J84" s="642"/>
    </row>
    <row r="85" spans="2:10" s="637" customFormat="1" ht="12">
      <c r="B85" s="632"/>
      <c r="C85" s="645" t="s">
        <v>820</v>
      </c>
      <c r="D85" s="646"/>
      <c r="E85" s="643"/>
      <c r="F85" s="647"/>
      <c r="G85" s="646"/>
      <c r="H85" s="643"/>
      <c r="I85" s="648"/>
      <c r="J85" s="642"/>
    </row>
    <row r="86" spans="3:10" s="637" customFormat="1" ht="12">
      <c r="C86" s="650"/>
      <c r="D86" s="651"/>
      <c r="E86" s="654"/>
      <c r="F86" s="665"/>
      <c r="G86" s="651"/>
      <c r="H86" s="654"/>
      <c r="I86" s="655"/>
      <c r="J86" s="642"/>
    </row>
    <row r="87" spans="3:10" s="637" customFormat="1" ht="12" hidden="1">
      <c r="C87" s="650"/>
      <c r="D87" s="651"/>
      <c r="E87" s="654"/>
      <c r="F87" s="665"/>
      <c r="G87" s="656"/>
      <c r="H87" s="667"/>
      <c r="I87" s="655"/>
      <c r="J87" s="642"/>
    </row>
    <row r="88" spans="3:10" s="637" customFormat="1" ht="12" hidden="1">
      <c r="C88" s="650"/>
      <c r="D88" s="651"/>
      <c r="E88" s="654"/>
      <c r="F88" s="665"/>
      <c r="G88" s="656"/>
      <c r="H88" s="667"/>
      <c r="I88" s="655"/>
      <c r="J88" s="642"/>
    </row>
    <row r="89" spans="3:10" s="637" customFormat="1" ht="12" hidden="1">
      <c r="C89" s="650"/>
      <c r="D89" s="651"/>
      <c r="E89" s="654"/>
      <c r="F89" s="665"/>
      <c r="G89" s="656"/>
      <c r="H89" s="667"/>
      <c r="I89" s="655"/>
      <c r="J89" s="642"/>
    </row>
    <row r="90" spans="3:10" s="637" customFormat="1" ht="12" customHeight="1" hidden="1">
      <c r="C90" s="650"/>
      <c r="D90" s="651"/>
      <c r="E90" s="654"/>
      <c r="F90" s="665"/>
      <c r="G90" s="656"/>
      <c r="H90" s="667"/>
      <c r="I90" s="655"/>
      <c r="J90" s="642"/>
    </row>
    <row r="91" spans="3:10" s="637" customFormat="1" ht="12" customHeight="1" hidden="1">
      <c r="C91" s="650"/>
      <c r="D91" s="651"/>
      <c r="E91" s="654"/>
      <c r="F91" s="665"/>
      <c r="G91" s="656"/>
      <c r="H91" s="667"/>
      <c r="I91" s="655"/>
      <c r="J91" s="642"/>
    </row>
    <row r="92" spans="3:10" s="637" customFormat="1" ht="12" customHeight="1" hidden="1">
      <c r="C92" s="650"/>
      <c r="D92" s="651"/>
      <c r="E92" s="654"/>
      <c r="F92" s="665"/>
      <c r="G92" s="656"/>
      <c r="H92" s="667"/>
      <c r="I92" s="655"/>
      <c r="J92" s="642"/>
    </row>
    <row r="93" spans="3:10" s="637" customFormat="1" ht="12" customHeight="1" hidden="1">
      <c r="C93" s="650"/>
      <c r="D93" s="651"/>
      <c r="E93" s="654"/>
      <c r="F93" s="665"/>
      <c r="G93" s="656"/>
      <c r="H93" s="667"/>
      <c r="I93" s="655"/>
      <c r="J93" s="642"/>
    </row>
    <row r="94" spans="3:10" s="637" customFormat="1" ht="12" customHeight="1" hidden="1">
      <c r="C94" s="650"/>
      <c r="D94" s="651"/>
      <c r="E94" s="654"/>
      <c r="F94" s="665"/>
      <c r="G94" s="656"/>
      <c r="H94" s="667"/>
      <c r="I94" s="655"/>
      <c r="J94" s="642"/>
    </row>
    <row r="95" spans="3:10" s="637" customFormat="1" ht="12" customHeight="1" hidden="1">
      <c r="C95" s="650"/>
      <c r="D95" s="651"/>
      <c r="E95" s="654"/>
      <c r="F95" s="665"/>
      <c r="G95" s="656"/>
      <c r="H95" s="667"/>
      <c r="I95" s="655"/>
      <c r="J95" s="642"/>
    </row>
    <row r="96" spans="3:10" s="637" customFormat="1" ht="12" customHeight="1" hidden="1">
      <c r="C96" s="650"/>
      <c r="D96" s="651"/>
      <c r="E96" s="654"/>
      <c r="F96" s="665"/>
      <c r="G96" s="656"/>
      <c r="H96" s="667"/>
      <c r="I96" s="655"/>
      <c r="J96" s="642"/>
    </row>
    <row r="97" spans="3:10" s="637" customFormat="1" ht="12" customHeight="1" hidden="1">
      <c r="C97" s="650"/>
      <c r="D97" s="651"/>
      <c r="E97" s="654"/>
      <c r="F97" s="665"/>
      <c r="G97" s="656"/>
      <c r="H97" s="667"/>
      <c r="I97" s="655"/>
      <c r="J97" s="642"/>
    </row>
    <row r="98" spans="3:10" s="637" customFormat="1" ht="12" customHeight="1" hidden="1">
      <c r="C98" s="650"/>
      <c r="D98" s="651"/>
      <c r="E98" s="654"/>
      <c r="F98" s="665"/>
      <c r="G98" s="656"/>
      <c r="H98" s="667"/>
      <c r="I98" s="655"/>
      <c r="J98" s="642"/>
    </row>
    <row r="99" spans="3:10" s="637" customFormat="1" ht="12">
      <c r="C99" s="650"/>
      <c r="D99" s="656">
        <f>SUM(D86:D98)</f>
        <v>0</v>
      </c>
      <c r="E99" s="656">
        <f>SUM(E86:E98)</f>
        <v>0</v>
      </c>
      <c r="F99" s="668">
        <v>0</v>
      </c>
      <c r="G99" s="656"/>
      <c r="H99" s="667"/>
      <c r="I99" s="655"/>
      <c r="J99" s="642"/>
    </row>
    <row r="100" spans="3:10" s="637" customFormat="1" ht="12" customHeight="1">
      <c r="C100" s="650"/>
      <c r="D100" s="651"/>
      <c r="E100" s="667"/>
      <c r="F100" s="665"/>
      <c r="G100" s="656"/>
      <c r="H100" s="667"/>
      <c r="I100" s="655"/>
      <c r="J100" s="642"/>
    </row>
    <row r="101" spans="2:10" s="637" customFormat="1" ht="12">
      <c r="B101" s="644" t="s">
        <v>589</v>
      </c>
      <c r="C101" s="645" t="s">
        <v>590</v>
      </c>
      <c r="D101" s="646"/>
      <c r="E101" s="643"/>
      <c r="F101" s="647"/>
      <c r="G101" s="646"/>
      <c r="H101" s="643"/>
      <c r="I101" s="648"/>
      <c r="J101" s="642"/>
    </row>
    <row r="102" spans="2:10" s="637" customFormat="1" ht="12">
      <c r="B102" s="632"/>
      <c r="C102" s="650"/>
      <c r="D102" s="651"/>
      <c r="E102" s="652"/>
      <c r="F102" s="665"/>
      <c r="G102" s="651"/>
      <c r="H102" s="654"/>
      <c r="I102" s="655"/>
      <c r="J102" s="642"/>
    </row>
    <row r="103" spans="3:10" s="637" customFormat="1" ht="12" customHeight="1" hidden="1">
      <c r="C103" s="650"/>
      <c r="D103" s="651"/>
      <c r="E103" s="667"/>
      <c r="F103" s="665"/>
      <c r="G103" s="656"/>
      <c r="H103" s="667"/>
      <c r="I103" s="655"/>
      <c r="J103" s="642"/>
    </row>
    <row r="104" spans="3:10" s="637" customFormat="1" ht="12" customHeight="1" hidden="1">
      <c r="C104" s="650"/>
      <c r="D104" s="651"/>
      <c r="E104" s="667"/>
      <c r="F104" s="665"/>
      <c r="G104" s="656"/>
      <c r="H104" s="667"/>
      <c r="I104" s="655"/>
      <c r="J104" s="642"/>
    </row>
    <row r="105" spans="3:10" s="637" customFormat="1" ht="12" customHeight="1" hidden="1">
      <c r="C105" s="650"/>
      <c r="D105" s="651"/>
      <c r="E105" s="667"/>
      <c r="F105" s="665"/>
      <c r="G105" s="656"/>
      <c r="H105" s="667"/>
      <c r="I105" s="655"/>
      <c r="J105" s="642"/>
    </row>
    <row r="106" spans="3:10" s="637" customFormat="1" ht="12" customHeight="1" hidden="1">
      <c r="C106" s="650"/>
      <c r="D106" s="651"/>
      <c r="E106" s="667"/>
      <c r="F106" s="665"/>
      <c r="G106" s="656"/>
      <c r="H106" s="667"/>
      <c r="I106" s="655"/>
      <c r="J106" s="642"/>
    </row>
    <row r="107" spans="3:10" s="637" customFormat="1" ht="12" customHeight="1" hidden="1">
      <c r="C107" s="650"/>
      <c r="D107" s="651"/>
      <c r="E107" s="667"/>
      <c r="F107" s="665"/>
      <c r="G107" s="656"/>
      <c r="H107" s="667"/>
      <c r="I107" s="655"/>
      <c r="J107" s="642"/>
    </row>
    <row r="108" spans="3:10" s="632" customFormat="1" ht="12">
      <c r="C108" s="650"/>
      <c r="D108" s="656">
        <f>SUM(D102:D107)</f>
        <v>0</v>
      </c>
      <c r="E108" s="656">
        <f>SUM(E102:E107)</f>
        <v>0</v>
      </c>
      <c r="F108" s="668">
        <v>0</v>
      </c>
      <c r="G108" s="656"/>
      <c r="H108" s="652"/>
      <c r="I108" s="655"/>
      <c r="J108" s="642"/>
    </row>
    <row r="109" spans="3:10" s="632" customFormat="1" ht="12" customHeight="1">
      <c r="C109" s="650"/>
      <c r="D109" s="656"/>
      <c r="E109" s="652"/>
      <c r="F109" s="665"/>
      <c r="G109" s="656"/>
      <c r="H109" s="652"/>
      <c r="I109" s="655"/>
      <c r="J109" s="642"/>
    </row>
    <row r="110" spans="2:10" s="632" customFormat="1" ht="12">
      <c r="B110" s="644" t="s">
        <v>591</v>
      </c>
      <c r="C110" s="645" t="s">
        <v>821</v>
      </c>
      <c r="D110" s="646"/>
      <c r="E110" s="643"/>
      <c r="F110" s="647"/>
      <c r="G110" s="646"/>
      <c r="H110" s="643"/>
      <c r="I110" s="648"/>
      <c r="J110" s="642"/>
    </row>
    <row r="111" spans="3:10" s="632" customFormat="1" ht="12.75" customHeight="1">
      <c r="C111" s="650"/>
      <c r="D111" s="651"/>
      <c r="E111" s="654"/>
      <c r="F111" s="665"/>
      <c r="G111" s="651"/>
      <c r="H111" s="654"/>
      <c r="I111" s="655"/>
      <c r="J111" s="642"/>
    </row>
    <row r="112" spans="3:10" s="632" customFormat="1" ht="12" customHeight="1" hidden="1">
      <c r="C112" s="650"/>
      <c r="D112" s="651"/>
      <c r="E112" s="654"/>
      <c r="F112" s="665"/>
      <c r="G112" s="651"/>
      <c r="H112" s="652"/>
      <c r="I112" s="655"/>
      <c r="J112" s="642"/>
    </row>
    <row r="113" spans="3:10" s="632" customFormat="1" ht="12" customHeight="1" hidden="1">
      <c r="C113" s="650"/>
      <c r="D113" s="651"/>
      <c r="E113" s="654"/>
      <c r="F113" s="665"/>
      <c r="G113" s="651"/>
      <c r="H113" s="652"/>
      <c r="I113" s="655"/>
      <c r="J113" s="642"/>
    </row>
    <row r="114" spans="3:10" s="632" customFormat="1" ht="12" customHeight="1" hidden="1">
      <c r="C114" s="650"/>
      <c r="D114" s="651"/>
      <c r="E114" s="652"/>
      <c r="F114" s="665"/>
      <c r="G114" s="651"/>
      <c r="H114" s="652"/>
      <c r="I114" s="655"/>
      <c r="J114" s="642"/>
    </row>
    <row r="115" spans="3:10" s="632" customFormat="1" ht="12" customHeight="1" hidden="1">
      <c r="C115" s="650"/>
      <c r="D115" s="651"/>
      <c r="E115" s="652"/>
      <c r="F115" s="665"/>
      <c r="G115" s="651"/>
      <c r="H115" s="652"/>
      <c r="I115" s="655"/>
      <c r="J115" s="642"/>
    </row>
    <row r="116" spans="3:10" s="632" customFormat="1" ht="12" customHeight="1" hidden="1">
      <c r="C116" s="650"/>
      <c r="D116" s="651"/>
      <c r="E116" s="652"/>
      <c r="F116" s="665"/>
      <c r="G116" s="651"/>
      <c r="H116" s="652"/>
      <c r="I116" s="655"/>
      <c r="J116" s="642"/>
    </row>
    <row r="117" spans="3:10" s="632" customFormat="1" ht="12" customHeight="1" hidden="1">
      <c r="C117" s="650"/>
      <c r="D117" s="651"/>
      <c r="E117" s="652"/>
      <c r="F117" s="665"/>
      <c r="G117" s="651"/>
      <c r="H117" s="652"/>
      <c r="I117" s="655"/>
      <c r="J117" s="642"/>
    </row>
    <row r="118" spans="3:10" s="637" customFormat="1" ht="12">
      <c r="C118" s="666"/>
      <c r="D118" s="656">
        <f>SUM(D111:D117)</f>
        <v>0</v>
      </c>
      <c r="E118" s="656">
        <f>SUM(E111:E117)</f>
        <v>0</v>
      </c>
      <c r="F118" s="668">
        <v>0</v>
      </c>
      <c r="G118" s="656"/>
      <c r="H118" s="667"/>
      <c r="I118" s="655"/>
      <c r="J118" s="642"/>
    </row>
    <row r="119" spans="3:10" s="637" customFormat="1" ht="12">
      <c r="C119" s="638"/>
      <c r="D119" s="671"/>
      <c r="F119" s="641"/>
      <c r="G119" s="671"/>
      <c r="I119" s="641"/>
      <c r="J119" s="642"/>
    </row>
    <row r="120" spans="2:10" s="637" customFormat="1" ht="12">
      <c r="B120" s="644" t="s">
        <v>593</v>
      </c>
      <c r="C120" s="645" t="s">
        <v>594</v>
      </c>
      <c r="D120" s="646"/>
      <c r="E120" s="643"/>
      <c r="F120" s="647"/>
      <c r="G120" s="646"/>
      <c r="H120" s="643"/>
      <c r="I120" s="648"/>
      <c r="J120" s="642"/>
    </row>
    <row r="121" spans="2:10" s="637" customFormat="1" ht="12">
      <c r="B121" s="632"/>
      <c r="C121" s="650"/>
      <c r="D121" s="651"/>
      <c r="E121" s="654"/>
      <c r="F121" s="665"/>
      <c r="G121" s="651"/>
      <c r="H121" s="654"/>
      <c r="I121" s="655"/>
      <c r="J121" s="642"/>
    </row>
    <row r="122" spans="3:10" s="637" customFormat="1" ht="12" hidden="1">
      <c r="C122" s="650"/>
      <c r="D122" s="651"/>
      <c r="E122" s="654"/>
      <c r="F122" s="665"/>
      <c r="G122" s="656"/>
      <c r="H122" s="667"/>
      <c r="I122" s="655"/>
      <c r="J122" s="642"/>
    </row>
    <row r="123" spans="3:10" s="637" customFormat="1" ht="12" hidden="1">
      <c r="C123" s="650"/>
      <c r="D123" s="651"/>
      <c r="E123" s="654"/>
      <c r="F123" s="665"/>
      <c r="G123" s="656"/>
      <c r="H123" s="667"/>
      <c r="I123" s="655"/>
      <c r="J123" s="642"/>
    </row>
    <row r="124" spans="3:10" s="637" customFormat="1" ht="12" customHeight="1" hidden="1">
      <c r="C124" s="650"/>
      <c r="D124" s="651"/>
      <c r="E124" s="654"/>
      <c r="F124" s="665"/>
      <c r="G124" s="656"/>
      <c r="H124" s="667"/>
      <c r="I124" s="655"/>
      <c r="J124" s="642"/>
    </row>
    <row r="125" spans="3:10" s="637" customFormat="1" ht="12" customHeight="1" hidden="1">
      <c r="C125" s="650"/>
      <c r="D125" s="651"/>
      <c r="E125" s="654"/>
      <c r="F125" s="665"/>
      <c r="G125" s="656"/>
      <c r="H125" s="667"/>
      <c r="I125" s="655"/>
      <c r="J125" s="642"/>
    </row>
    <row r="126" spans="3:10" s="637" customFormat="1" ht="12" customHeight="1" hidden="1">
      <c r="C126" s="650"/>
      <c r="D126" s="651"/>
      <c r="E126" s="654"/>
      <c r="F126" s="665"/>
      <c r="G126" s="656"/>
      <c r="H126" s="667"/>
      <c r="I126" s="655"/>
      <c r="J126" s="642"/>
    </row>
    <row r="127" spans="3:10" s="637" customFormat="1" ht="12" customHeight="1" hidden="1">
      <c r="C127" s="650"/>
      <c r="D127" s="651"/>
      <c r="E127" s="654"/>
      <c r="F127" s="665"/>
      <c r="G127" s="656"/>
      <c r="H127" s="667"/>
      <c r="I127" s="655"/>
      <c r="J127" s="642"/>
    </row>
    <row r="128" spans="3:10" s="637" customFormat="1" ht="12">
      <c r="C128" s="666"/>
      <c r="D128" s="656">
        <f>SUM(D121:D127)</f>
        <v>0</v>
      </c>
      <c r="E128" s="656">
        <f>SUM(E121:E127)</f>
        <v>0</v>
      </c>
      <c r="F128" s="668">
        <v>0</v>
      </c>
      <c r="G128" s="656"/>
      <c r="H128" s="667"/>
      <c r="I128" s="655"/>
      <c r="J128" s="642"/>
    </row>
    <row r="129" spans="3:10" s="637" customFormat="1" ht="12" customHeight="1">
      <c r="C129" s="666"/>
      <c r="D129" s="656"/>
      <c r="E129" s="667"/>
      <c r="F129" s="665"/>
      <c r="G129" s="656"/>
      <c r="H129" s="667"/>
      <c r="I129" s="655"/>
      <c r="J129" s="642"/>
    </row>
    <row r="130" spans="2:10" s="632" customFormat="1" ht="12">
      <c r="B130" s="644" t="s">
        <v>597</v>
      </c>
      <c r="C130" s="645" t="s">
        <v>822</v>
      </c>
      <c r="D130" s="646"/>
      <c r="E130" s="643"/>
      <c r="F130" s="647"/>
      <c r="G130" s="646"/>
      <c r="H130" s="643"/>
      <c r="I130" s="648"/>
      <c r="J130" s="642"/>
    </row>
    <row r="131" spans="3:10" s="632" customFormat="1" ht="12">
      <c r="C131" s="650" t="s">
        <v>599</v>
      </c>
      <c r="D131" s="651"/>
      <c r="E131" s="652"/>
      <c r="F131" s="653"/>
      <c r="G131" s="651">
        <v>0</v>
      </c>
      <c r="H131" s="654">
        <v>244</v>
      </c>
      <c r="I131" s="655">
        <v>0</v>
      </c>
      <c r="J131" s="642" t="s">
        <v>1150</v>
      </c>
    </row>
    <row r="132" spans="3:10" s="632" customFormat="1" ht="12" customHeight="1" hidden="1">
      <c r="C132" s="650"/>
      <c r="D132" s="651"/>
      <c r="E132" s="654"/>
      <c r="F132" s="665"/>
      <c r="G132" s="651"/>
      <c r="H132" s="654"/>
      <c r="I132" s="655"/>
      <c r="J132" s="642"/>
    </row>
    <row r="133" spans="3:10" s="632" customFormat="1" ht="12" customHeight="1" hidden="1">
      <c r="C133" s="650"/>
      <c r="D133" s="651"/>
      <c r="E133" s="654"/>
      <c r="F133" s="665"/>
      <c r="G133" s="651"/>
      <c r="H133" s="654"/>
      <c r="I133" s="655"/>
      <c r="J133" s="642"/>
    </row>
    <row r="134" spans="3:10" s="632" customFormat="1" ht="12" customHeight="1" hidden="1">
      <c r="C134" s="650"/>
      <c r="D134" s="651"/>
      <c r="E134" s="654"/>
      <c r="F134" s="665"/>
      <c r="G134" s="651"/>
      <c r="H134" s="654"/>
      <c r="I134" s="655"/>
      <c r="J134" s="642"/>
    </row>
    <row r="135" spans="3:10" s="632" customFormat="1" ht="12" customHeight="1" hidden="1">
      <c r="C135" s="650"/>
      <c r="D135" s="651"/>
      <c r="E135" s="654"/>
      <c r="F135" s="665"/>
      <c r="G135" s="651"/>
      <c r="H135" s="654"/>
      <c r="I135" s="655"/>
      <c r="J135" s="642"/>
    </row>
    <row r="136" spans="3:10" s="632" customFormat="1" ht="12" customHeight="1" hidden="1">
      <c r="C136" s="650"/>
      <c r="D136" s="651"/>
      <c r="E136" s="654"/>
      <c r="F136" s="665"/>
      <c r="G136" s="651"/>
      <c r="H136" s="654"/>
      <c r="I136" s="655"/>
      <c r="J136" s="642"/>
    </row>
    <row r="137" spans="3:10" s="632" customFormat="1" ht="12">
      <c r="C137" s="650" t="s">
        <v>600</v>
      </c>
      <c r="D137" s="651"/>
      <c r="E137" s="654"/>
      <c r="F137" s="665"/>
      <c r="G137" s="651"/>
      <c r="H137" s="654"/>
      <c r="I137" s="655"/>
      <c r="J137" s="642"/>
    </row>
    <row r="138" spans="3:10" s="632" customFormat="1" ht="12" hidden="1">
      <c r="C138" s="650"/>
      <c r="D138" s="651"/>
      <c r="E138" s="654"/>
      <c r="F138" s="665"/>
      <c r="G138" s="651"/>
      <c r="H138" s="654"/>
      <c r="I138" s="655"/>
      <c r="J138" s="642"/>
    </row>
    <row r="139" spans="3:10" s="632" customFormat="1" ht="11.25" customHeight="1" hidden="1">
      <c r="C139" s="650"/>
      <c r="D139" s="651"/>
      <c r="E139" s="654"/>
      <c r="F139" s="665"/>
      <c r="G139" s="651"/>
      <c r="H139" s="654"/>
      <c r="I139" s="655"/>
      <c r="J139" s="642"/>
    </row>
    <row r="140" spans="3:10" s="632" customFormat="1" ht="12" customHeight="1" hidden="1">
      <c r="C140" s="650"/>
      <c r="D140" s="651"/>
      <c r="E140" s="654"/>
      <c r="F140" s="665"/>
      <c r="G140" s="651"/>
      <c r="H140" s="654"/>
      <c r="I140" s="655"/>
      <c r="J140" s="642"/>
    </row>
    <row r="141" spans="3:10" s="632" customFormat="1" ht="12" customHeight="1" hidden="1">
      <c r="C141" s="650"/>
      <c r="D141" s="651"/>
      <c r="E141" s="654"/>
      <c r="F141" s="665"/>
      <c r="G141" s="651"/>
      <c r="H141" s="654"/>
      <c r="I141" s="655"/>
      <c r="J141" s="642"/>
    </row>
    <row r="142" spans="3:10" s="632" customFormat="1" ht="12" customHeight="1" hidden="1">
      <c r="C142" s="650"/>
      <c r="D142" s="651"/>
      <c r="E142" s="652"/>
      <c r="F142" s="665"/>
      <c r="G142" s="651"/>
      <c r="H142" s="654"/>
      <c r="I142" s="655"/>
      <c r="J142" s="642"/>
    </row>
    <row r="143" spans="3:10" s="632" customFormat="1" ht="12" customHeight="1" hidden="1">
      <c r="C143" s="650"/>
      <c r="D143" s="651"/>
      <c r="E143" s="652"/>
      <c r="F143" s="665"/>
      <c r="G143" s="651"/>
      <c r="H143" s="652"/>
      <c r="I143" s="655"/>
      <c r="J143" s="642"/>
    </row>
    <row r="144" spans="3:10" s="637" customFormat="1" ht="12">
      <c r="C144" s="666"/>
      <c r="D144" s="656">
        <f>SUM(D137:D143)</f>
        <v>0</v>
      </c>
      <c r="E144" s="656">
        <f>SUM(E137:E143)</f>
        <v>0</v>
      </c>
      <c r="F144" s="668">
        <v>0</v>
      </c>
      <c r="G144" s="656">
        <f>SUM(G131:G143)</f>
        <v>0</v>
      </c>
      <c r="H144" s="656">
        <f>SUM(H131:H143)</f>
        <v>244</v>
      </c>
      <c r="I144" s="658">
        <v>0</v>
      </c>
      <c r="J144" s="642"/>
    </row>
    <row r="145" spans="3:10" s="637" customFormat="1" ht="12" customHeight="1">
      <c r="C145" s="666"/>
      <c r="D145" s="656"/>
      <c r="E145" s="667"/>
      <c r="F145" s="665"/>
      <c r="G145" s="656"/>
      <c r="H145" s="667"/>
      <c r="I145" s="655"/>
      <c r="J145" s="642"/>
    </row>
    <row r="146" spans="2:10" s="632" customFormat="1" ht="12">
      <c r="B146" s="644" t="s">
        <v>601</v>
      </c>
      <c r="C146" s="645" t="s">
        <v>823</v>
      </c>
      <c r="D146" s="646"/>
      <c r="E146" s="643"/>
      <c r="F146" s="647"/>
      <c r="G146" s="646"/>
      <c r="H146" s="643"/>
      <c r="I146" s="648"/>
      <c r="J146" s="642"/>
    </row>
    <row r="147" spans="3:10" s="632" customFormat="1" ht="12">
      <c r="C147" s="650" t="s">
        <v>603</v>
      </c>
      <c r="D147" s="651"/>
      <c r="E147" s="654"/>
      <c r="F147" s="665"/>
      <c r="G147" s="651">
        <v>26325</v>
      </c>
      <c r="H147" s="654">
        <v>30401</v>
      </c>
      <c r="I147" s="655">
        <f>H147/G147</f>
        <v>1.1548338081671414</v>
      </c>
      <c r="J147" s="642" t="s">
        <v>1150</v>
      </c>
    </row>
    <row r="148" spans="3:10" s="632" customFormat="1" ht="12">
      <c r="C148" s="650" t="s">
        <v>604</v>
      </c>
      <c r="D148" s="651"/>
      <c r="E148" s="861"/>
      <c r="F148" s="665"/>
      <c r="G148" s="651">
        <v>4522</v>
      </c>
      <c r="H148" s="654">
        <v>6970</v>
      </c>
      <c r="I148" s="655">
        <f>H148/G148</f>
        <v>1.5413533834586466</v>
      </c>
      <c r="J148" s="642" t="s">
        <v>1150</v>
      </c>
    </row>
    <row r="149" spans="3:10" s="632" customFormat="1" ht="12">
      <c r="C149" s="650" t="s">
        <v>605</v>
      </c>
      <c r="D149" s="651"/>
      <c r="E149" s="652"/>
      <c r="F149" s="665"/>
      <c r="G149" s="651"/>
      <c r="H149" s="654"/>
      <c r="I149" s="655"/>
      <c r="J149" s="642"/>
    </row>
    <row r="150" spans="3:10" s="637" customFormat="1" ht="12">
      <c r="C150" s="666"/>
      <c r="D150" s="656">
        <f>SUM(D147:D149)</f>
        <v>0</v>
      </c>
      <c r="E150" s="656">
        <f>SUM(E147:E149)</f>
        <v>0</v>
      </c>
      <c r="F150" s="668">
        <v>0</v>
      </c>
      <c r="G150" s="656">
        <f>SUM(G147:G149)</f>
        <v>30847</v>
      </c>
      <c r="H150" s="656">
        <f>SUM(H147:H149)</f>
        <v>37371</v>
      </c>
      <c r="I150" s="658">
        <f>H150/G150</f>
        <v>1.2114954452621</v>
      </c>
      <c r="J150" s="642"/>
    </row>
    <row r="151" spans="2:10" s="672" customFormat="1" ht="12">
      <c r="B151" s="637"/>
      <c r="C151" s="842" t="s">
        <v>824</v>
      </c>
      <c r="D151" s="673">
        <f>D99+D108+D118+D128+D144+D150</f>
        <v>0</v>
      </c>
      <c r="E151" s="673">
        <f>E99+E108+E118+E128+E144+E150</f>
        <v>0</v>
      </c>
      <c r="F151" s="674">
        <v>0</v>
      </c>
      <c r="G151" s="647"/>
      <c r="H151" s="647"/>
      <c r="I151" s="648"/>
      <c r="J151" s="641"/>
    </row>
    <row r="152" spans="2:10" s="632" customFormat="1" ht="12">
      <c r="B152" s="644" t="s">
        <v>607</v>
      </c>
      <c r="C152" s="645" t="s">
        <v>117</v>
      </c>
      <c r="D152" s="646"/>
      <c r="E152" s="643"/>
      <c r="F152" s="647"/>
      <c r="G152" s="646"/>
      <c r="H152" s="643"/>
      <c r="I152" s="648"/>
      <c r="J152" s="642"/>
    </row>
    <row r="153" spans="3:10" s="632" customFormat="1" ht="12">
      <c r="C153" s="650"/>
      <c r="D153" s="651"/>
      <c r="E153" s="652"/>
      <c r="F153" s="653"/>
      <c r="G153" s="651"/>
      <c r="H153" s="654"/>
      <c r="I153" s="655"/>
      <c r="J153" s="642"/>
    </row>
    <row r="154" spans="3:10" s="632" customFormat="1" ht="12" customHeight="1" hidden="1">
      <c r="C154" s="650"/>
      <c r="D154" s="651"/>
      <c r="E154" s="652"/>
      <c r="F154" s="665"/>
      <c r="G154" s="651"/>
      <c r="H154" s="654"/>
      <c r="I154" s="655"/>
      <c r="J154" s="642"/>
    </row>
    <row r="155" spans="3:10" s="632" customFormat="1" ht="12" hidden="1">
      <c r="C155" s="650"/>
      <c r="D155" s="651"/>
      <c r="E155" s="652"/>
      <c r="F155" s="665"/>
      <c r="G155" s="651"/>
      <c r="H155" s="654"/>
      <c r="I155" s="655"/>
      <c r="J155" s="642"/>
    </row>
    <row r="156" spans="3:10" s="632" customFormat="1" ht="12" customHeight="1" hidden="1">
      <c r="C156" s="650"/>
      <c r="D156" s="651"/>
      <c r="E156" s="652"/>
      <c r="F156" s="665"/>
      <c r="G156" s="651"/>
      <c r="H156" s="654"/>
      <c r="I156" s="655"/>
      <c r="J156" s="642"/>
    </row>
    <row r="157" spans="3:10" s="632" customFormat="1" ht="12" hidden="1">
      <c r="C157" s="650"/>
      <c r="D157" s="651"/>
      <c r="E157" s="652"/>
      <c r="F157" s="665"/>
      <c r="G157" s="651"/>
      <c r="H157" s="654"/>
      <c r="I157" s="655"/>
      <c r="J157" s="642"/>
    </row>
    <row r="158" spans="3:10" s="632" customFormat="1" ht="12" hidden="1">
      <c r="C158" s="650"/>
      <c r="D158" s="651"/>
      <c r="E158" s="652"/>
      <c r="F158" s="665"/>
      <c r="G158" s="651"/>
      <c r="H158" s="654"/>
      <c r="I158" s="655"/>
      <c r="J158" s="642"/>
    </row>
    <row r="159" spans="3:10" s="632" customFormat="1" ht="12" customHeight="1" hidden="1">
      <c r="C159" s="862"/>
      <c r="D159" s="651"/>
      <c r="E159" s="652"/>
      <c r="F159" s="665"/>
      <c r="G159" s="651"/>
      <c r="H159" s="654"/>
      <c r="I159" s="655"/>
      <c r="J159" s="642"/>
    </row>
    <row r="160" spans="3:10" s="632" customFormat="1" ht="12" customHeight="1" hidden="1">
      <c r="C160" s="862"/>
      <c r="D160" s="651"/>
      <c r="E160" s="652"/>
      <c r="F160" s="665"/>
      <c r="G160" s="651"/>
      <c r="H160" s="654"/>
      <c r="I160" s="655"/>
      <c r="J160" s="642"/>
    </row>
    <row r="161" spans="3:10" s="632" customFormat="1" ht="12" customHeight="1" hidden="1">
      <c r="C161" s="650"/>
      <c r="D161" s="651"/>
      <c r="E161" s="652"/>
      <c r="F161" s="665"/>
      <c r="G161" s="651"/>
      <c r="H161" s="654"/>
      <c r="I161" s="655"/>
      <c r="J161" s="642"/>
    </row>
    <row r="162" spans="3:10" s="637" customFormat="1" ht="12">
      <c r="C162" s="666"/>
      <c r="D162" s="656"/>
      <c r="E162" s="667"/>
      <c r="F162" s="665"/>
      <c r="G162" s="656">
        <f>SUM(G153:G161)</f>
        <v>0</v>
      </c>
      <c r="H162" s="656">
        <f>SUM(H153:H161)</f>
        <v>0</v>
      </c>
      <c r="I162" s="658">
        <v>0</v>
      </c>
      <c r="J162" s="642"/>
    </row>
    <row r="163" spans="3:10" s="637" customFormat="1" ht="12" customHeight="1">
      <c r="C163" s="666"/>
      <c r="D163" s="656"/>
      <c r="E163" s="667"/>
      <c r="F163" s="665"/>
      <c r="G163" s="656"/>
      <c r="H163" s="667"/>
      <c r="I163" s="655"/>
      <c r="J163" s="642"/>
    </row>
    <row r="164" spans="2:10" s="637" customFormat="1" ht="11.25" customHeight="1">
      <c r="B164" s="644" t="s">
        <v>614</v>
      </c>
      <c r="C164" s="645" t="s">
        <v>825</v>
      </c>
      <c r="D164" s="646"/>
      <c r="E164" s="643"/>
      <c r="F164" s="647"/>
      <c r="G164" s="646"/>
      <c r="H164" s="643"/>
      <c r="I164" s="648"/>
      <c r="J164" s="642"/>
    </row>
    <row r="165" spans="2:10" s="637" customFormat="1" ht="11.25" customHeight="1">
      <c r="B165" s="632"/>
      <c r="C165" s="650"/>
      <c r="D165" s="651"/>
      <c r="E165" s="652"/>
      <c r="F165" s="653"/>
      <c r="G165" s="656"/>
      <c r="H165" s="657"/>
      <c r="I165" s="658"/>
      <c r="J165" s="642"/>
    </row>
    <row r="166" spans="3:10" s="637" customFormat="1" ht="11.25" customHeight="1" hidden="1">
      <c r="C166" s="650"/>
      <c r="D166" s="656"/>
      <c r="E166" s="667"/>
      <c r="F166" s="665"/>
      <c r="G166" s="656"/>
      <c r="H166" s="657"/>
      <c r="I166" s="658"/>
      <c r="J166" s="642"/>
    </row>
    <row r="167" spans="3:10" s="637" customFormat="1" ht="11.25" customHeight="1">
      <c r="C167" s="666"/>
      <c r="D167" s="656"/>
      <c r="E167" s="667"/>
      <c r="F167" s="665"/>
      <c r="G167" s="656">
        <f>SUM(G165:G166)</f>
        <v>0</v>
      </c>
      <c r="H167" s="656">
        <f>SUM(H165:H166)</f>
        <v>0</v>
      </c>
      <c r="I167" s="658">
        <v>0</v>
      </c>
      <c r="J167" s="642"/>
    </row>
    <row r="168" spans="3:10" s="637" customFormat="1" ht="11.25" customHeight="1">
      <c r="C168" s="645"/>
      <c r="D168" s="646"/>
      <c r="E168" s="644"/>
      <c r="F168" s="648"/>
      <c r="G168" s="646"/>
      <c r="H168" s="646"/>
      <c r="I168" s="859"/>
      <c r="J168" s="642"/>
    </row>
    <row r="169" spans="2:10" s="637" customFormat="1" ht="11.25" customHeight="1">
      <c r="B169" s="644" t="s">
        <v>618</v>
      </c>
      <c r="C169" s="645" t="s">
        <v>779</v>
      </c>
      <c r="D169" s="646"/>
      <c r="E169" s="643"/>
      <c r="F169" s="647"/>
      <c r="G169" s="646"/>
      <c r="H169" s="643"/>
      <c r="I169" s="648"/>
      <c r="J169" s="642"/>
    </row>
    <row r="170" spans="3:10" s="637" customFormat="1" ht="11.25" customHeight="1">
      <c r="C170" s="650"/>
      <c r="D170" s="651"/>
      <c r="E170" s="652"/>
      <c r="F170" s="653"/>
      <c r="G170" s="651"/>
      <c r="H170" s="654"/>
      <c r="I170" s="655"/>
      <c r="J170" s="642"/>
    </row>
    <row r="171" spans="2:10" s="637" customFormat="1" ht="11.25" customHeight="1" hidden="1">
      <c r="B171" s="632"/>
      <c r="C171" s="650"/>
      <c r="D171" s="651"/>
      <c r="E171" s="667"/>
      <c r="F171" s="665"/>
      <c r="G171" s="651"/>
      <c r="H171" s="654"/>
      <c r="I171" s="655"/>
      <c r="J171" s="642"/>
    </row>
    <row r="172" spans="3:10" s="637" customFormat="1" ht="11.25" customHeight="1" hidden="1">
      <c r="C172" s="650"/>
      <c r="D172" s="651"/>
      <c r="E172" s="667"/>
      <c r="F172" s="665"/>
      <c r="G172" s="651"/>
      <c r="H172" s="654"/>
      <c r="I172" s="655"/>
      <c r="J172" s="642"/>
    </row>
    <row r="173" spans="3:10" s="637" customFormat="1" ht="11.25" customHeight="1" hidden="1">
      <c r="C173" s="650"/>
      <c r="D173" s="651"/>
      <c r="E173" s="667"/>
      <c r="F173" s="665"/>
      <c r="G173" s="651"/>
      <c r="H173" s="654"/>
      <c r="I173" s="655"/>
      <c r="J173" s="642"/>
    </row>
    <row r="174" spans="3:10" s="637" customFormat="1" ht="11.25" customHeight="1" hidden="1">
      <c r="C174" s="650"/>
      <c r="D174" s="651"/>
      <c r="E174" s="667"/>
      <c r="F174" s="665"/>
      <c r="G174" s="651"/>
      <c r="H174" s="654"/>
      <c r="I174" s="655"/>
      <c r="J174" s="642"/>
    </row>
    <row r="175" spans="3:10" s="637" customFormat="1" ht="11.25" customHeight="1" hidden="1">
      <c r="C175" s="650"/>
      <c r="D175" s="651"/>
      <c r="E175" s="667"/>
      <c r="F175" s="665"/>
      <c r="G175" s="651"/>
      <c r="H175" s="654"/>
      <c r="I175" s="655"/>
      <c r="J175" s="642"/>
    </row>
    <row r="176" spans="3:10" s="637" customFormat="1" ht="11.25" customHeight="1" hidden="1">
      <c r="C176" s="650"/>
      <c r="D176" s="651"/>
      <c r="E176" s="667"/>
      <c r="F176" s="665"/>
      <c r="G176" s="651"/>
      <c r="H176" s="654"/>
      <c r="I176" s="655"/>
      <c r="J176" s="642"/>
    </row>
    <row r="177" spans="3:10" s="637" customFormat="1" ht="11.25" customHeight="1" hidden="1">
      <c r="C177" s="650"/>
      <c r="D177" s="651"/>
      <c r="E177" s="667"/>
      <c r="F177" s="665"/>
      <c r="G177" s="651"/>
      <c r="H177" s="654"/>
      <c r="I177" s="655"/>
      <c r="J177" s="642"/>
    </row>
    <row r="178" spans="3:10" s="637" customFormat="1" ht="11.25" customHeight="1" hidden="1">
      <c r="C178" s="650"/>
      <c r="D178" s="651"/>
      <c r="E178" s="667"/>
      <c r="F178" s="665"/>
      <c r="G178" s="651"/>
      <c r="H178" s="654"/>
      <c r="I178" s="655"/>
      <c r="J178" s="642"/>
    </row>
    <row r="179" spans="3:10" s="637" customFormat="1" ht="11.25" customHeight="1">
      <c r="C179" s="650"/>
      <c r="D179" s="656"/>
      <c r="E179" s="667"/>
      <c r="F179" s="665"/>
      <c r="G179" s="656">
        <f>SUM(G170:G178)</f>
        <v>0</v>
      </c>
      <c r="H179" s="656">
        <f>SUM(H170:H178)</f>
        <v>0</v>
      </c>
      <c r="I179" s="658">
        <v>0</v>
      </c>
      <c r="J179" s="642"/>
    </row>
    <row r="180" spans="3:10" s="637" customFormat="1" ht="11.25" customHeight="1">
      <c r="C180" s="666"/>
      <c r="D180" s="676"/>
      <c r="E180" s="667"/>
      <c r="F180" s="665"/>
      <c r="G180" s="677"/>
      <c r="H180" s="667"/>
      <c r="I180" s="655"/>
      <c r="J180" s="642"/>
    </row>
    <row r="181" spans="3:10" s="637" customFormat="1" ht="11.25" customHeight="1">
      <c r="C181" s="645"/>
      <c r="D181" s="646"/>
      <c r="E181" s="643"/>
      <c r="F181" s="647"/>
      <c r="G181" s="646"/>
      <c r="H181" s="643"/>
      <c r="I181" s="648"/>
      <c r="J181" s="642"/>
    </row>
    <row r="182" spans="2:10" s="637" customFormat="1" ht="11.25" customHeight="1">
      <c r="B182" s="644" t="s">
        <v>628</v>
      </c>
      <c r="C182" s="645" t="s">
        <v>629</v>
      </c>
      <c r="D182" s="646"/>
      <c r="E182" s="643"/>
      <c r="F182" s="647"/>
      <c r="G182" s="646"/>
      <c r="H182" s="643"/>
      <c r="I182" s="648"/>
      <c r="J182" s="642"/>
    </row>
    <row r="183" spans="3:10" s="637" customFormat="1" ht="11.25" customHeight="1">
      <c r="C183" s="650"/>
      <c r="D183" s="651"/>
      <c r="E183" s="652"/>
      <c r="F183" s="653"/>
      <c r="G183" s="651"/>
      <c r="H183" s="654"/>
      <c r="I183" s="655"/>
      <c r="J183" s="642"/>
    </row>
    <row r="184" spans="2:10" s="637" customFormat="1" ht="11.25" customHeight="1" hidden="1">
      <c r="B184" s="632"/>
      <c r="C184" s="659"/>
      <c r="D184" s="651"/>
      <c r="E184" s="654"/>
      <c r="F184" s="665"/>
      <c r="G184" s="651"/>
      <c r="H184" s="654"/>
      <c r="I184" s="655"/>
      <c r="J184" s="642"/>
    </row>
    <row r="185" spans="3:10" s="637" customFormat="1" ht="11.25" customHeight="1" hidden="1">
      <c r="C185" s="659"/>
      <c r="D185" s="651"/>
      <c r="E185" s="654"/>
      <c r="F185" s="665"/>
      <c r="G185" s="651"/>
      <c r="H185" s="654"/>
      <c r="I185" s="655"/>
      <c r="J185" s="642"/>
    </row>
    <row r="186" spans="3:10" s="637" customFormat="1" ht="11.25" customHeight="1" hidden="1">
      <c r="C186" s="659"/>
      <c r="D186" s="651"/>
      <c r="E186" s="654"/>
      <c r="F186" s="665"/>
      <c r="G186" s="651"/>
      <c r="H186" s="654"/>
      <c r="I186" s="655"/>
      <c r="J186" s="642"/>
    </row>
    <row r="187" spans="3:10" s="637" customFormat="1" ht="11.25" customHeight="1" hidden="1">
      <c r="C187" s="650"/>
      <c r="D187" s="651"/>
      <c r="E187" s="654"/>
      <c r="F187" s="665"/>
      <c r="G187" s="651"/>
      <c r="H187" s="654"/>
      <c r="I187" s="655"/>
      <c r="J187" s="642"/>
    </row>
    <row r="188" spans="3:10" s="637" customFormat="1" ht="11.25" customHeight="1" hidden="1">
      <c r="C188" s="650"/>
      <c r="D188" s="651"/>
      <c r="E188" s="654"/>
      <c r="F188" s="665"/>
      <c r="G188" s="651"/>
      <c r="H188" s="654"/>
      <c r="I188" s="655"/>
      <c r="J188" s="642"/>
    </row>
    <row r="189" spans="3:10" s="637" customFormat="1" ht="11.25" customHeight="1" hidden="1">
      <c r="C189" s="650"/>
      <c r="D189" s="651"/>
      <c r="E189" s="654"/>
      <c r="F189" s="665"/>
      <c r="G189" s="651"/>
      <c r="H189" s="654"/>
      <c r="I189" s="655"/>
      <c r="J189" s="642"/>
    </row>
    <row r="190" spans="3:10" s="637" customFormat="1" ht="11.25" customHeight="1" hidden="1">
      <c r="C190" s="650"/>
      <c r="D190" s="651"/>
      <c r="E190" s="654"/>
      <c r="F190" s="665"/>
      <c r="G190" s="651"/>
      <c r="H190" s="654"/>
      <c r="I190" s="655"/>
      <c r="J190" s="642"/>
    </row>
    <row r="191" spans="2:10" s="637" customFormat="1" ht="11.25" customHeight="1" hidden="1">
      <c r="B191" s="644"/>
      <c r="C191" s="666"/>
      <c r="D191" s="651"/>
      <c r="E191" s="654"/>
      <c r="F191" s="665"/>
      <c r="G191" s="651"/>
      <c r="H191" s="654"/>
      <c r="I191" s="655"/>
      <c r="J191" s="642"/>
    </row>
    <row r="192" spans="2:10" s="637" customFormat="1" ht="11.25" customHeight="1" hidden="1">
      <c r="B192" s="632"/>
      <c r="C192" s="675"/>
      <c r="D192" s="651"/>
      <c r="E192" s="654"/>
      <c r="F192" s="665"/>
      <c r="G192" s="651"/>
      <c r="H192" s="654"/>
      <c r="I192" s="655"/>
      <c r="J192" s="642"/>
    </row>
    <row r="193" spans="3:10" s="637" customFormat="1" ht="11.25" customHeight="1" hidden="1">
      <c r="C193" s="683"/>
      <c r="D193" s="651"/>
      <c r="E193" s="654"/>
      <c r="F193" s="665"/>
      <c r="G193" s="651"/>
      <c r="H193" s="667"/>
      <c r="I193" s="684"/>
      <c r="J193" s="642"/>
    </row>
    <row r="194" spans="3:10" s="637" customFormat="1" ht="11.25" customHeight="1" hidden="1">
      <c r="C194" s="675"/>
      <c r="D194" s="651"/>
      <c r="E194" s="654"/>
      <c r="F194" s="665"/>
      <c r="G194" s="651"/>
      <c r="H194" s="667"/>
      <c r="I194" s="655"/>
      <c r="J194" s="642"/>
    </row>
    <row r="195" spans="3:10" s="637" customFormat="1" ht="11.25" customHeight="1" hidden="1">
      <c r="C195" s="675"/>
      <c r="D195" s="651"/>
      <c r="E195" s="654"/>
      <c r="F195" s="665"/>
      <c r="G195" s="651"/>
      <c r="H195" s="667"/>
      <c r="I195" s="655"/>
      <c r="J195" s="642"/>
    </row>
    <row r="196" spans="3:10" s="637" customFormat="1" ht="11.25" customHeight="1" hidden="1">
      <c r="C196" s="675"/>
      <c r="D196" s="651"/>
      <c r="E196" s="654"/>
      <c r="F196" s="665"/>
      <c r="G196" s="651"/>
      <c r="H196" s="667"/>
      <c r="I196" s="655"/>
      <c r="J196" s="642"/>
    </row>
    <row r="197" spans="3:10" s="637" customFormat="1" ht="11.25" customHeight="1" hidden="1">
      <c r="C197" s="675"/>
      <c r="D197" s="651"/>
      <c r="E197" s="654"/>
      <c r="F197" s="665"/>
      <c r="G197" s="651"/>
      <c r="H197" s="667"/>
      <c r="I197" s="655"/>
      <c r="J197" s="642"/>
    </row>
    <row r="198" spans="3:10" s="637" customFormat="1" ht="11.25" customHeight="1" hidden="1">
      <c r="C198" s="675"/>
      <c r="D198" s="651"/>
      <c r="E198" s="654"/>
      <c r="F198" s="665"/>
      <c r="G198" s="651"/>
      <c r="H198" s="667"/>
      <c r="I198" s="655"/>
      <c r="J198" s="642"/>
    </row>
    <row r="199" spans="3:10" s="637" customFormat="1" ht="11.25" customHeight="1" hidden="1">
      <c r="C199" s="675"/>
      <c r="D199" s="651"/>
      <c r="E199" s="654"/>
      <c r="F199" s="665"/>
      <c r="G199" s="651"/>
      <c r="H199" s="667"/>
      <c r="I199" s="655"/>
      <c r="J199" s="642"/>
    </row>
    <row r="200" spans="3:10" s="637" customFormat="1" ht="11.25" customHeight="1" hidden="1">
      <c r="C200" s="675"/>
      <c r="D200" s="651"/>
      <c r="E200" s="654"/>
      <c r="F200" s="665"/>
      <c r="G200" s="651"/>
      <c r="H200" s="667"/>
      <c r="I200" s="655"/>
      <c r="J200" s="642"/>
    </row>
    <row r="201" spans="3:10" s="637" customFormat="1" ht="11.25" customHeight="1" hidden="1">
      <c r="C201" s="675"/>
      <c r="D201" s="651"/>
      <c r="E201" s="654"/>
      <c r="F201" s="665"/>
      <c r="G201" s="651"/>
      <c r="H201" s="667"/>
      <c r="I201" s="655"/>
      <c r="J201" s="642"/>
    </row>
    <row r="202" spans="3:10" s="637" customFormat="1" ht="11.25" customHeight="1" hidden="1">
      <c r="C202" s="675"/>
      <c r="D202" s="651"/>
      <c r="E202" s="654"/>
      <c r="F202" s="665"/>
      <c r="G202" s="651"/>
      <c r="H202" s="667"/>
      <c r="I202" s="655"/>
      <c r="J202" s="642"/>
    </row>
    <row r="203" spans="3:9" s="637" customFormat="1" ht="11.25" customHeight="1" hidden="1">
      <c r="C203" s="675"/>
      <c r="D203" s="651"/>
      <c r="E203" s="654"/>
      <c r="F203" s="665"/>
      <c r="G203" s="651"/>
      <c r="H203" s="667"/>
      <c r="I203" s="655"/>
    </row>
    <row r="204" spans="3:10" s="637" customFormat="1" ht="11.25" customHeight="1" hidden="1">
      <c r="C204" s="675"/>
      <c r="D204" s="651"/>
      <c r="E204" s="654"/>
      <c r="F204" s="665"/>
      <c r="G204" s="651"/>
      <c r="H204" s="667"/>
      <c r="I204" s="655"/>
      <c r="J204" s="642"/>
    </row>
    <row r="205" spans="3:10" s="637" customFormat="1" ht="11.25" customHeight="1" hidden="1">
      <c r="C205" s="675"/>
      <c r="D205" s="651"/>
      <c r="E205" s="654"/>
      <c r="F205" s="665"/>
      <c r="G205" s="651"/>
      <c r="H205" s="667"/>
      <c r="I205" s="655"/>
      <c r="J205" s="642"/>
    </row>
    <row r="206" spans="3:10" s="637" customFormat="1" ht="11.25" customHeight="1" hidden="1">
      <c r="C206" s="650"/>
      <c r="D206" s="651"/>
      <c r="E206" s="654"/>
      <c r="F206" s="665"/>
      <c r="G206" s="651"/>
      <c r="H206" s="667"/>
      <c r="I206" s="655"/>
      <c r="J206" s="642"/>
    </row>
    <row r="207" spans="3:10" s="637" customFormat="1" ht="11.25" customHeight="1" hidden="1">
      <c r="C207" s="650"/>
      <c r="D207" s="651"/>
      <c r="E207" s="654"/>
      <c r="F207" s="665"/>
      <c r="G207" s="651"/>
      <c r="H207" s="667"/>
      <c r="I207" s="655"/>
      <c r="J207" s="642"/>
    </row>
    <row r="208" spans="3:10" s="637" customFormat="1" ht="11.25" customHeight="1" hidden="1">
      <c r="C208" s="650"/>
      <c r="D208" s="651"/>
      <c r="E208" s="654"/>
      <c r="F208" s="665"/>
      <c r="G208" s="651"/>
      <c r="H208" s="667"/>
      <c r="I208" s="655"/>
      <c r="J208" s="642"/>
    </row>
    <row r="209" spans="3:10" s="637" customFormat="1" ht="11.25" customHeight="1" hidden="1">
      <c r="C209" s="650"/>
      <c r="D209" s="651"/>
      <c r="E209" s="654"/>
      <c r="F209" s="665"/>
      <c r="G209" s="651"/>
      <c r="H209" s="667"/>
      <c r="I209" s="655"/>
      <c r="J209" s="642"/>
    </row>
    <row r="210" spans="3:10" s="637" customFormat="1" ht="11.25" customHeight="1" hidden="1">
      <c r="C210" s="650"/>
      <c r="D210" s="651"/>
      <c r="E210" s="654"/>
      <c r="F210" s="665"/>
      <c r="G210" s="651"/>
      <c r="H210" s="667"/>
      <c r="I210" s="655"/>
      <c r="J210" s="642"/>
    </row>
    <row r="211" spans="3:10" s="637" customFormat="1" ht="11.25" customHeight="1" hidden="1">
      <c r="C211" s="650"/>
      <c r="D211" s="651"/>
      <c r="E211" s="654"/>
      <c r="F211" s="665"/>
      <c r="G211" s="651"/>
      <c r="H211" s="667"/>
      <c r="I211" s="655"/>
      <c r="J211" s="642"/>
    </row>
    <row r="212" spans="3:10" s="637" customFormat="1" ht="11.25" customHeight="1" hidden="1">
      <c r="C212" s="650"/>
      <c r="D212" s="651"/>
      <c r="E212" s="654"/>
      <c r="F212" s="665"/>
      <c r="G212" s="651"/>
      <c r="H212" s="667"/>
      <c r="I212" s="655"/>
      <c r="J212" s="642"/>
    </row>
    <row r="213" spans="3:10" s="637" customFormat="1" ht="11.25" customHeight="1" hidden="1">
      <c r="C213" s="650"/>
      <c r="D213" s="651"/>
      <c r="E213" s="654"/>
      <c r="F213" s="665"/>
      <c r="G213" s="651"/>
      <c r="H213" s="667"/>
      <c r="I213" s="655"/>
      <c r="J213" s="642"/>
    </row>
    <row r="214" spans="3:10" s="637" customFormat="1" ht="11.25" customHeight="1" hidden="1">
      <c r="C214" s="650"/>
      <c r="D214" s="651"/>
      <c r="E214" s="654"/>
      <c r="F214" s="665"/>
      <c r="G214" s="651"/>
      <c r="H214" s="667"/>
      <c r="I214" s="655"/>
      <c r="J214" s="642"/>
    </row>
    <row r="215" spans="3:10" s="637" customFormat="1" ht="11.25" customHeight="1" hidden="1">
      <c r="C215" s="650"/>
      <c r="D215" s="651"/>
      <c r="E215" s="654"/>
      <c r="F215" s="665"/>
      <c r="G215" s="651"/>
      <c r="H215" s="667"/>
      <c r="I215" s="655"/>
      <c r="J215" s="642"/>
    </row>
    <row r="216" spans="3:10" s="637" customFormat="1" ht="11.25" customHeight="1" hidden="1">
      <c r="C216" s="650"/>
      <c r="D216" s="651"/>
      <c r="E216" s="654"/>
      <c r="F216" s="665"/>
      <c r="G216" s="651"/>
      <c r="H216" s="667"/>
      <c r="I216" s="655"/>
      <c r="J216" s="642"/>
    </row>
    <row r="217" spans="3:10" s="637" customFormat="1" ht="11.25" customHeight="1" hidden="1">
      <c r="C217" s="650"/>
      <c r="D217" s="651"/>
      <c r="E217" s="654"/>
      <c r="F217" s="665"/>
      <c r="G217" s="651"/>
      <c r="H217" s="667"/>
      <c r="I217" s="655"/>
      <c r="J217" s="642"/>
    </row>
    <row r="218" spans="3:10" s="637" customFormat="1" ht="11.25" customHeight="1" hidden="1">
      <c r="C218" s="650"/>
      <c r="D218" s="651"/>
      <c r="E218" s="654"/>
      <c r="F218" s="665"/>
      <c r="G218" s="651"/>
      <c r="H218" s="667"/>
      <c r="I218" s="655"/>
      <c r="J218" s="642"/>
    </row>
    <row r="219" spans="3:10" s="637" customFormat="1" ht="11.25" customHeight="1" hidden="1">
      <c r="C219" s="650"/>
      <c r="D219" s="651"/>
      <c r="E219" s="654"/>
      <c r="F219" s="665"/>
      <c r="G219" s="651"/>
      <c r="H219" s="667"/>
      <c r="I219" s="655"/>
      <c r="J219" s="642"/>
    </row>
    <row r="220" spans="3:10" s="637" customFormat="1" ht="11.25" customHeight="1" hidden="1">
      <c r="C220" s="650"/>
      <c r="D220" s="651"/>
      <c r="E220" s="654"/>
      <c r="F220" s="665"/>
      <c r="G220" s="651"/>
      <c r="H220" s="667"/>
      <c r="I220" s="655"/>
      <c r="J220" s="642"/>
    </row>
    <row r="221" spans="3:10" s="637" customFormat="1" ht="11.25" customHeight="1" hidden="1">
      <c r="C221" s="650"/>
      <c r="D221" s="651"/>
      <c r="E221" s="654"/>
      <c r="F221" s="665"/>
      <c r="G221" s="651"/>
      <c r="H221" s="667"/>
      <c r="I221" s="655"/>
      <c r="J221" s="642"/>
    </row>
    <row r="222" spans="3:10" s="637" customFormat="1" ht="11.25" customHeight="1" hidden="1">
      <c r="C222" s="682"/>
      <c r="D222" s="679"/>
      <c r="E222" s="680"/>
      <c r="F222" s="681"/>
      <c r="G222" s="651"/>
      <c r="H222" s="667"/>
      <c r="I222" s="655"/>
      <c r="J222" s="642"/>
    </row>
    <row r="223" spans="3:10" s="637" customFormat="1" ht="11.25" customHeight="1" hidden="1">
      <c r="C223" s="650"/>
      <c r="D223" s="651"/>
      <c r="E223" s="654"/>
      <c r="F223" s="665"/>
      <c r="G223" s="651"/>
      <c r="H223" s="667"/>
      <c r="I223" s="655"/>
      <c r="J223" s="642"/>
    </row>
    <row r="224" spans="3:10" s="637" customFormat="1" ht="11.25" customHeight="1" hidden="1">
      <c r="C224" s="683"/>
      <c r="D224" s="651"/>
      <c r="E224" s="667"/>
      <c r="F224" s="665"/>
      <c r="G224" s="651"/>
      <c r="H224" s="667"/>
      <c r="I224" s="684"/>
      <c r="J224" s="642"/>
    </row>
    <row r="225" spans="3:10" s="637" customFormat="1" ht="11.25" customHeight="1" hidden="1">
      <c r="C225" s="683"/>
      <c r="D225" s="651"/>
      <c r="E225" s="667"/>
      <c r="F225" s="665"/>
      <c r="G225" s="651"/>
      <c r="H225" s="667"/>
      <c r="I225" s="684"/>
      <c r="J225" s="642"/>
    </row>
    <row r="226" spans="3:10" s="637" customFormat="1" ht="11.25" customHeight="1" hidden="1">
      <c r="C226" s="683"/>
      <c r="D226" s="651"/>
      <c r="E226" s="667"/>
      <c r="F226" s="665"/>
      <c r="G226" s="651"/>
      <c r="H226" s="667"/>
      <c r="I226" s="684"/>
      <c r="J226" s="642"/>
    </row>
    <row r="227" spans="3:10" s="637" customFormat="1" ht="11.25" customHeight="1" hidden="1">
      <c r="C227" s="683"/>
      <c r="D227" s="651"/>
      <c r="E227" s="667"/>
      <c r="F227" s="665"/>
      <c r="G227" s="651"/>
      <c r="H227" s="667"/>
      <c r="I227" s="684"/>
      <c r="J227" s="642"/>
    </row>
    <row r="228" spans="3:10" s="637" customFormat="1" ht="11.25" customHeight="1" hidden="1">
      <c r="C228" s="683"/>
      <c r="D228" s="651"/>
      <c r="E228" s="667"/>
      <c r="F228" s="665"/>
      <c r="G228" s="651"/>
      <c r="H228" s="667"/>
      <c r="I228" s="684"/>
      <c r="J228" s="642"/>
    </row>
    <row r="229" spans="3:10" s="637" customFormat="1" ht="11.25" customHeight="1" hidden="1">
      <c r="C229" s="683"/>
      <c r="D229" s="651"/>
      <c r="E229" s="667"/>
      <c r="F229" s="665"/>
      <c r="G229" s="651"/>
      <c r="H229" s="667"/>
      <c r="I229" s="684"/>
      <c r="J229" s="642"/>
    </row>
    <row r="230" spans="3:10" s="637" customFormat="1" ht="11.25" customHeight="1" hidden="1">
      <c r="C230" s="683"/>
      <c r="D230" s="651"/>
      <c r="E230" s="667"/>
      <c r="F230" s="665"/>
      <c r="G230" s="651"/>
      <c r="H230" s="667"/>
      <c r="I230" s="684"/>
      <c r="J230" s="642"/>
    </row>
    <row r="231" spans="3:10" s="637" customFormat="1" ht="11.25" customHeight="1" hidden="1">
      <c r="C231" s="650"/>
      <c r="D231" s="651"/>
      <c r="E231" s="654"/>
      <c r="F231" s="665"/>
      <c r="G231" s="651"/>
      <c r="H231" s="667"/>
      <c r="I231" s="655"/>
      <c r="J231" s="642"/>
    </row>
    <row r="232" spans="3:10" s="637" customFormat="1" ht="23.25" customHeight="1" hidden="1">
      <c r="C232" s="650"/>
      <c r="D232" s="651"/>
      <c r="E232" s="654"/>
      <c r="F232" s="665"/>
      <c r="G232" s="651"/>
      <c r="H232" s="667"/>
      <c r="I232" s="655"/>
      <c r="J232" s="642"/>
    </row>
    <row r="233" spans="3:10" s="637" customFormat="1" ht="11.25" customHeight="1" hidden="1">
      <c r="C233" s="650"/>
      <c r="D233" s="651"/>
      <c r="E233" s="654"/>
      <c r="F233" s="665"/>
      <c r="G233" s="651"/>
      <c r="H233" s="667"/>
      <c r="I233" s="655"/>
      <c r="J233" s="642"/>
    </row>
    <row r="234" spans="3:9" s="637" customFormat="1" ht="11.25" customHeight="1" hidden="1">
      <c r="C234" s="650"/>
      <c r="D234" s="651"/>
      <c r="E234" s="654"/>
      <c r="F234" s="665"/>
      <c r="G234" s="651"/>
      <c r="H234" s="667"/>
      <c r="I234" s="655"/>
    </row>
    <row r="235" spans="3:9" s="637" customFormat="1" ht="11.25" customHeight="1">
      <c r="C235" s="650"/>
      <c r="D235" s="656">
        <f>SUM(D183:D234)</f>
        <v>0</v>
      </c>
      <c r="E235" s="656">
        <f>SUM(E183:E234)</f>
        <v>0</v>
      </c>
      <c r="F235" s="668">
        <v>0</v>
      </c>
      <c r="G235" s="656">
        <f>SUM(G183:G234)</f>
        <v>0</v>
      </c>
      <c r="H235" s="656">
        <f>SUM(H183:H234)</f>
        <v>0</v>
      </c>
      <c r="I235" s="658">
        <v>0</v>
      </c>
    </row>
    <row r="236" spans="3:10" s="637" customFormat="1" ht="11.25" customHeight="1">
      <c r="C236" s="645"/>
      <c r="D236" s="646"/>
      <c r="E236" s="643"/>
      <c r="F236" s="647"/>
      <c r="G236" s="646"/>
      <c r="H236" s="643"/>
      <c r="I236" s="648"/>
      <c r="J236" s="642"/>
    </row>
    <row r="237" spans="2:9" s="637" customFormat="1" ht="11.25" customHeight="1">
      <c r="B237" s="637" t="s">
        <v>632</v>
      </c>
      <c r="C237" s="645" t="s">
        <v>472</v>
      </c>
      <c r="D237" s="685"/>
      <c r="E237" s="643"/>
      <c r="F237" s="648"/>
      <c r="G237" s="685"/>
      <c r="H237" s="643"/>
      <c r="I237" s="648"/>
    </row>
    <row r="238" spans="3:9" s="637" customFormat="1" ht="11.25" customHeight="1">
      <c r="C238" s="650" t="s">
        <v>762</v>
      </c>
      <c r="D238" s="651"/>
      <c r="E238" s="652"/>
      <c r="F238" s="665"/>
      <c r="G238" s="651">
        <v>4500</v>
      </c>
      <c r="H238" s="654">
        <v>0</v>
      </c>
      <c r="I238" s="655">
        <f>H238/G238</f>
        <v>0</v>
      </c>
    </row>
    <row r="239" spans="3:9" s="637" customFormat="1" ht="11.25" customHeight="1">
      <c r="C239" s="650"/>
      <c r="D239" s="651"/>
      <c r="E239" s="652"/>
      <c r="F239" s="665"/>
      <c r="G239" s="651"/>
      <c r="H239" s="654"/>
      <c r="I239" s="655">
        <v>0</v>
      </c>
    </row>
    <row r="240" spans="3:9" s="637" customFormat="1" ht="12" customHeight="1" hidden="1">
      <c r="C240" s="650"/>
      <c r="D240" s="651"/>
      <c r="E240" s="652"/>
      <c r="F240" s="665"/>
      <c r="G240" s="651"/>
      <c r="H240" s="652"/>
      <c r="I240" s="655"/>
    </row>
    <row r="241" spans="3:10" s="637" customFormat="1" ht="11.25" customHeight="1" hidden="1">
      <c r="C241" s="650"/>
      <c r="D241" s="651"/>
      <c r="E241" s="652"/>
      <c r="F241" s="665"/>
      <c r="G241" s="651"/>
      <c r="H241" s="654"/>
      <c r="I241" s="655"/>
      <c r="J241" s="642"/>
    </row>
    <row r="242" spans="3:10" s="637" customFormat="1" ht="11.25" customHeight="1" hidden="1">
      <c r="C242" s="678"/>
      <c r="D242" s="651"/>
      <c r="E242" s="652"/>
      <c r="F242" s="665"/>
      <c r="G242" s="651"/>
      <c r="H242" s="863"/>
      <c r="I242" s="655"/>
      <c r="J242" s="642"/>
    </row>
    <row r="243" spans="3:10" s="637" customFormat="1" ht="11.25" customHeight="1" hidden="1">
      <c r="C243" s="650"/>
      <c r="D243" s="651"/>
      <c r="E243" s="652"/>
      <c r="F243" s="665"/>
      <c r="G243" s="651"/>
      <c r="H243" s="654"/>
      <c r="I243" s="655"/>
      <c r="J243" s="642"/>
    </row>
    <row r="244" spans="3:10" s="637" customFormat="1" ht="11.25" customHeight="1" hidden="1">
      <c r="C244" s="650"/>
      <c r="D244" s="651"/>
      <c r="E244" s="652"/>
      <c r="F244" s="665"/>
      <c r="G244" s="651"/>
      <c r="H244" s="654"/>
      <c r="I244" s="655"/>
      <c r="J244" s="642"/>
    </row>
    <row r="245" spans="3:10" s="637" customFormat="1" ht="11.25" customHeight="1" hidden="1">
      <c r="C245" s="650"/>
      <c r="D245" s="651"/>
      <c r="E245" s="652"/>
      <c r="F245" s="665"/>
      <c r="G245" s="651"/>
      <c r="H245" s="654"/>
      <c r="I245" s="655"/>
      <c r="J245" s="642"/>
    </row>
    <row r="246" spans="2:10" s="672" customFormat="1" ht="12" hidden="1">
      <c r="B246" s="637"/>
      <c r="C246" s="650"/>
      <c r="D246" s="651"/>
      <c r="E246" s="652"/>
      <c r="F246" s="665"/>
      <c r="G246" s="651"/>
      <c r="H246" s="654"/>
      <c r="I246" s="655"/>
      <c r="J246" s="641"/>
    </row>
    <row r="247" spans="3:10" s="643" customFormat="1" ht="12" customHeight="1" hidden="1">
      <c r="C247" s="650"/>
      <c r="D247" s="651"/>
      <c r="E247" s="652"/>
      <c r="F247" s="665"/>
      <c r="G247" s="651"/>
      <c r="H247" s="654"/>
      <c r="I247" s="655"/>
      <c r="J247" s="649"/>
    </row>
    <row r="248" spans="3:10" s="632" customFormat="1" ht="12.75" customHeight="1" hidden="1">
      <c r="C248" s="650"/>
      <c r="D248" s="651"/>
      <c r="E248" s="652"/>
      <c r="F248" s="665"/>
      <c r="G248" s="651"/>
      <c r="H248" s="654"/>
      <c r="I248" s="655"/>
      <c r="J248" s="642"/>
    </row>
    <row r="249" spans="3:10" s="632" customFormat="1" ht="12.75" customHeight="1" hidden="1">
      <c r="C249" s="650"/>
      <c r="D249" s="651"/>
      <c r="E249" s="652"/>
      <c r="F249" s="665"/>
      <c r="G249" s="651"/>
      <c r="H249" s="654"/>
      <c r="I249" s="655"/>
      <c r="J249" s="642"/>
    </row>
    <row r="250" spans="3:10" s="632" customFormat="1" ht="12.75" customHeight="1" hidden="1">
      <c r="C250" s="650"/>
      <c r="D250" s="651"/>
      <c r="E250" s="652"/>
      <c r="F250" s="665"/>
      <c r="G250" s="651"/>
      <c r="H250" s="654"/>
      <c r="I250" s="655"/>
      <c r="J250" s="642"/>
    </row>
    <row r="251" spans="3:10" s="632" customFormat="1" ht="12.75" customHeight="1" hidden="1">
      <c r="C251" s="650"/>
      <c r="D251" s="651"/>
      <c r="E251" s="652"/>
      <c r="F251" s="665"/>
      <c r="G251" s="651"/>
      <c r="H251" s="654"/>
      <c r="I251" s="655"/>
      <c r="J251" s="642"/>
    </row>
    <row r="252" spans="3:10" s="632" customFormat="1" ht="11.25" customHeight="1">
      <c r="C252" s="666"/>
      <c r="D252" s="651"/>
      <c r="E252" s="652"/>
      <c r="F252" s="665"/>
      <c r="G252" s="656">
        <f>SUM(G238:G251)</f>
        <v>4500</v>
      </c>
      <c r="H252" s="656">
        <f>SUM(H238:H251)</f>
        <v>0</v>
      </c>
      <c r="I252" s="658">
        <f>H252/G252</f>
        <v>0</v>
      </c>
      <c r="J252" s="642"/>
    </row>
    <row r="253" spans="3:10" s="632" customFormat="1" ht="12.75" customHeight="1">
      <c r="C253" s="666"/>
      <c r="D253" s="651"/>
      <c r="E253" s="652"/>
      <c r="F253" s="665"/>
      <c r="G253" s="651"/>
      <c r="H253" s="652"/>
      <c r="I253" s="655"/>
      <c r="J253" s="642"/>
    </row>
    <row r="254" spans="3:10" s="632" customFormat="1" ht="12.75" customHeight="1">
      <c r="C254" s="644" t="s">
        <v>826</v>
      </c>
      <c r="D254" s="685"/>
      <c r="E254" s="643"/>
      <c r="F254" s="648"/>
      <c r="G254" s="685"/>
      <c r="H254" s="643"/>
      <c r="I254" s="648"/>
      <c r="J254" s="642"/>
    </row>
    <row r="255" spans="3:10" s="632" customFormat="1" ht="12" customHeight="1">
      <c r="C255" s="650" t="s">
        <v>827</v>
      </c>
      <c r="D255" s="651"/>
      <c r="E255" s="652"/>
      <c r="F255" s="665"/>
      <c r="G255" s="651">
        <v>26350</v>
      </c>
      <c r="H255" s="654">
        <v>0</v>
      </c>
      <c r="I255" s="655">
        <f>H255/G255</f>
        <v>0</v>
      </c>
      <c r="J255" s="642"/>
    </row>
    <row r="256" spans="3:10" s="632" customFormat="1" ht="12" customHeight="1">
      <c r="C256" s="650"/>
      <c r="D256" s="651"/>
      <c r="E256" s="652"/>
      <c r="F256" s="665"/>
      <c r="G256" s="651"/>
      <c r="H256" s="654"/>
      <c r="I256" s="655"/>
      <c r="J256" s="642"/>
    </row>
    <row r="257" spans="3:10" s="632" customFormat="1" ht="12" customHeight="1" hidden="1">
      <c r="C257" s="650"/>
      <c r="D257" s="651"/>
      <c r="E257" s="652"/>
      <c r="F257" s="665"/>
      <c r="G257" s="651"/>
      <c r="H257" s="654"/>
      <c r="I257" s="655"/>
      <c r="J257" s="642"/>
    </row>
    <row r="258" spans="3:10" s="632" customFormat="1" ht="12" customHeight="1" hidden="1">
      <c r="C258" s="650"/>
      <c r="D258" s="651"/>
      <c r="E258" s="652"/>
      <c r="F258" s="665"/>
      <c r="G258" s="651"/>
      <c r="H258" s="654"/>
      <c r="I258" s="655"/>
      <c r="J258" s="642"/>
    </row>
    <row r="259" spans="3:10" s="632" customFormat="1" ht="12" customHeight="1" hidden="1">
      <c r="C259" s="650"/>
      <c r="D259" s="651"/>
      <c r="E259" s="652"/>
      <c r="F259" s="665"/>
      <c r="G259" s="651"/>
      <c r="H259" s="654"/>
      <c r="I259" s="655"/>
      <c r="J259" s="642"/>
    </row>
    <row r="260" spans="3:10" s="632" customFormat="1" ht="12" customHeight="1" hidden="1">
      <c r="C260" s="650"/>
      <c r="D260" s="651"/>
      <c r="E260" s="652"/>
      <c r="F260" s="665"/>
      <c r="G260" s="651"/>
      <c r="H260" s="654"/>
      <c r="I260" s="655"/>
      <c r="J260" s="642"/>
    </row>
    <row r="261" spans="3:10" s="632" customFormat="1" ht="12" customHeight="1">
      <c r="C261" s="666"/>
      <c r="D261" s="651"/>
      <c r="E261" s="652"/>
      <c r="F261" s="665"/>
      <c r="G261" s="656">
        <f>SUM(G255:G260)</f>
        <v>26350</v>
      </c>
      <c r="H261" s="656">
        <f>SUM(H255:H260)</f>
        <v>0</v>
      </c>
      <c r="I261" s="658">
        <f>H261/G261</f>
        <v>0</v>
      </c>
      <c r="J261" s="642"/>
    </row>
    <row r="262" spans="3:10" s="632" customFormat="1" ht="12">
      <c r="C262" s="666"/>
      <c r="D262" s="651"/>
      <c r="E262" s="652"/>
      <c r="F262" s="665"/>
      <c r="G262" s="651"/>
      <c r="H262" s="652"/>
      <c r="I262" s="655"/>
      <c r="J262" s="642"/>
    </row>
    <row r="263" spans="3:10" s="632" customFormat="1" ht="12">
      <c r="C263" s="645"/>
      <c r="D263" s="685"/>
      <c r="E263" s="643"/>
      <c r="F263" s="648"/>
      <c r="G263" s="685"/>
      <c r="H263" s="643"/>
      <c r="I263" s="648"/>
      <c r="J263" s="642"/>
    </row>
    <row r="264" spans="3:10" s="632" customFormat="1" ht="12" customHeight="1">
      <c r="C264" s="644" t="s">
        <v>828</v>
      </c>
      <c r="D264" s="685"/>
      <c r="E264" s="643"/>
      <c r="F264" s="648"/>
      <c r="G264" s="685"/>
      <c r="H264" s="643"/>
      <c r="I264" s="648"/>
      <c r="J264" s="642"/>
    </row>
    <row r="265" spans="3:10" s="632" customFormat="1" ht="12">
      <c r="C265" s="650" t="s">
        <v>829</v>
      </c>
      <c r="D265" s="651"/>
      <c r="E265" s="652"/>
      <c r="F265" s="665"/>
      <c r="G265" s="651">
        <v>7208</v>
      </c>
      <c r="H265" s="654">
        <v>0</v>
      </c>
      <c r="I265" s="655">
        <f>H265/G265</f>
        <v>0</v>
      </c>
      <c r="J265" s="642"/>
    </row>
    <row r="266" spans="3:10" s="632" customFormat="1" ht="12">
      <c r="C266" s="650"/>
      <c r="D266" s="651"/>
      <c r="E266" s="652"/>
      <c r="F266" s="665"/>
      <c r="G266" s="651"/>
      <c r="H266" s="654"/>
      <c r="I266" s="655"/>
      <c r="J266" s="642"/>
    </row>
    <row r="267" spans="3:10" s="632" customFormat="1" ht="12" customHeight="1" hidden="1">
      <c r="C267" s="650"/>
      <c r="D267" s="651"/>
      <c r="E267" s="652"/>
      <c r="F267" s="665"/>
      <c r="G267" s="651"/>
      <c r="H267" s="654"/>
      <c r="I267" s="655"/>
      <c r="J267" s="642"/>
    </row>
    <row r="268" spans="3:10" s="632" customFormat="1" ht="12" customHeight="1" hidden="1">
      <c r="C268" s="650"/>
      <c r="D268" s="651"/>
      <c r="E268" s="652"/>
      <c r="F268" s="665"/>
      <c r="G268" s="651"/>
      <c r="H268" s="654"/>
      <c r="I268" s="655"/>
      <c r="J268" s="642"/>
    </row>
    <row r="269" spans="3:10" s="632" customFormat="1" ht="12" customHeight="1" hidden="1">
      <c r="C269" s="650"/>
      <c r="D269" s="651"/>
      <c r="E269" s="652"/>
      <c r="F269" s="665"/>
      <c r="G269" s="651"/>
      <c r="H269" s="654"/>
      <c r="I269" s="655"/>
      <c r="J269" s="642"/>
    </row>
    <row r="270" spans="3:10" s="632" customFormat="1" ht="12" customHeight="1" hidden="1">
      <c r="C270" s="650"/>
      <c r="D270" s="651"/>
      <c r="E270" s="652"/>
      <c r="F270" s="665"/>
      <c r="G270" s="651"/>
      <c r="H270" s="654"/>
      <c r="I270" s="655"/>
      <c r="J270" s="642"/>
    </row>
    <row r="271" spans="3:10" s="632" customFormat="1" ht="12" customHeight="1" hidden="1">
      <c r="C271" s="650"/>
      <c r="D271" s="651"/>
      <c r="E271" s="652"/>
      <c r="F271" s="665"/>
      <c r="G271" s="651"/>
      <c r="H271" s="654"/>
      <c r="I271" s="655"/>
      <c r="J271" s="642"/>
    </row>
    <row r="272" spans="3:10" s="632" customFormat="1" ht="12">
      <c r="C272" s="666"/>
      <c r="D272" s="651"/>
      <c r="E272" s="652"/>
      <c r="F272" s="665"/>
      <c r="G272" s="656">
        <f>SUM(G265:G271)</f>
        <v>7208</v>
      </c>
      <c r="H272" s="656">
        <f>SUM(H265:H271)</f>
        <v>0</v>
      </c>
      <c r="I272" s="658">
        <v>0</v>
      </c>
      <c r="J272" s="642"/>
    </row>
    <row r="273" spans="3:10" s="632" customFormat="1" ht="12" customHeight="1" hidden="1">
      <c r="C273" s="645" t="s">
        <v>660</v>
      </c>
      <c r="D273" s="646"/>
      <c r="E273" s="643"/>
      <c r="F273" s="647"/>
      <c r="G273" s="646"/>
      <c r="H273" s="643"/>
      <c r="I273" s="648"/>
      <c r="J273" s="642"/>
    </row>
    <row r="274" spans="2:10" s="632" customFormat="1" ht="12">
      <c r="B274" s="644" t="s">
        <v>659</v>
      </c>
      <c r="C274" s="645" t="s">
        <v>830</v>
      </c>
      <c r="D274" s="646"/>
      <c r="E274" s="643"/>
      <c r="F274" s="647"/>
      <c r="G274" s="646"/>
      <c r="H274" s="643"/>
      <c r="I274" s="648"/>
      <c r="J274" s="642"/>
    </row>
    <row r="275" spans="3:10" s="632" customFormat="1" ht="12">
      <c r="C275" s="650"/>
      <c r="D275" s="651"/>
      <c r="E275" s="654"/>
      <c r="F275" s="665"/>
      <c r="G275" s="651"/>
      <c r="H275" s="654"/>
      <c r="I275" s="655"/>
      <c r="J275" s="642"/>
    </row>
    <row r="276" spans="3:10" s="632" customFormat="1" ht="12" hidden="1">
      <c r="C276" s="650"/>
      <c r="D276" s="651"/>
      <c r="E276" s="654"/>
      <c r="F276" s="665"/>
      <c r="G276" s="651"/>
      <c r="H276" s="654"/>
      <c r="I276" s="655"/>
      <c r="J276" s="642"/>
    </row>
    <row r="277" spans="3:10" s="632" customFormat="1" ht="12" hidden="1">
      <c r="C277" s="659"/>
      <c r="D277" s="651"/>
      <c r="E277" s="654"/>
      <c r="F277" s="665"/>
      <c r="G277" s="651"/>
      <c r="H277" s="654"/>
      <c r="I277" s="655"/>
      <c r="J277" s="687"/>
    </row>
    <row r="278" spans="3:10" s="632" customFormat="1" ht="12" customHeight="1" hidden="1">
      <c r="C278" s="659"/>
      <c r="D278" s="651"/>
      <c r="E278" s="654"/>
      <c r="F278" s="665"/>
      <c r="G278" s="651"/>
      <c r="H278" s="654"/>
      <c r="I278" s="655"/>
      <c r="J278" s="642"/>
    </row>
    <row r="279" spans="3:10" s="632" customFormat="1" ht="12" customHeight="1" hidden="1">
      <c r="C279" s="659"/>
      <c r="D279" s="651"/>
      <c r="E279" s="654"/>
      <c r="F279" s="665"/>
      <c r="G279" s="651"/>
      <c r="H279" s="654"/>
      <c r="I279" s="655"/>
      <c r="J279" s="642"/>
    </row>
    <row r="280" spans="3:10" s="632" customFormat="1" ht="12" customHeight="1" hidden="1">
      <c r="C280" s="659"/>
      <c r="D280" s="651"/>
      <c r="E280" s="654"/>
      <c r="F280" s="665"/>
      <c r="G280" s="651"/>
      <c r="H280" s="654"/>
      <c r="I280" s="655"/>
      <c r="J280" s="642"/>
    </row>
    <row r="281" spans="3:10" s="632" customFormat="1" ht="12" customHeight="1" hidden="1">
      <c r="C281" s="659"/>
      <c r="D281" s="651"/>
      <c r="E281" s="654"/>
      <c r="F281" s="665"/>
      <c r="G281" s="651"/>
      <c r="H281" s="654"/>
      <c r="I281" s="655"/>
      <c r="J281" s="642"/>
    </row>
    <row r="282" spans="3:10" s="632" customFormat="1" ht="12" hidden="1">
      <c r="C282" s="659"/>
      <c r="D282" s="651"/>
      <c r="E282" s="654"/>
      <c r="F282" s="665"/>
      <c r="G282" s="651"/>
      <c r="H282" s="654"/>
      <c r="I282" s="655"/>
      <c r="J282" s="642"/>
    </row>
    <row r="283" spans="3:10" s="632" customFormat="1" ht="12" hidden="1">
      <c r="C283" s="650"/>
      <c r="D283" s="651"/>
      <c r="E283" s="654"/>
      <c r="F283" s="665"/>
      <c r="G283" s="651"/>
      <c r="H283" s="654"/>
      <c r="I283" s="655"/>
      <c r="J283" s="642"/>
    </row>
    <row r="284" spans="3:10" s="632" customFormat="1" ht="12" hidden="1">
      <c r="C284" s="650"/>
      <c r="D284" s="651"/>
      <c r="E284" s="654"/>
      <c r="F284" s="665"/>
      <c r="G284" s="651"/>
      <c r="H284" s="654"/>
      <c r="I284" s="655"/>
      <c r="J284" s="642"/>
    </row>
    <row r="285" spans="2:10" s="632" customFormat="1" ht="12" hidden="1">
      <c r="B285" s="637"/>
      <c r="C285" s="650"/>
      <c r="D285" s="651"/>
      <c r="E285" s="654"/>
      <c r="F285" s="665"/>
      <c r="G285" s="651"/>
      <c r="H285" s="654"/>
      <c r="I285" s="655"/>
      <c r="J285" s="642"/>
    </row>
    <row r="286" spans="3:10" s="632" customFormat="1" ht="12" hidden="1">
      <c r="C286" s="650"/>
      <c r="D286" s="651"/>
      <c r="E286" s="654"/>
      <c r="F286" s="665"/>
      <c r="G286" s="651"/>
      <c r="H286" s="654"/>
      <c r="I286" s="655"/>
      <c r="J286" s="642"/>
    </row>
    <row r="287" spans="3:10" s="632" customFormat="1" ht="12" hidden="1">
      <c r="C287" s="650"/>
      <c r="D287" s="651"/>
      <c r="E287" s="654"/>
      <c r="F287" s="665"/>
      <c r="G287" s="651"/>
      <c r="H287" s="654"/>
      <c r="I287" s="655"/>
      <c r="J287" s="642"/>
    </row>
    <row r="288" spans="3:10" s="632" customFormat="1" ht="12" hidden="1">
      <c r="C288" s="650"/>
      <c r="D288" s="651"/>
      <c r="E288" s="652"/>
      <c r="F288" s="665"/>
      <c r="G288" s="651"/>
      <c r="H288" s="654"/>
      <c r="I288" s="655"/>
      <c r="J288" s="642"/>
    </row>
    <row r="289" spans="3:10" s="632" customFormat="1" ht="12" customHeight="1" hidden="1">
      <c r="C289" s="650"/>
      <c r="D289" s="651"/>
      <c r="E289" s="652"/>
      <c r="F289" s="665"/>
      <c r="G289" s="651"/>
      <c r="H289" s="652"/>
      <c r="I289" s="655"/>
      <c r="J289" s="642"/>
    </row>
    <row r="290" spans="3:10" s="632" customFormat="1" ht="12" customHeight="1">
      <c r="C290" s="666"/>
      <c r="D290" s="656">
        <f>SUM(D275:D289)</f>
        <v>0</v>
      </c>
      <c r="E290" s="656">
        <f>SUM(E275:E289)</f>
        <v>0</v>
      </c>
      <c r="F290" s="668">
        <v>0</v>
      </c>
      <c r="G290" s="656">
        <f>SUM(G275:G289)</f>
        <v>0</v>
      </c>
      <c r="H290" s="656">
        <f>SUM(H275:H289)</f>
        <v>0</v>
      </c>
      <c r="I290" s="658">
        <v>0</v>
      </c>
      <c r="J290" s="642"/>
    </row>
    <row r="291" spans="3:10" s="632" customFormat="1" ht="12" customHeight="1">
      <c r="C291" s="842" t="s">
        <v>831</v>
      </c>
      <c r="D291" s="673">
        <f>D290</f>
        <v>0</v>
      </c>
      <c r="E291" s="673">
        <f>E290</f>
        <v>0</v>
      </c>
      <c r="F291" s="674">
        <v>0</v>
      </c>
      <c r="G291" s="647"/>
      <c r="H291" s="647"/>
      <c r="I291" s="648"/>
      <c r="J291" s="642"/>
    </row>
    <row r="292" spans="3:10" s="632" customFormat="1" ht="12" customHeight="1">
      <c r="C292" s="688"/>
      <c r="D292" s="689"/>
      <c r="E292" s="689"/>
      <c r="F292" s="690"/>
      <c r="G292" s="647"/>
      <c r="H292" s="647"/>
      <c r="I292" s="648"/>
      <c r="J292" s="642"/>
    </row>
    <row r="293" spans="2:10" s="632" customFormat="1" ht="12">
      <c r="B293" s="644" t="s">
        <v>670</v>
      </c>
      <c r="C293" s="645" t="s">
        <v>832</v>
      </c>
      <c r="D293" s="646"/>
      <c r="E293" s="643"/>
      <c r="F293" s="647"/>
      <c r="G293" s="646"/>
      <c r="H293" s="643"/>
      <c r="I293" s="648"/>
      <c r="J293" s="642"/>
    </row>
    <row r="294" spans="3:10" s="632" customFormat="1" ht="12">
      <c r="C294" s="650"/>
      <c r="D294" s="651"/>
      <c r="E294" s="654"/>
      <c r="F294" s="665"/>
      <c r="G294" s="651"/>
      <c r="H294" s="654"/>
      <c r="I294" s="655"/>
      <c r="J294" s="642"/>
    </row>
    <row r="295" spans="3:10" s="632" customFormat="1" ht="12" hidden="1">
      <c r="C295" s="650"/>
      <c r="D295" s="651"/>
      <c r="E295" s="654"/>
      <c r="F295" s="665"/>
      <c r="G295" s="656"/>
      <c r="H295" s="652"/>
      <c r="I295" s="655"/>
      <c r="J295" s="642"/>
    </row>
    <row r="296" spans="3:10" s="632" customFormat="1" ht="12" customHeight="1" hidden="1">
      <c r="C296" s="650"/>
      <c r="D296" s="651"/>
      <c r="E296" s="654"/>
      <c r="F296" s="665"/>
      <c r="G296" s="656"/>
      <c r="H296" s="652"/>
      <c r="I296" s="655"/>
      <c r="J296" s="642"/>
    </row>
    <row r="297" spans="3:10" s="632" customFormat="1" ht="12" customHeight="1" hidden="1">
      <c r="C297" s="650"/>
      <c r="D297" s="651"/>
      <c r="E297" s="654"/>
      <c r="F297" s="665"/>
      <c r="G297" s="656"/>
      <c r="H297" s="652"/>
      <c r="I297" s="655"/>
      <c r="J297" s="642"/>
    </row>
    <row r="298" spans="3:10" s="632" customFormat="1" ht="12" customHeight="1" hidden="1">
      <c r="C298" s="650"/>
      <c r="D298" s="651"/>
      <c r="E298" s="654"/>
      <c r="F298" s="665"/>
      <c r="G298" s="656"/>
      <c r="H298" s="652"/>
      <c r="I298" s="655"/>
      <c r="J298" s="642"/>
    </row>
    <row r="299" spans="3:10" s="632" customFormat="1" ht="12" customHeight="1" hidden="1">
      <c r="C299" s="650"/>
      <c r="D299" s="651"/>
      <c r="E299" s="654"/>
      <c r="F299" s="665"/>
      <c r="G299" s="656"/>
      <c r="H299" s="652"/>
      <c r="I299" s="655"/>
      <c r="J299" s="642"/>
    </row>
    <row r="300" spans="3:10" s="637" customFormat="1" ht="12" hidden="1">
      <c r="C300" s="650"/>
      <c r="D300" s="651"/>
      <c r="E300" s="654"/>
      <c r="F300" s="665"/>
      <c r="G300" s="656"/>
      <c r="H300" s="652"/>
      <c r="I300" s="655"/>
      <c r="J300" s="642"/>
    </row>
    <row r="301" spans="2:10" s="672" customFormat="1" ht="12" hidden="1">
      <c r="B301" s="637"/>
      <c r="C301" s="650"/>
      <c r="D301" s="651"/>
      <c r="E301" s="654"/>
      <c r="F301" s="665"/>
      <c r="G301" s="656"/>
      <c r="H301" s="652"/>
      <c r="I301" s="655"/>
      <c r="J301" s="641"/>
    </row>
    <row r="302" spans="2:10" s="672" customFormat="1" ht="12" hidden="1">
      <c r="B302" s="637"/>
      <c r="C302" s="650"/>
      <c r="D302" s="651"/>
      <c r="E302" s="654"/>
      <c r="F302" s="665"/>
      <c r="G302" s="651"/>
      <c r="H302" s="654"/>
      <c r="I302" s="655"/>
      <c r="J302" s="641"/>
    </row>
    <row r="303" spans="3:10" s="637" customFormat="1" ht="12" hidden="1">
      <c r="C303" s="650"/>
      <c r="D303" s="651"/>
      <c r="E303" s="654"/>
      <c r="F303" s="665"/>
      <c r="G303" s="651"/>
      <c r="H303" s="652"/>
      <c r="I303" s="655"/>
      <c r="J303" s="642"/>
    </row>
    <row r="304" spans="2:10" s="637" customFormat="1" ht="12" hidden="1">
      <c r="B304" s="632"/>
      <c r="C304" s="650"/>
      <c r="D304" s="651"/>
      <c r="E304" s="654"/>
      <c r="F304" s="665"/>
      <c r="G304" s="651"/>
      <c r="H304" s="652"/>
      <c r="I304" s="655"/>
      <c r="J304" s="642"/>
    </row>
    <row r="305" spans="3:10" s="632" customFormat="1" ht="12" hidden="1">
      <c r="C305" s="650"/>
      <c r="D305" s="651"/>
      <c r="E305" s="654"/>
      <c r="F305" s="665"/>
      <c r="G305" s="651"/>
      <c r="H305" s="652"/>
      <c r="I305" s="655"/>
      <c r="J305" s="642"/>
    </row>
    <row r="306" spans="3:10" s="632" customFormat="1" ht="12" hidden="1">
      <c r="C306" s="650"/>
      <c r="D306" s="651"/>
      <c r="E306" s="652"/>
      <c r="F306" s="665"/>
      <c r="G306" s="651"/>
      <c r="H306" s="652"/>
      <c r="I306" s="655"/>
      <c r="J306" s="642"/>
    </row>
    <row r="307" spans="3:10" s="632" customFormat="1" ht="12" customHeight="1" hidden="1">
      <c r="C307" s="650"/>
      <c r="D307" s="651"/>
      <c r="E307" s="652"/>
      <c r="F307" s="665"/>
      <c r="G307" s="651"/>
      <c r="H307" s="652"/>
      <c r="I307" s="655"/>
      <c r="J307" s="642"/>
    </row>
    <row r="308" spans="3:10" s="632" customFormat="1" ht="12" customHeight="1">
      <c r="C308" s="650"/>
      <c r="D308" s="656">
        <f>SUM(D294:D307)</f>
        <v>0</v>
      </c>
      <c r="E308" s="656">
        <f>SUM(E294:E307)</f>
        <v>0</v>
      </c>
      <c r="F308" s="668">
        <v>0</v>
      </c>
      <c r="G308" s="656">
        <f>SUM(G294:G307)</f>
        <v>0</v>
      </c>
      <c r="H308" s="656">
        <f>SUM(H294:H307)</f>
        <v>0</v>
      </c>
      <c r="I308" s="658">
        <v>0</v>
      </c>
      <c r="J308" s="642"/>
    </row>
    <row r="309" spans="3:10" s="632" customFormat="1" ht="12" customHeight="1">
      <c r="C309" s="842" t="s">
        <v>833</v>
      </c>
      <c r="D309" s="673">
        <f>D308</f>
        <v>0</v>
      </c>
      <c r="E309" s="673">
        <f>E308</f>
        <v>0</v>
      </c>
      <c r="F309" s="674">
        <v>0</v>
      </c>
      <c r="G309" s="647"/>
      <c r="H309" s="647"/>
      <c r="I309" s="648"/>
      <c r="J309" s="642"/>
    </row>
    <row r="310" spans="2:10" s="672" customFormat="1" ht="12">
      <c r="B310" s="637"/>
      <c r="C310" s="688"/>
      <c r="D310" s="689"/>
      <c r="E310" s="689"/>
      <c r="F310" s="690"/>
      <c r="G310" s="647"/>
      <c r="H310" s="647"/>
      <c r="I310" s="648"/>
      <c r="J310" s="641"/>
    </row>
    <row r="311" spans="3:10" s="637" customFormat="1" ht="12">
      <c r="C311" s="683" t="s">
        <v>1221</v>
      </c>
      <c r="D311" s="656"/>
      <c r="E311" s="657"/>
      <c r="F311" s="665"/>
      <c r="G311" s="656"/>
      <c r="H311" s="1232">
        <v>2800</v>
      </c>
      <c r="I311" s="1208"/>
      <c r="J311" s="1209" t="s">
        <v>1150</v>
      </c>
    </row>
    <row r="312" spans="3:10" s="637" customFormat="1" ht="12" hidden="1">
      <c r="C312" s="694"/>
      <c r="D312" s="656"/>
      <c r="E312" s="657"/>
      <c r="F312" s="665"/>
      <c r="G312" s="656"/>
      <c r="H312" s="667"/>
      <c r="I312" s="655"/>
      <c r="J312" s="642"/>
    </row>
    <row r="313" spans="3:10" s="637" customFormat="1" ht="12" hidden="1">
      <c r="C313" s="694"/>
      <c r="D313" s="656"/>
      <c r="E313" s="657"/>
      <c r="F313" s="665"/>
      <c r="G313" s="656"/>
      <c r="H313" s="667"/>
      <c r="I313" s="655"/>
      <c r="J313" s="642"/>
    </row>
    <row r="314" spans="3:10" s="632" customFormat="1" ht="12" hidden="1">
      <c r="C314" s="666"/>
      <c r="D314" s="656"/>
      <c r="E314" s="652"/>
      <c r="F314" s="665"/>
      <c r="G314" s="656"/>
      <c r="H314" s="652"/>
      <c r="I314" s="658"/>
      <c r="J314" s="642"/>
    </row>
    <row r="315" spans="3:10" s="637" customFormat="1" ht="12">
      <c r="C315" s="694" t="s">
        <v>679</v>
      </c>
      <c r="D315" s="657">
        <f>D308+D290+D235+D150+D144+D128+D118+D108+D99+D311</f>
        <v>0</v>
      </c>
      <c r="E315" s="657">
        <f>E308+E290+E235+E150+E144+E128+E118+E108+E99+E311</f>
        <v>0</v>
      </c>
      <c r="F315" s="668">
        <v>0</v>
      </c>
      <c r="G315" s="656">
        <f>G308+G290+G272+G261+G252+G235+G179+G167+G162+G150+G144+G83+G59+G40+G311</f>
        <v>224415</v>
      </c>
      <c r="H315" s="656">
        <f>H308+H290+H272+H261+H252+H235+H179+H167+H162+H150+H144+H83+H59+H40+H311</f>
        <v>164842</v>
      </c>
      <c r="I315" s="658">
        <f>H315/G315</f>
        <v>0.7345409174966023</v>
      </c>
      <c r="J315" s="642"/>
    </row>
    <row r="316" spans="3:10" s="632" customFormat="1" ht="12">
      <c r="C316" s="666"/>
      <c r="D316" s="656"/>
      <c r="E316" s="652"/>
      <c r="F316" s="668"/>
      <c r="G316" s="656"/>
      <c r="H316" s="652"/>
      <c r="I316" s="655"/>
      <c r="J316" s="642"/>
    </row>
    <row r="317" spans="3:10" s="637" customFormat="1" ht="12" hidden="1">
      <c r="C317" s="694" t="s">
        <v>680</v>
      </c>
      <c r="D317" s="656">
        <f>D23+D315</f>
        <v>0</v>
      </c>
      <c r="E317" s="657">
        <f>E23+E315</f>
        <v>0</v>
      </c>
      <c r="F317" s="668" t="e">
        <f aca="true" t="shared" si="1" ref="F317:F322">E317/D317</f>
        <v>#DIV/0!</v>
      </c>
      <c r="G317" s="656">
        <f>G23+G315</f>
        <v>224415</v>
      </c>
      <c r="H317" s="657">
        <f>H23+H315</f>
        <v>164842</v>
      </c>
      <c r="I317" s="658">
        <f>H317/G317</f>
        <v>0.7345409174966023</v>
      </c>
      <c r="J317" s="642"/>
    </row>
    <row r="318" spans="3:10" s="632" customFormat="1" ht="12" hidden="1">
      <c r="C318" s="694"/>
      <c r="D318" s="656"/>
      <c r="E318" s="652"/>
      <c r="F318" s="668" t="e">
        <f t="shared" si="1"/>
        <v>#DIV/0!</v>
      </c>
      <c r="G318" s="656"/>
      <c r="H318" s="652"/>
      <c r="I318" s="655"/>
      <c r="J318" s="642"/>
    </row>
    <row r="319" spans="3:10" s="632" customFormat="1" ht="12" hidden="1">
      <c r="C319" s="666"/>
      <c r="D319" s="656"/>
      <c r="E319" s="652"/>
      <c r="F319" s="668" t="e">
        <f t="shared" si="1"/>
        <v>#DIV/0!</v>
      </c>
      <c r="G319" s="656"/>
      <c r="H319" s="652"/>
      <c r="I319" s="655"/>
      <c r="J319" s="642"/>
    </row>
    <row r="320" spans="3:10" s="632" customFormat="1" ht="12" hidden="1">
      <c r="C320" s="666"/>
      <c r="D320" s="656"/>
      <c r="E320" s="652"/>
      <c r="F320" s="668" t="e">
        <f t="shared" si="1"/>
        <v>#DIV/0!</v>
      </c>
      <c r="G320" s="656"/>
      <c r="H320" s="652"/>
      <c r="I320" s="655"/>
      <c r="J320" s="642"/>
    </row>
    <row r="321" spans="3:10" s="632" customFormat="1" ht="12" hidden="1">
      <c r="C321" s="666"/>
      <c r="D321" s="656"/>
      <c r="E321" s="652"/>
      <c r="F321" s="668" t="e">
        <f t="shared" si="1"/>
        <v>#DIV/0!</v>
      </c>
      <c r="G321" s="656"/>
      <c r="H321" s="652"/>
      <c r="I321" s="655"/>
      <c r="J321" s="642"/>
    </row>
    <row r="322" spans="3:10" s="632" customFormat="1" ht="12" hidden="1">
      <c r="C322" s="666" t="s">
        <v>684</v>
      </c>
      <c r="D322" s="656">
        <f>SUM(D317:D321)</f>
        <v>0</v>
      </c>
      <c r="E322" s="657">
        <f>SUM(E317:E321)</f>
        <v>0</v>
      </c>
      <c r="F322" s="668" t="e">
        <f t="shared" si="1"/>
        <v>#DIV/0!</v>
      </c>
      <c r="G322" s="656">
        <f>SUM(G317:G321)</f>
        <v>224415</v>
      </c>
      <c r="H322" s="657">
        <f>SUM(H317:H321)</f>
        <v>164842</v>
      </c>
      <c r="I322" s="655">
        <f>H322/G322</f>
        <v>0.7345409174966023</v>
      </c>
      <c r="J322" s="642"/>
    </row>
    <row r="323" spans="3:10" s="632" customFormat="1" ht="12">
      <c r="C323" s="666" t="s">
        <v>834</v>
      </c>
      <c r="D323" s="656">
        <f>-D14-D20</f>
        <v>0</v>
      </c>
      <c r="E323" s="657">
        <f>-E14-E20</f>
        <v>0</v>
      </c>
      <c r="F323" s="668">
        <v>0</v>
      </c>
      <c r="G323" s="656">
        <v>795706</v>
      </c>
      <c r="H323" s="1205">
        <f>687245-121713-33578+3085+2578+490+3656+4306</f>
        <v>546069</v>
      </c>
      <c r="I323" s="658">
        <f>H323/G323</f>
        <v>0.6862698031685069</v>
      </c>
      <c r="J323" s="642"/>
    </row>
    <row r="324" spans="3:10" s="632" customFormat="1" ht="12.75" thickBot="1">
      <c r="C324" s="695"/>
      <c r="D324" s="696"/>
      <c r="E324" s="697"/>
      <c r="F324" s="698"/>
      <c r="G324" s="699"/>
      <c r="H324" s="697"/>
      <c r="I324" s="700"/>
      <c r="J324" s="649"/>
    </row>
    <row r="325" spans="3:10" s="632" customFormat="1" ht="12.75" thickBot="1">
      <c r="C325" s="691" t="s">
        <v>835</v>
      </c>
      <c r="D325" s="692">
        <f>D315+D323</f>
        <v>0</v>
      </c>
      <c r="E325" s="692">
        <f>E315+E323</f>
        <v>0</v>
      </c>
      <c r="F325" s="864">
        <v>0</v>
      </c>
      <c r="G325" s="865">
        <f>G322+G323+G324</f>
        <v>1020121</v>
      </c>
      <c r="H325" s="692">
        <f>H322+H323+H324</f>
        <v>710911</v>
      </c>
      <c r="I325" s="693">
        <f>H325/G325</f>
        <v>0.6968888984738085</v>
      </c>
      <c r="J325" s="642"/>
    </row>
    <row r="326" spans="2:10" s="632" customFormat="1" ht="12">
      <c r="B326" s="645"/>
      <c r="C326" s="645"/>
      <c r="D326" s="646"/>
      <c r="E326" s="701"/>
      <c r="F326" s="702"/>
      <c r="G326" s="646"/>
      <c r="I326" s="702"/>
      <c r="J326" s="649"/>
    </row>
    <row r="327" spans="3:10" s="632" customFormat="1" ht="12" hidden="1">
      <c r="C327" s="650" t="s">
        <v>686</v>
      </c>
      <c r="D327" s="651"/>
      <c r="E327" s="654"/>
      <c r="F327" s="665"/>
      <c r="G327" s="651"/>
      <c r="H327" s="654"/>
      <c r="I327" s="655"/>
      <c r="J327" s="642"/>
    </row>
    <row r="328" spans="3:10" s="632" customFormat="1" ht="12" hidden="1">
      <c r="C328" s="650"/>
      <c r="D328" s="651"/>
      <c r="E328" s="654"/>
      <c r="F328" s="665"/>
      <c r="G328" s="651"/>
      <c r="H328" s="654"/>
      <c r="I328" s="655"/>
      <c r="J328" s="642"/>
    </row>
    <row r="329" spans="3:10" s="632" customFormat="1" ht="12">
      <c r="C329" s="650" t="s">
        <v>836</v>
      </c>
      <c r="D329" s="651"/>
      <c r="E329" s="652"/>
      <c r="F329" s="665"/>
      <c r="G329" s="654">
        <v>1018066</v>
      </c>
      <c r="H329" s="654">
        <f>'[3]2-1'!V69</f>
        <v>847887</v>
      </c>
      <c r="I329" s="655">
        <f>H329/G329</f>
        <v>0.8328408963662474</v>
      </c>
      <c r="J329" s="642"/>
    </row>
    <row r="330" spans="3:10" s="632" customFormat="1" ht="12">
      <c r="C330" s="650" t="s">
        <v>689</v>
      </c>
      <c r="D330" s="651">
        <v>0</v>
      </c>
      <c r="E330" s="654">
        <v>0</v>
      </c>
      <c r="F330" s="665">
        <v>0</v>
      </c>
      <c r="G330" s="651"/>
      <c r="H330" s="652"/>
      <c r="I330" s="655"/>
      <c r="J330" s="642"/>
    </row>
    <row r="331" spans="3:10" s="632" customFormat="1" ht="12">
      <c r="C331" s="650" t="s">
        <v>690</v>
      </c>
      <c r="D331" s="651">
        <f>'[3]3'!C26</f>
        <v>1400</v>
      </c>
      <c r="E331" s="651">
        <f>'[3]3'!D26</f>
        <v>7500</v>
      </c>
      <c r="F331" s="665">
        <f>E331/D331</f>
        <v>5.357142857142857</v>
      </c>
      <c r="G331" s="651"/>
      <c r="H331" s="652"/>
      <c r="I331" s="655"/>
      <c r="J331" s="642"/>
    </row>
    <row r="332" spans="3:10" s="632" customFormat="1" ht="12" hidden="1">
      <c r="C332" s="650" t="s">
        <v>691</v>
      </c>
      <c r="D332" s="651"/>
      <c r="E332" s="654"/>
      <c r="F332" s="665">
        <v>0</v>
      </c>
      <c r="G332" s="651"/>
      <c r="H332" s="652"/>
      <c r="I332" s="655"/>
      <c r="J332" s="642"/>
    </row>
    <row r="333" spans="3:10" s="632" customFormat="1" ht="12">
      <c r="C333" s="650" t="s">
        <v>692</v>
      </c>
      <c r="D333" s="651"/>
      <c r="E333" s="652"/>
      <c r="F333" s="665"/>
      <c r="G333" s="651">
        <v>0</v>
      </c>
      <c r="H333" s="654">
        <f>'[3]Tartalék'!C63</f>
        <v>0</v>
      </c>
      <c r="I333" s="655">
        <v>0</v>
      </c>
      <c r="J333" s="642"/>
    </row>
    <row r="334" spans="3:10" s="632" customFormat="1" ht="12">
      <c r="C334" s="650" t="s">
        <v>837</v>
      </c>
      <c r="D334" s="651"/>
      <c r="E334" s="654"/>
      <c r="F334" s="665"/>
      <c r="G334" s="651">
        <v>655</v>
      </c>
      <c r="H334" s="654">
        <v>0</v>
      </c>
      <c r="I334" s="655">
        <f>H334/G334</f>
        <v>0</v>
      </c>
      <c r="J334" s="642"/>
    </row>
    <row r="335" spans="3:10" s="632" customFormat="1" ht="12" hidden="1">
      <c r="C335" s="650" t="s">
        <v>838</v>
      </c>
      <c r="D335" s="651"/>
      <c r="E335" s="652"/>
      <c r="F335" s="665"/>
      <c r="G335" s="651">
        <v>0</v>
      </c>
      <c r="H335" s="654">
        <f>'[3]Tartalék'!G33</f>
        <v>0</v>
      </c>
      <c r="I335" s="655">
        <v>0</v>
      </c>
      <c r="J335" s="642"/>
    </row>
    <row r="336" spans="3:10" s="632" customFormat="1" ht="12" hidden="1">
      <c r="C336" s="703" t="s">
        <v>839</v>
      </c>
      <c r="D336" s="651"/>
      <c r="E336" s="652"/>
      <c r="F336" s="665"/>
      <c r="J336" s="642"/>
    </row>
    <row r="337" spans="3:10" s="632" customFormat="1" ht="12.75" thickBot="1">
      <c r="C337" s="704"/>
      <c r="D337" s="639"/>
      <c r="E337" s="705"/>
      <c r="F337" s="706"/>
      <c r="G337" s="639"/>
      <c r="I337" s="641"/>
      <c r="J337" s="642"/>
    </row>
    <row r="338" spans="3:10" s="632" customFormat="1" ht="12.75" thickBot="1">
      <c r="C338" s="707" t="s">
        <v>840</v>
      </c>
      <c r="D338" s="692">
        <f>SUM(D327:D337)</f>
        <v>1400</v>
      </c>
      <c r="E338" s="692">
        <f>SUM(E327:E337)</f>
        <v>7500</v>
      </c>
      <c r="F338" s="709">
        <f>E338/D338</f>
        <v>5.357142857142857</v>
      </c>
      <c r="G338" s="692">
        <f>SUM(G327:G337)</f>
        <v>1018721</v>
      </c>
      <c r="H338" s="692">
        <f>SUM(H327:H337)</f>
        <v>847887</v>
      </c>
      <c r="I338" s="709">
        <f>H338/G338</f>
        <v>0.8323054104116829</v>
      </c>
      <c r="J338" s="649"/>
    </row>
    <row r="339" spans="4:10" s="632" customFormat="1" ht="12">
      <c r="D339" s="639" t="s">
        <v>697</v>
      </c>
      <c r="E339" s="710"/>
      <c r="F339" s="702"/>
      <c r="G339" s="639">
        <f>D325+G325</f>
        <v>1020121</v>
      </c>
      <c r="H339" s="639">
        <f>E325+H325</f>
        <v>710911</v>
      </c>
      <c r="I339" s="702">
        <f>H339/G339</f>
        <v>0.6968888984738085</v>
      </c>
      <c r="J339" s="649"/>
    </row>
    <row r="340" spans="4:10" s="632" customFormat="1" ht="12">
      <c r="D340" s="639" t="s">
        <v>698</v>
      </c>
      <c r="E340" s="639"/>
      <c r="F340" s="640"/>
      <c r="G340" s="639">
        <f>D338+G338</f>
        <v>1020121</v>
      </c>
      <c r="H340" s="639">
        <f>E338+H338</f>
        <v>855387</v>
      </c>
      <c r="I340" s="641">
        <f>H340/G340</f>
        <v>0.8385152349574218</v>
      </c>
      <c r="J340" s="642"/>
    </row>
    <row r="341" spans="4:10" s="632" customFormat="1" ht="12">
      <c r="D341" s="639"/>
      <c r="E341" s="639"/>
      <c r="F341" s="640"/>
      <c r="G341" s="639"/>
      <c r="H341" s="639"/>
      <c r="I341" s="640"/>
      <c r="J341" s="639"/>
    </row>
    <row r="342" spans="4:10" s="632" customFormat="1" ht="12">
      <c r="D342" s="639"/>
      <c r="E342" s="639"/>
      <c r="F342" s="640"/>
      <c r="G342" s="639"/>
      <c r="H342" s="639">
        <f>H340-H339</f>
        <v>144476</v>
      </c>
      <c r="I342" s="640"/>
      <c r="J342" s="639"/>
    </row>
    <row r="343" spans="4:10" s="632" customFormat="1" ht="12">
      <c r="D343" s="639"/>
      <c r="E343" s="639"/>
      <c r="F343" s="640"/>
      <c r="G343" s="639"/>
      <c r="H343" s="639"/>
      <c r="I343" s="640"/>
      <c r="J343" s="639"/>
    </row>
    <row r="344" spans="4:10" s="632" customFormat="1" ht="12" hidden="1">
      <c r="D344" s="639"/>
      <c r="E344" s="639"/>
      <c r="F344" s="640"/>
      <c r="G344" s="639">
        <f>G339-G340</f>
        <v>0</v>
      </c>
      <c r="H344" s="639">
        <f>H339-H340</f>
        <v>-144476</v>
      </c>
      <c r="I344" s="640"/>
      <c r="J344" s="639"/>
    </row>
    <row r="345" spans="4:10" s="632" customFormat="1" ht="12">
      <c r="D345" s="639"/>
      <c r="E345" s="639"/>
      <c r="F345" s="640"/>
      <c r="G345" s="639"/>
      <c r="H345" s="639"/>
      <c r="I345" s="640"/>
      <c r="J345" s="639"/>
    </row>
    <row r="346" spans="5:9" s="632" customFormat="1" ht="12">
      <c r="E346" s="639"/>
      <c r="F346" s="640"/>
      <c r="G346" s="639"/>
      <c r="I346" s="624"/>
    </row>
  </sheetData>
  <sheetProtection/>
  <mergeCells count="8">
    <mergeCell ref="F8:F9"/>
    <mergeCell ref="I8:I9"/>
    <mergeCell ref="A1:I1"/>
    <mergeCell ref="A3:I3"/>
    <mergeCell ref="A4:I4"/>
    <mergeCell ref="A5:I5"/>
    <mergeCell ref="D7:F7"/>
    <mergeCell ref="G7:I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G66" sqref="G66"/>
    </sheetView>
  </sheetViews>
  <sheetFormatPr defaultColWidth="9.00390625" defaultRowHeight="12.75"/>
  <cols>
    <col min="1" max="1" width="2.50390625" style="714" customWidth="1"/>
    <col min="2" max="2" width="31.625" style="840" customWidth="1"/>
    <col min="3" max="4" width="10.00390625" style="712" customWidth="1"/>
    <col min="5" max="5" width="7.625" style="712" customWidth="1"/>
    <col min="6" max="7" width="10.00390625" style="712" customWidth="1"/>
    <col min="8" max="8" width="8.00390625" style="712" customWidth="1"/>
    <col min="9" max="10" width="10.00390625" style="712" customWidth="1"/>
    <col min="11" max="11" width="8.125" style="712" customWidth="1"/>
    <col min="12" max="12" width="9.00390625" style="712" customWidth="1"/>
    <col min="13" max="13" width="8.875" style="712" customWidth="1"/>
    <col min="14" max="14" width="7.00390625" style="712" customWidth="1"/>
    <col min="15" max="16" width="10.00390625" style="712" customWidth="1"/>
    <col min="17" max="17" width="7.875" style="712" customWidth="1"/>
    <col min="18" max="19" width="10.00390625" style="712" customWidth="1"/>
    <col min="20" max="20" width="7.125" style="712" customWidth="1"/>
    <col min="21" max="22" width="10.00390625" style="712" customWidth="1"/>
    <col min="23" max="23" width="8.625" style="712" customWidth="1"/>
    <col min="24" max="16384" width="9.375" style="712" customWidth="1"/>
  </cols>
  <sheetData>
    <row r="1" spans="1:23" s="711" customFormat="1" ht="9" customHeight="1">
      <c r="A1" s="1345" t="s">
        <v>841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6"/>
    </row>
    <row r="2" spans="1:22" ht="10.5" customHeight="1">
      <c r="A2" s="1347" t="s">
        <v>842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</row>
    <row r="3" spans="1:22" s="713" customFormat="1" ht="15" customHeight="1">
      <c r="A3" s="1348" t="str">
        <f>'[3]1'!A3:K3</f>
        <v>2013. ÉV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</row>
    <row r="4" spans="1:23" s="714" customFormat="1" ht="8.25" customHeight="1" thickBot="1">
      <c r="A4" s="1349" t="s">
        <v>700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  <c r="W4" s="1350"/>
    </row>
    <row r="5" spans="1:23" s="717" customFormat="1" ht="24" customHeight="1">
      <c r="A5" s="715"/>
      <c r="B5" s="716"/>
      <c r="C5" s="1335" t="s">
        <v>701</v>
      </c>
      <c r="D5" s="1336"/>
      <c r="E5" s="1337"/>
      <c r="F5" s="1335" t="s">
        <v>702</v>
      </c>
      <c r="G5" s="1336"/>
      <c r="H5" s="1337"/>
      <c r="I5" s="1335" t="s">
        <v>703</v>
      </c>
      <c r="J5" s="1336"/>
      <c r="K5" s="1337"/>
      <c r="L5" s="1335" t="s">
        <v>704</v>
      </c>
      <c r="M5" s="1336"/>
      <c r="N5" s="1337"/>
      <c r="O5" s="1351" t="s">
        <v>795</v>
      </c>
      <c r="P5" s="1352"/>
      <c r="Q5" s="1352"/>
      <c r="R5" s="1352"/>
      <c r="S5" s="1352"/>
      <c r="T5" s="1353"/>
      <c r="U5" s="1335" t="s">
        <v>706</v>
      </c>
      <c r="V5" s="1336"/>
      <c r="W5" s="1337"/>
    </row>
    <row r="6" spans="1:23" s="717" customFormat="1" ht="24" customHeight="1">
      <c r="A6" s="718"/>
      <c r="C6" s="1338"/>
      <c r="D6" s="1339"/>
      <c r="E6" s="1340"/>
      <c r="F6" s="1338"/>
      <c r="G6" s="1339"/>
      <c r="H6" s="1340"/>
      <c r="I6" s="1338"/>
      <c r="J6" s="1339"/>
      <c r="K6" s="1340"/>
      <c r="L6" s="1338"/>
      <c r="M6" s="1339"/>
      <c r="N6" s="1340"/>
      <c r="O6" s="1338" t="s">
        <v>796</v>
      </c>
      <c r="P6" s="1339"/>
      <c r="Q6" s="1340"/>
      <c r="R6" s="1338" t="s">
        <v>797</v>
      </c>
      <c r="S6" s="1339"/>
      <c r="T6" s="1340"/>
      <c r="U6" s="1364"/>
      <c r="V6" s="1365"/>
      <c r="W6" s="1333"/>
    </row>
    <row r="7" spans="1:23" s="717" customFormat="1" ht="11.25" customHeight="1">
      <c r="A7" s="718"/>
      <c r="C7" s="849">
        <v>2012</v>
      </c>
      <c r="D7" s="720">
        <v>2013</v>
      </c>
      <c r="E7" s="1341" t="s">
        <v>552</v>
      </c>
      <c r="F7" s="719">
        <f aca="true" t="shared" si="0" ref="F7:N7">C7</f>
        <v>2012</v>
      </c>
      <c r="G7" s="720">
        <f t="shared" si="0"/>
        <v>2013</v>
      </c>
      <c r="H7" s="1341" t="str">
        <f t="shared" si="0"/>
        <v>%</v>
      </c>
      <c r="I7" s="719">
        <f t="shared" si="0"/>
        <v>2012</v>
      </c>
      <c r="J7" s="720">
        <f t="shared" si="0"/>
        <v>2013</v>
      </c>
      <c r="K7" s="1341" t="str">
        <f t="shared" si="0"/>
        <v>%</v>
      </c>
      <c r="L7" s="719">
        <f t="shared" si="0"/>
        <v>2012</v>
      </c>
      <c r="M7" s="721">
        <f t="shared" si="0"/>
        <v>2013</v>
      </c>
      <c r="N7" s="1341" t="str">
        <f t="shared" si="0"/>
        <v>%</v>
      </c>
      <c r="O7" s="719">
        <f>C7</f>
        <v>2012</v>
      </c>
      <c r="P7" s="866">
        <f>J7</f>
        <v>2013</v>
      </c>
      <c r="Q7" s="1343" t="str">
        <f>N7</f>
        <v>%</v>
      </c>
      <c r="R7" s="867">
        <f>C7</f>
        <v>2012</v>
      </c>
      <c r="S7" s="867">
        <f>P7</f>
        <v>2013</v>
      </c>
      <c r="T7" s="1343" t="str">
        <f>Q7</f>
        <v>%</v>
      </c>
      <c r="U7" s="719">
        <f>F7</f>
        <v>2012</v>
      </c>
      <c r="V7" s="722">
        <f>S7</f>
        <v>2013</v>
      </c>
      <c r="W7" s="1363" t="str">
        <f>T7</f>
        <v>%</v>
      </c>
    </row>
    <row r="8" spans="1:23" s="717" customFormat="1" ht="9.75" customHeight="1" thickBot="1">
      <c r="A8" s="723"/>
      <c r="B8" s="724"/>
      <c r="C8" s="725" t="s">
        <v>553</v>
      </c>
      <c r="D8" s="726" t="s">
        <v>553</v>
      </c>
      <c r="E8" s="1342"/>
      <c r="F8" s="725" t="s">
        <v>553</v>
      </c>
      <c r="G8" s="727" t="str">
        <f>D8</f>
        <v>terv</v>
      </c>
      <c r="H8" s="1342"/>
      <c r="I8" s="725" t="s">
        <v>553</v>
      </c>
      <c r="J8" s="727" t="str">
        <f>G8</f>
        <v>terv</v>
      </c>
      <c r="K8" s="1342"/>
      <c r="L8" s="725" t="str">
        <f>I8</f>
        <v>terv</v>
      </c>
      <c r="M8" s="728" t="str">
        <f>J8</f>
        <v>terv</v>
      </c>
      <c r="N8" s="1342"/>
      <c r="O8" s="725" t="s">
        <v>553</v>
      </c>
      <c r="P8" s="727" t="str">
        <f>J8</f>
        <v>terv</v>
      </c>
      <c r="Q8" s="1342"/>
      <c r="R8" s="728" t="s">
        <v>553</v>
      </c>
      <c r="S8" s="728" t="str">
        <f>P8</f>
        <v>terv</v>
      </c>
      <c r="T8" s="1342"/>
      <c r="U8" s="725" t="s">
        <v>553</v>
      </c>
      <c r="V8" s="729" t="str">
        <f>S8</f>
        <v>terv</v>
      </c>
      <c r="W8" s="1334"/>
    </row>
    <row r="9" spans="1:23" s="717" customFormat="1" ht="9" customHeight="1">
      <c r="A9" s="730" t="s">
        <v>74</v>
      </c>
      <c r="B9" s="731" t="s">
        <v>843</v>
      </c>
      <c r="C9" s="732"/>
      <c r="D9" s="733"/>
      <c r="E9" s="734"/>
      <c r="F9" s="732"/>
      <c r="G9" s="733"/>
      <c r="H9" s="734"/>
      <c r="I9" s="732"/>
      <c r="J9" s="733"/>
      <c r="K9" s="734"/>
      <c r="L9" s="732"/>
      <c r="M9" s="733"/>
      <c r="N9" s="734"/>
      <c r="O9" s="732"/>
      <c r="P9" s="733"/>
      <c r="Q9" s="734"/>
      <c r="R9" s="732"/>
      <c r="S9" s="733"/>
      <c r="T9" s="734"/>
      <c r="U9" s="733"/>
      <c r="V9" s="733"/>
      <c r="W9" s="734"/>
    </row>
    <row r="10" spans="1:23" s="717" customFormat="1" ht="9" customHeight="1">
      <c r="A10" s="735"/>
      <c r="B10" s="736"/>
      <c r="C10" s="739"/>
      <c r="D10" s="737"/>
      <c r="E10" s="738"/>
      <c r="F10" s="739"/>
      <c r="G10" s="737"/>
      <c r="H10" s="738"/>
      <c r="I10" s="739"/>
      <c r="J10" s="737"/>
      <c r="K10" s="738"/>
      <c r="L10" s="739"/>
      <c r="M10" s="737"/>
      <c r="N10" s="738"/>
      <c r="O10" s="739"/>
      <c r="P10" s="737"/>
      <c r="Q10" s="738"/>
      <c r="R10" s="739"/>
      <c r="S10" s="737"/>
      <c r="T10" s="738"/>
      <c r="U10" s="740"/>
      <c r="V10" s="741"/>
      <c r="W10" s="742"/>
    </row>
    <row r="11" spans="1:23" s="717" customFormat="1" ht="9" customHeight="1">
      <c r="A11" s="743" t="s">
        <v>75</v>
      </c>
      <c r="B11" s="744" t="s">
        <v>844</v>
      </c>
      <c r="C11" s="745"/>
      <c r="D11" s="746"/>
      <c r="E11" s="747"/>
      <c r="F11" s="745"/>
      <c r="G11" s="748"/>
      <c r="H11" s="747"/>
      <c r="I11" s="750"/>
      <c r="J11" s="749"/>
      <c r="K11" s="747"/>
      <c r="L11" s="750"/>
      <c r="M11" s="749"/>
      <c r="N11" s="747"/>
      <c r="O11" s="750"/>
      <c r="P11" s="748"/>
      <c r="Q11" s="747"/>
      <c r="R11" s="745"/>
      <c r="S11" s="748"/>
      <c r="T11" s="747"/>
      <c r="U11" s="749"/>
      <c r="V11" s="749"/>
      <c r="W11" s="751"/>
    </row>
    <row r="12" spans="1:23" s="752" customFormat="1" ht="9.75" customHeight="1">
      <c r="A12" s="735"/>
      <c r="B12" s="736"/>
      <c r="C12" s="739"/>
      <c r="D12" s="737"/>
      <c r="E12" s="738"/>
      <c r="F12" s="739"/>
      <c r="G12" s="737"/>
      <c r="H12" s="738"/>
      <c r="I12" s="739"/>
      <c r="J12" s="737"/>
      <c r="K12" s="738"/>
      <c r="L12" s="739"/>
      <c r="M12" s="737"/>
      <c r="N12" s="738"/>
      <c r="O12" s="739"/>
      <c r="P12" s="737"/>
      <c r="Q12" s="738"/>
      <c r="R12" s="739"/>
      <c r="S12" s="737"/>
      <c r="T12" s="738"/>
      <c r="U12" s="740"/>
      <c r="V12" s="741"/>
      <c r="W12" s="742"/>
    </row>
    <row r="13" spans="1:23" s="752" customFormat="1" ht="12" customHeight="1" hidden="1">
      <c r="A13" s="735"/>
      <c r="B13" s="753"/>
      <c r="C13" s="739"/>
      <c r="D13" s="737"/>
      <c r="E13" s="738"/>
      <c r="F13" s="739"/>
      <c r="G13" s="737"/>
      <c r="H13" s="738"/>
      <c r="I13" s="739"/>
      <c r="J13" s="737"/>
      <c r="K13" s="738"/>
      <c r="L13" s="739"/>
      <c r="M13" s="737"/>
      <c r="N13" s="738"/>
      <c r="O13" s="739"/>
      <c r="P13" s="737"/>
      <c r="Q13" s="738"/>
      <c r="R13" s="739"/>
      <c r="S13" s="737"/>
      <c r="T13" s="738"/>
      <c r="U13" s="740"/>
      <c r="V13" s="741"/>
      <c r="W13" s="742"/>
    </row>
    <row r="14" spans="1:23" s="752" customFormat="1" ht="12" customHeight="1" hidden="1">
      <c r="A14" s="735"/>
      <c r="B14" s="753"/>
      <c r="C14" s="739"/>
      <c r="D14" s="737"/>
      <c r="E14" s="738"/>
      <c r="F14" s="739"/>
      <c r="G14" s="737"/>
      <c r="H14" s="738"/>
      <c r="I14" s="739"/>
      <c r="J14" s="737"/>
      <c r="K14" s="738"/>
      <c r="L14" s="739"/>
      <c r="M14" s="737"/>
      <c r="N14" s="738"/>
      <c r="O14" s="739"/>
      <c r="P14" s="737"/>
      <c r="Q14" s="738"/>
      <c r="R14" s="739"/>
      <c r="S14" s="737"/>
      <c r="T14" s="738"/>
      <c r="U14" s="740"/>
      <c r="V14" s="741"/>
      <c r="W14" s="742"/>
    </row>
    <row r="15" spans="1:23" s="752" customFormat="1" ht="12" customHeight="1" hidden="1">
      <c r="A15" s="735"/>
      <c r="B15" s="753"/>
      <c r="C15" s="739"/>
      <c r="D15" s="737"/>
      <c r="E15" s="738"/>
      <c r="F15" s="739"/>
      <c r="G15" s="737"/>
      <c r="H15" s="738"/>
      <c r="I15" s="739"/>
      <c r="J15" s="737"/>
      <c r="K15" s="738"/>
      <c r="L15" s="739"/>
      <c r="M15" s="737"/>
      <c r="N15" s="738"/>
      <c r="O15" s="739"/>
      <c r="P15" s="737"/>
      <c r="Q15" s="738"/>
      <c r="R15" s="739"/>
      <c r="S15" s="737"/>
      <c r="T15" s="738"/>
      <c r="U15" s="740"/>
      <c r="V15" s="741"/>
      <c r="W15" s="742"/>
    </row>
    <row r="16" spans="1:23" s="752" customFormat="1" ht="12" customHeight="1" hidden="1">
      <c r="A16" s="735"/>
      <c r="B16" s="753"/>
      <c r="C16" s="739"/>
      <c r="D16" s="737"/>
      <c r="E16" s="738"/>
      <c r="F16" s="739"/>
      <c r="G16" s="737"/>
      <c r="H16" s="738"/>
      <c r="I16" s="739"/>
      <c r="J16" s="737"/>
      <c r="K16" s="738"/>
      <c r="L16" s="739"/>
      <c r="M16" s="737"/>
      <c r="N16" s="738"/>
      <c r="O16" s="739"/>
      <c r="P16" s="737"/>
      <c r="Q16" s="738"/>
      <c r="R16" s="739"/>
      <c r="S16" s="737"/>
      <c r="T16" s="738"/>
      <c r="U16" s="740"/>
      <c r="V16" s="741"/>
      <c r="W16" s="742"/>
    </row>
    <row r="17" spans="1:23" s="752" customFormat="1" ht="12" customHeight="1" hidden="1">
      <c r="A17" s="735"/>
      <c r="B17" s="753"/>
      <c r="C17" s="739"/>
      <c r="D17" s="737"/>
      <c r="E17" s="738"/>
      <c r="F17" s="739"/>
      <c r="G17" s="737"/>
      <c r="H17" s="738"/>
      <c r="I17" s="739"/>
      <c r="J17" s="737"/>
      <c r="K17" s="738"/>
      <c r="L17" s="739"/>
      <c r="M17" s="737"/>
      <c r="N17" s="738"/>
      <c r="O17" s="739"/>
      <c r="P17" s="737"/>
      <c r="Q17" s="738"/>
      <c r="R17" s="739"/>
      <c r="S17" s="737"/>
      <c r="T17" s="738"/>
      <c r="U17" s="740"/>
      <c r="V17" s="741"/>
      <c r="W17" s="742"/>
    </row>
    <row r="18" spans="1:23" s="752" customFormat="1" ht="12" customHeight="1" hidden="1">
      <c r="A18" s="735"/>
      <c r="B18" s="753"/>
      <c r="C18" s="739"/>
      <c r="D18" s="737"/>
      <c r="E18" s="738"/>
      <c r="F18" s="739"/>
      <c r="G18" s="737"/>
      <c r="H18" s="738"/>
      <c r="I18" s="739"/>
      <c r="J18" s="737"/>
      <c r="K18" s="738"/>
      <c r="L18" s="739"/>
      <c r="M18" s="737"/>
      <c r="N18" s="738"/>
      <c r="O18" s="739"/>
      <c r="P18" s="737"/>
      <c r="Q18" s="738"/>
      <c r="R18" s="739"/>
      <c r="S18" s="737"/>
      <c r="T18" s="738"/>
      <c r="U18" s="740"/>
      <c r="V18" s="741"/>
      <c r="W18" s="742"/>
    </row>
    <row r="19" spans="1:23" s="752" customFormat="1" ht="12" customHeight="1" hidden="1">
      <c r="A19" s="735"/>
      <c r="B19" s="753"/>
      <c r="C19" s="739"/>
      <c r="D19" s="737"/>
      <c r="E19" s="738"/>
      <c r="F19" s="739"/>
      <c r="G19" s="737"/>
      <c r="H19" s="738"/>
      <c r="I19" s="739"/>
      <c r="J19" s="737"/>
      <c r="K19" s="738"/>
      <c r="L19" s="739"/>
      <c r="M19" s="737"/>
      <c r="N19" s="738"/>
      <c r="O19" s="739"/>
      <c r="P19" s="737"/>
      <c r="Q19" s="738"/>
      <c r="R19" s="739"/>
      <c r="S19" s="737"/>
      <c r="T19" s="738"/>
      <c r="U19" s="740"/>
      <c r="V19" s="741"/>
      <c r="W19" s="742"/>
    </row>
    <row r="20" spans="1:23" s="752" customFormat="1" ht="12" customHeight="1" hidden="1">
      <c r="A20" s="735"/>
      <c r="B20" s="736"/>
      <c r="C20" s="739"/>
      <c r="D20" s="737"/>
      <c r="E20" s="738"/>
      <c r="F20" s="739"/>
      <c r="G20" s="737"/>
      <c r="H20" s="738"/>
      <c r="I20" s="739"/>
      <c r="J20" s="737"/>
      <c r="K20" s="738"/>
      <c r="L20" s="739"/>
      <c r="M20" s="737"/>
      <c r="N20" s="738"/>
      <c r="O20" s="739"/>
      <c r="P20" s="737"/>
      <c r="Q20" s="738"/>
      <c r="R20" s="739"/>
      <c r="S20" s="737"/>
      <c r="T20" s="738"/>
      <c r="U20" s="740"/>
      <c r="V20" s="741"/>
      <c r="W20" s="742"/>
    </row>
    <row r="21" spans="1:23" s="752" customFormat="1" ht="12" customHeight="1" hidden="1">
      <c r="A21" s="735"/>
      <c r="B21" s="736"/>
      <c r="C21" s="739"/>
      <c r="D21" s="737"/>
      <c r="E21" s="738"/>
      <c r="F21" s="739"/>
      <c r="G21" s="737"/>
      <c r="H21" s="738"/>
      <c r="I21" s="739"/>
      <c r="J21" s="737"/>
      <c r="K21" s="738"/>
      <c r="L21" s="739"/>
      <c r="M21" s="737"/>
      <c r="N21" s="738"/>
      <c r="O21" s="739"/>
      <c r="P21" s="737"/>
      <c r="Q21" s="738"/>
      <c r="R21" s="739"/>
      <c r="S21" s="737"/>
      <c r="T21" s="738"/>
      <c r="U21" s="740"/>
      <c r="V21" s="741"/>
      <c r="W21" s="742"/>
    </row>
    <row r="22" spans="1:23" s="752" customFormat="1" ht="9" customHeight="1" hidden="1">
      <c r="A22" s="735"/>
      <c r="B22" s="736"/>
      <c r="C22" s="739"/>
      <c r="D22" s="737"/>
      <c r="E22" s="738"/>
      <c r="F22" s="739"/>
      <c r="G22" s="737"/>
      <c r="H22" s="738"/>
      <c r="I22" s="739"/>
      <c r="J22" s="737"/>
      <c r="K22" s="738"/>
      <c r="L22" s="739"/>
      <c r="M22" s="737"/>
      <c r="N22" s="738"/>
      <c r="O22" s="739"/>
      <c r="P22" s="737"/>
      <c r="Q22" s="738"/>
      <c r="R22" s="739"/>
      <c r="S22" s="737"/>
      <c r="T22" s="738"/>
      <c r="U22" s="740">
        <v>0</v>
      </c>
      <c r="V22" s="741">
        <v>0</v>
      </c>
      <c r="W22" s="742"/>
    </row>
    <row r="23" spans="1:23" s="752" customFormat="1" ht="9" customHeight="1" hidden="1">
      <c r="A23" s="735"/>
      <c r="B23" s="736"/>
      <c r="C23" s="739"/>
      <c r="D23" s="737"/>
      <c r="E23" s="738"/>
      <c r="F23" s="739"/>
      <c r="G23" s="737"/>
      <c r="H23" s="738"/>
      <c r="I23" s="739"/>
      <c r="J23" s="737"/>
      <c r="K23" s="738"/>
      <c r="L23" s="739"/>
      <c r="M23" s="737"/>
      <c r="N23" s="738"/>
      <c r="O23" s="739"/>
      <c r="P23" s="737"/>
      <c r="Q23" s="738"/>
      <c r="R23" s="739"/>
      <c r="S23" s="737"/>
      <c r="T23" s="738"/>
      <c r="U23" s="740">
        <v>0</v>
      </c>
      <c r="V23" s="741">
        <v>0</v>
      </c>
      <c r="W23" s="742"/>
    </row>
    <row r="24" spans="1:23" s="752" customFormat="1" ht="9" customHeight="1" hidden="1">
      <c r="A24" s="735"/>
      <c r="B24" s="736"/>
      <c r="C24" s="739"/>
      <c r="D24" s="737"/>
      <c r="E24" s="738"/>
      <c r="F24" s="739"/>
      <c r="G24" s="737"/>
      <c r="H24" s="738"/>
      <c r="I24" s="739"/>
      <c r="J24" s="737"/>
      <c r="K24" s="738"/>
      <c r="L24" s="739"/>
      <c r="M24" s="737"/>
      <c r="N24" s="738"/>
      <c r="O24" s="739"/>
      <c r="P24" s="737"/>
      <c r="Q24" s="738"/>
      <c r="R24" s="739"/>
      <c r="S24" s="737"/>
      <c r="T24" s="738"/>
      <c r="U24" s="740">
        <v>0</v>
      </c>
      <c r="V24" s="741">
        <v>0</v>
      </c>
      <c r="W24" s="742"/>
    </row>
    <row r="25" spans="1:23" s="752" customFormat="1" ht="9" customHeight="1" hidden="1">
      <c r="A25" s="735"/>
      <c r="B25" s="736"/>
      <c r="C25" s="739"/>
      <c r="D25" s="737"/>
      <c r="E25" s="738"/>
      <c r="F25" s="739"/>
      <c r="G25" s="737"/>
      <c r="H25" s="738"/>
      <c r="I25" s="739"/>
      <c r="J25" s="737"/>
      <c r="K25" s="738"/>
      <c r="L25" s="739"/>
      <c r="M25" s="737"/>
      <c r="N25" s="738"/>
      <c r="O25" s="739"/>
      <c r="P25" s="737"/>
      <c r="Q25" s="738"/>
      <c r="R25" s="739"/>
      <c r="S25" s="737"/>
      <c r="T25" s="738"/>
      <c r="U25" s="740">
        <v>0</v>
      </c>
      <c r="V25" s="741">
        <v>0</v>
      </c>
      <c r="W25" s="742"/>
    </row>
    <row r="26" spans="1:23" s="752" customFormat="1" ht="8.25" customHeight="1">
      <c r="A26" s="743" t="s">
        <v>76</v>
      </c>
      <c r="B26" s="755" t="s">
        <v>845</v>
      </c>
      <c r="C26" s="750"/>
      <c r="D26" s="749"/>
      <c r="E26" s="747"/>
      <c r="F26" s="750"/>
      <c r="G26" s="749"/>
      <c r="H26" s="747"/>
      <c r="I26" s="750"/>
      <c r="J26" s="749"/>
      <c r="K26" s="747"/>
      <c r="L26" s="750"/>
      <c r="M26" s="749"/>
      <c r="N26" s="747"/>
      <c r="O26" s="750"/>
      <c r="P26" s="749"/>
      <c r="Q26" s="747"/>
      <c r="R26" s="750"/>
      <c r="S26" s="749"/>
      <c r="T26" s="747"/>
      <c r="U26" s="749"/>
      <c r="V26" s="749"/>
      <c r="W26" s="751"/>
    </row>
    <row r="27" spans="1:23" s="752" customFormat="1" ht="9.75" customHeight="1">
      <c r="A27" s="735"/>
      <c r="B27" s="756"/>
      <c r="C27" s="739"/>
      <c r="D27" s="737"/>
      <c r="E27" s="738"/>
      <c r="F27" s="739"/>
      <c r="G27" s="737"/>
      <c r="H27" s="738"/>
      <c r="I27" s="739"/>
      <c r="J27" s="737"/>
      <c r="K27" s="738"/>
      <c r="L27" s="739"/>
      <c r="M27" s="737"/>
      <c r="N27" s="738"/>
      <c r="O27" s="739"/>
      <c r="P27" s="737"/>
      <c r="Q27" s="738"/>
      <c r="R27" s="739"/>
      <c r="S27" s="737"/>
      <c r="T27" s="738"/>
      <c r="U27" s="740"/>
      <c r="V27" s="741"/>
      <c r="W27" s="742"/>
    </row>
    <row r="28" spans="1:25" s="752" customFormat="1" ht="11.25" customHeight="1" hidden="1">
      <c r="A28" s="735"/>
      <c r="B28" s="756"/>
      <c r="C28" s="739"/>
      <c r="D28" s="737"/>
      <c r="E28" s="738"/>
      <c r="F28" s="739"/>
      <c r="G28" s="737"/>
      <c r="H28" s="738"/>
      <c r="I28" s="739"/>
      <c r="J28" s="737"/>
      <c r="K28" s="738"/>
      <c r="L28" s="739"/>
      <c r="M28" s="737"/>
      <c r="N28" s="738"/>
      <c r="O28" s="739"/>
      <c r="P28" s="737"/>
      <c r="Q28" s="738"/>
      <c r="R28" s="739"/>
      <c r="S28" s="737"/>
      <c r="T28" s="738"/>
      <c r="U28" s="740"/>
      <c r="V28" s="741"/>
      <c r="W28" s="742"/>
      <c r="Y28" s="757"/>
    </row>
    <row r="29" spans="1:23" s="752" customFormat="1" ht="11.25" customHeight="1" hidden="1">
      <c r="A29" s="735"/>
      <c r="B29" s="756"/>
      <c r="C29" s="739"/>
      <c r="D29" s="737"/>
      <c r="E29" s="738"/>
      <c r="F29" s="739"/>
      <c r="G29" s="737"/>
      <c r="H29" s="738"/>
      <c r="I29" s="739"/>
      <c r="J29" s="737"/>
      <c r="K29" s="738"/>
      <c r="L29" s="739"/>
      <c r="M29" s="737"/>
      <c r="N29" s="738"/>
      <c r="O29" s="739"/>
      <c r="P29" s="737"/>
      <c r="Q29" s="738"/>
      <c r="R29" s="739"/>
      <c r="S29" s="737"/>
      <c r="T29" s="738"/>
      <c r="U29" s="740"/>
      <c r="V29" s="741"/>
      <c r="W29" s="742"/>
    </row>
    <row r="30" spans="1:23" s="752" customFormat="1" ht="9" customHeight="1" hidden="1">
      <c r="A30" s="735"/>
      <c r="B30" s="756"/>
      <c r="C30" s="739"/>
      <c r="D30" s="737"/>
      <c r="E30" s="738"/>
      <c r="F30" s="739"/>
      <c r="G30" s="737"/>
      <c r="H30" s="738"/>
      <c r="I30" s="739"/>
      <c r="J30" s="737"/>
      <c r="K30" s="738"/>
      <c r="L30" s="739"/>
      <c r="M30" s="737"/>
      <c r="N30" s="738"/>
      <c r="O30" s="739"/>
      <c r="P30" s="737"/>
      <c r="Q30" s="738"/>
      <c r="R30" s="739"/>
      <c r="S30" s="737"/>
      <c r="T30" s="738"/>
      <c r="U30" s="740">
        <v>0</v>
      </c>
      <c r="V30" s="741">
        <v>0</v>
      </c>
      <c r="W30" s="742">
        <v>0</v>
      </c>
    </row>
    <row r="31" spans="1:23" s="752" customFormat="1" ht="9" customHeight="1">
      <c r="A31" s="743" t="s">
        <v>77</v>
      </c>
      <c r="B31" s="755" t="s">
        <v>846</v>
      </c>
      <c r="C31" s="750"/>
      <c r="D31" s="758"/>
      <c r="E31" s="747"/>
      <c r="F31" s="750"/>
      <c r="G31" s="758"/>
      <c r="H31" s="747"/>
      <c r="I31" s="750"/>
      <c r="J31" s="749"/>
      <c r="K31" s="747"/>
      <c r="L31" s="750"/>
      <c r="M31" s="749"/>
      <c r="N31" s="747"/>
      <c r="O31" s="750"/>
      <c r="P31" s="758"/>
      <c r="Q31" s="747"/>
      <c r="R31" s="750"/>
      <c r="S31" s="749"/>
      <c r="T31" s="747"/>
      <c r="U31" s="749"/>
      <c r="V31" s="749"/>
      <c r="W31" s="751"/>
    </row>
    <row r="32" spans="1:23" s="752" customFormat="1" ht="11.25" customHeight="1">
      <c r="A32" s="759" t="s">
        <v>1150</v>
      </c>
      <c r="B32" s="1262" t="s">
        <v>847</v>
      </c>
      <c r="C32" s="737">
        <v>42394</v>
      </c>
      <c r="D32" s="1234">
        <f>55945-7920+622+761</f>
        <v>49408</v>
      </c>
      <c r="E32" s="738">
        <f>D32/C32</f>
        <v>1.165447940746332</v>
      </c>
      <c r="F32" s="737">
        <v>11370</v>
      </c>
      <c r="G32" s="1234">
        <f>15140-2079+168+205</f>
        <v>13434</v>
      </c>
      <c r="H32" s="738">
        <f>G32/F32</f>
        <v>1.1815303430079156</v>
      </c>
      <c r="I32" s="737">
        <v>26177</v>
      </c>
      <c r="J32" s="737">
        <v>35267</v>
      </c>
      <c r="K32" s="738">
        <f>J32/I32</f>
        <v>1.3472514039041907</v>
      </c>
      <c r="L32" s="739"/>
      <c r="M32" s="737"/>
      <c r="N32" s="738"/>
      <c r="O32" s="739"/>
      <c r="P32" s="737"/>
      <c r="Q32" s="738"/>
      <c r="R32" s="739"/>
      <c r="S32" s="737"/>
      <c r="T32" s="738"/>
      <c r="U32" s="740">
        <f>C32+F32+I32+L32+O32+R32</f>
        <v>79941</v>
      </c>
      <c r="V32" s="741">
        <f>D32+G32+J32+M32+P32+S32</f>
        <v>98109</v>
      </c>
      <c r="W32" s="742">
        <f>V32/U32</f>
        <v>1.2272676098622735</v>
      </c>
    </row>
    <row r="33" spans="1:23" s="752" customFormat="1" ht="11.25" customHeight="1" hidden="1">
      <c r="A33" s="735"/>
      <c r="B33" s="1262" t="s">
        <v>762</v>
      </c>
      <c r="C33" s="737">
        <v>1080</v>
      </c>
      <c r="D33" s="1234"/>
      <c r="E33" s="738">
        <f aca="true" t="shared" si="1" ref="E33:E43">D33/C33</f>
        <v>0</v>
      </c>
      <c r="F33" s="737">
        <v>296</v>
      </c>
      <c r="G33" s="1234"/>
      <c r="H33" s="738">
        <f aca="true" t="shared" si="2" ref="H33:H39">G33/F33</f>
        <v>0</v>
      </c>
      <c r="I33" s="737">
        <v>3124</v>
      </c>
      <c r="J33" s="737">
        <v>0</v>
      </c>
      <c r="K33" s="738">
        <f aca="true" t="shared" si="3" ref="K33:K46">J33/I33</f>
        <v>0</v>
      </c>
      <c r="L33" s="739"/>
      <c r="M33" s="737"/>
      <c r="N33" s="738"/>
      <c r="O33" s="739"/>
      <c r="P33" s="737"/>
      <c r="Q33" s="738"/>
      <c r="R33" s="739"/>
      <c r="S33" s="737"/>
      <c r="T33" s="738"/>
      <c r="U33" s="740">
        <f aca="true" t="shared" si="4" ref="U33:V48">C33+F33+I33+L33+O33+R33</f>
        <v>4500</v>
      </c>
      <c r="V33" s="741">
        <f t="shared" si="4"/>
        <v>0</v>
      </c>
      <c r="W33" s="742">
        <f aca="true" t="shared" si="5" ref="W33:W43">V33/U33</f>
        <v>0</v>
      </c>
    </row>
    <row r="34" spans="1:23" s="752" customFormat="1" ht="11.25" customHeight="1" hidden="1">
      <c r="A34" s="735"/>
      <c r="B34" s="1262" t="s">
        <v>848</v>
      </c>
      <c r="C34" s="737">
        <v>334</v>
      </c>
      <c r="D34" s="1234"/>
      <c r="E34" s="738">
        <f t="shared" si="1"/>
        <v>0</v>
      </c>
      <c r="F34" s="737">
        <v>90</v>
      </c>
      <c r="G34" s="1234"/>
      <c r="H34" s="738">
        <f t="shared" si="2"/>
        <v>0</v>
      </c>
      <c r="I34" s="737">
        <v>31243</v>
      </c>
      <c r="J34" s="737">
        <v>0</v>
      </c>
      <c r="K34" s="738">
        <f t="shared" si="3"/>
        <v>0</v>
      </c>
      <c r="L34" s="739"/>
      <c r="M34" s="737"/>
      <c r="N34" s="738"/>
      <c r="O34" s="739"/>
      <c r="P34" s="737"/>
      <c r="Q34" s="738"/>
      <c r="R34" s="739"/>
      <c r="S34" s="737"/>
      <c r="T34" s="738"/>
      <c r="U34" s="740">
        <f t="shared" si="4"/>
        <v>31667</v>
      </c>
      <c r="V34" s="741">
        <f t="shared" si="4"/>
        <v>0</v>
      </c>
      <c r="W34" s="742">
        <f t="shared" si="5"/>
        <v>0</v>
      </c>
    </row>
    <row r="35" spans="1:23" s="752" customFormat="1" ht="11.25" customHeight="1">
      <c r="A35" s="1109"/>
      <c r="B35" s="1262" t="s">
        <v>849</v>
      </c>
      <c r="C35" s="737">
        <f>470312-56408</f>
        <v>413904</v>
      </c>
      <c r="D35" s="1234">
        <f>338041-84289+2024+1026+971+382+1591</f>
        <v>259746</v>
      </c>
      <c r="E35" s="738">
        <f t="shared" si="1"/>
        <v>0.6275513162472457</v>
      </c>
      <c r="F35" s="737">
        <f>128520-15163</f>
        <v>113357</v>
      </c>
      <c r="G35" s="1234">
        <f>92893-23445+537+264+262+103+429</f>
        <v>71043</v>
      </c>
      <c r="H35" s="738">
        <f t="shared" si="2"/>
        <v>0.6267191263000962</v>
      </c>
      <c r="I35" s="737">
        <f>187177-1093</f>
        <v>186084</v>
      </c>
      <c r="J35" s="737">
        <f>142690+38</f>
        <v>142728</v>
      </c>
      <c r="K35" s="738">
        <f t="shared" si="3"/>
        <v>0.7670084477977688</v>
      </c>
      <c r="L35" s="739"/>
      <c r="M35" s="737"/>
      <c r="N35" s="738"/>
      <c r="O35" s="739"/>
      <c r="P35" s="737"/>
      <c r="Q35" s="738"/>
      <c r="R35" s="739">
        <v>500</v>
      </c>
      <c r="S35" s="737">
        <v>500</v>
      </c>
      <c r="T35" s="738">
        <f>S35/R35</f>
        <v>1</v>
      </c>
      <c r="U35" s="740">
        <f t="shared" si="4"/>
        <v>713845</v>
      </c>
      <c r="V35" s="1110">
        <f t="shared" si="4"/>
        <v>474017</v>
      </c>
      <c r="W35" s="742">
        <f t="shared" si="5"/>
        <v>0.6640335086748523</v>
      </c>
    </row>
    <row r="36" spans="1:23" s="752" customFormat="1" ht="11.25" customHeight="1">
      <c r="A36" s="735" t="s">
        <v>1150</v>
      </c>
      <c r="B36" s="1262" t="s">
        <v>850</v>
      </c>
      <c r="C36" s="737">
        <v>56408</v>
      </c>
      <c r="D36" s="1234">
        <f>43672-9491+675+800</f>
        <v>35656</v>
      </c>
      <c r="E36" s="738">
        <f t="shared" si="1"/>
        <v>0.6321089207204652</v>
      </c>
      <c r="F36" s="737">
        <v>15163</v>
      </c>
      <c r="G36" s="1234">
        <f>11965-2466+182+216</f>
        <v>9897</v>
      </c>
      <c r="H36" s="738">
        <f t="shared" si="2"/>
        <v>0.6527072479060871</v>
      </c>
      <c r="I36" s="737">
        <v>1093</v>
      </c>
      <c r="J36" s="737">
        <v>1007</v>
      </c>
      <c r="K36" s="738">
        <f t="shared" si="3"/>
        <v>0.9213174748398902</v>
      </c>
      <c r="L36" s="739"/>
      <c r="M36" s="737"/>
      <c r="N36" s="738"/>
      <c r="O36" s="739"/>
      <c r="P36" s="737"/>
      <c r="Q36" s="738"/>
      <c r="R36" s="739"/>
      <c r="S36" s="737"/>
      <c r="T36" s="738"/>
      <c r="U36" s="740">
        <f t="shared" si="4"/>
        <v>72664</v>
      </c>
      <c r="V36" s="741">
        <f t="shared" si="4"/>
        <v>46560</v>
      </c>
      <c r="W36" s="742">
        <f t="shared" si="5"/>
        <v>0.6407574589893207</v>
      </c>
    </row>
    <row r="37" spans="1:23" s="752" customFormat="1" ht="11.25" customHeight="1">
      <c r="A37" s="1109" t="s">
        <v>1150</v>
      </c>
      <c r="B37" s="761" t="s">
        <v>851</v>
      </c>
      <c r="C37" s="737">
        <v>17558</v>
      </c>
      <c r="D37" s="1233">
        <v>2126</v>
      </c>
      <c r="E37" s="738">
        <f t="shared" si="1"/>
        <v>0.12108440596878915</v>
      </c>
      <c r="F37" s="737">
        <v>4882</v>
      </c>
      <c r="G37" s="737">
        <v>574</v>
      </c>
      <c r="H37" s="738">
        <f t="shared" si="2"/>
        <v>0.11757476444080295</v>
      </c>
      <c r="I37" s="737">
        <v>4240</v>
      </c>
      <c r="J37" s="737">
        <v>100</v>
      </c>
      <c r="K37" s="738">
        <f t="shared" si="3"/>
        <v>0.02358490566037736</v>
      </c>
      <c r="L37" s="739"/>
      <c r="M37" s="737"/>
      <c r="N37" s="738"/>
      <c r="O37" s="739"/>
      <c r="P37" s="737"/>
      <c r="Q37" s="738"/>
      <c r="R37" s="739">
        <v>15</v>
      </c>
      <c r="S37" s="737">
        <v>0</v>
      </c>
      <c r="T37" s="738">
        <f>S37/R37</f>
        <v>0</v>
      </c>
      <c r="U37" s="740">
        <f t="shared" si="4"/>
        <v>26695</v>
      </c>
      <c r="V37" s="741">
        <f t="shared" si="4"/>
        <v>2800</v>
      </c>
      <c r="W37" s="742">
        <f t="shared" si="5"/>
        <v>0.10488855590934631</v>
      </c>
    </row>
    <row r="38" spans="1:23" s="752" customFormat="1" ht="11.25" customHeight="1">
      <c r="A38" s="735" t="s">
        <v>1149</v>
      </c>
      <c r="B38" s="761" t="s">
        <v>852</v>
      </c>
      <c r="C38" s="737">
        <v>0</v>
      </c>
      <c r="D38" s="1233">
        <v>195</v>
      </c>
      <c r="E38" s="738">
        <v>0</v>
      </c>
      <c r="F38" s="737">
        <v>0</v>
      </c>
      <c r="G38" s="737">
        <v>193</v>
      </c>
      <c r="H38" s="738">
        <v>0</v>
      </c>
      <c r="I38" s="737">
        <v>800</v>
      </c>
      <c r="J38" s="737">
        <v>392</v>
      </c>
      <c r="K38" s="738">
        <f t="shared" si="3"/>
        <v>0.49</v>
      </c>
      <c r="L38" s="739"/>
      <c r="M38" s="737"/>
      <c r="N38" s="738"/>
      <c r="O38" s="739"/>
      <c r="P38" s="737"/>
      <c r="Q38" s="738"/>
      <c r="R38" s="739"/>
      <c r="S38" s="737"/>
      <c r="T38" s="738"/>
      <c r="U38" s="740">
        <f t="shared" si="4"/>
        <v>800</v>
      </c>
      <c r="V38" s="741">
        <f t="shared" si="4"/>
        <v>780</v>
      </c>
      <c r="W38" s="742">
        <f t="shared" si="5"/>
        <v>0.975</v>
      </c>
    </row>
    <row r="39" spans="1:23" s="752" customFormat="1" ht="11.25" customHeight="1">
      <c r="A39" s="735" t="s">
        <v>1150</v>
      </c>
      <c r="B39" s="761" t="s">
        <v>853</v>
      </c>
      <c r="C39" s="737">
        <v>14500</v>
      </c>
      <c r="D39" s="1233">
        <v>14500</v>
      </c>
      <c r="E39" s="738">
        <f t="shared" si="1"/>
        <v>1</v>
      </c>
      <c r="F39" s="737">
        <v>4415</v>
      </c>
      <c r="G39" s="737">
        <v>4415</v>
      </c>
      <c r="H39" s="738">
        <f t="shared" si="2"/>
        <v>1</v>
      </c>
      <c r="I39" s="737"/>
      <c r="J39" s="737"/>
      <c r="K39" s="738"/>
      <c r="L39" s="739"/>
      <c r="M39" s="737"/>
      <c r="N39" s="738"/>
      <c r="O39" s="739"/>
      <c r="P39" s="737"/>
      <c r="Q39" s="738"/>
      <c r="R39" s="739"/>
      <c r="S39" s="737"/>
      <c r="T39" s="738"/>
      <c r="U39" s="740">
        <f t="shared" si="4"/>
        <v>18915</v>
      </c>
      <c r="V39" s="741">
        <f t="shared" si="4"/>
        <v>18915</v>
      </c>
      <c r="W39" s="742">
        <f t="shared" si="5"/>
        <v>1</v>
      </c>
    </row>
    <row r="40" spans="1:23" s="752" customFormat="1" ht="11.25" customHeight="1">
      <c r="A40" s="735" t="s">
        <v>1150</v>
      </c>
      <c r="B40" s="761" t="s">
        <v>719</v>
      </c>
      <c r="C40" s="737"/>
      <c r="D40" s="737"/>
      <c r="E40" s="738"/>
      <c r="F40" s="737"/>
      <c r="G40" s="737"/>
      <c r="H40" s="738"/>
      <c r="I40" s="737">
        <v>7000</v>
      </c>
      <c r="J40" s="737">
        <v>2887</v>
      </c>
      <c r="K40" s="738">
        <f t="shared" si="3"/>
        <v>0.4124285714285714</v>
      </c>
      <c r="L40" s="739"/>
      <c r="M40" s="737"/>
      <c r="N40" s="738"/>
      <c r="O40" s="739"/>
      <c r="P40" s="737"/>
      <c r="Q40" s="738"/>
      <c r="R40" s="739"/>
      <c r="S40" s="737"/>
      <c r="T40" s="738"/>
      <c r="U40" s="740">
        <f t="shared" si="4"/>
        <v>7000</v>
      </c>
      <c r="V40" s="741">
        <f t="shared" si="4"/>
        <v>2887</v>
      </c>
      <c r="W40" s="742">
        <f t="shared" si="5"/>
        <v>0.4124285714285714</v>
      </c>
    </row>
    <row r="41" spans="1:23" s="752" customFormat="1" ht="11.25" customHeight="1">
      <c r="A41" s="735" t="s">
        <v>1150</v>
      </c>
      <c r="B41" s="761" t="s">
        <v>721</v>
      </c>
      <c r="C41" s="737"/>
      <c r="D41" s="737"/>
      <c r="E41" s="738"/>
      <c r="F41" s="737"/>
      <c r="G41" s="737"/>
      <c r="H41" s="738"/>
      <c r="I41" s="737">
        <v>26325</v>
      </c>
      <c r="J41" s="737">
        <v>27111</v>
      </c>
      <c r="K41" s="738">
        <f t="shared" si="3"/>
        <v>1.02985754985755</v>
      </c>
      <c r="L41" s="739"/>
      <c r="M41" s="737"/>
      <c r="N41" s="738"/>
      <c r="O41" s="739"/>
      <c r="P41" s="737"/>
      <c r="Q41" s="738"/>
      <c r="R41" s="739"/>
      <c r="S41" s="737"/>
      <c r="T41" s="738"/>
      <c r="U41" s="740">
        <f t="shared" si="4"/>
        <v>26325</v>
      </c>
      <c r="V41" s="741">
        <f t="shared" si="4"/>
        <v>27111</v>
      </c>
      <c r="W41" s="742">
        <f t="shared" si="5"/>
        <v>1.02985754985755</v>
      </c>
    </row>
    <row r="42" spans="1:23" s="752" customFormat="1" ht="11.25" customHeight="1" hidden="1">
      <c r="A42" s="735"/>
      <c r="B42" s="736" t="s">
        <v>854</v>
      </c>
      <c r="C42" s="737"/>
      <c r="D42" s="737"/>
      <c r="E42" s="738"/>
      <c r="F42" s="737"/>
      <c r="G42" s="737"/>
      <c r="H42" s="738"/>
      <c r="I42" s="737">
        <v>1000</v>
      </c>
      <c r="J42" s="737">
        <v>0</v>
      </c>
      <c r="K42" s="738">
        <f t="shared" si="3"/>
        <v>0</v>
      </c>
      <c r="L42" s="739"/>
      <c r="M42" s="737"/>
      <c r="N42" s="738"/>
      <c r="O42" s="739"/>
      <c r="P42" s="737"/>
      <c r="Q42" s="738"/>
      <c r="R42" s="739"/>
      <c r="S42" s="737"/>
      <c r="T42" s="738"/>
      <c r="U42" s="740">
        <f t="shared" si="4"/>
        <v>1000</v>
      </c>
      <c r="V42" s="741">
        <f t="shared" si="4"/>
        <v>0</v>
      </c>
      <c r="W42" s="742">
        <f t="shared" si="5"/>
        <v>0</v>
      </c>
    </row>
    <row r="43" spans="1:23" s="752" customFormat="1" ht="11.25" customHeight="1" hidden="1">
      <c r="A43" s="735"/>
      <c r="B43" s="736" t="s">
        <v>855</v>
      </c>
      <c r="C43" s="737">
        <v>1530</v>
      </c>
      <c r="D43" s="737">
        <v>0</v>
      </c>
      <c r="E43" s="738">
        <f t="shared" si="1"/>
        <v>0</v>
      </c>
      <c r="F43" s="737">
        <v>413</v>
      </c>
      <c r="G43" s="737">
        <v>0</v>
      </c>
      <c r="H43" s="738">
        <f>G43/F43</f>
        <v>0</v>
      </c>
      <c r="I43" s="737">
        <v>3721</v>
      </c>
      <c r="J43" s="737">
        <v>0</v>
      </c>
      <c r="K43" s="738">
        <f t="shared" si="3"/>
        <v>0</v>
      </c>
      <c r="L43" s="739"/>
      <c r="M43" s="737"/>
      <c r="N43" s="738"/>
      <c r="O43" s="739"/>
      <c r="P43" s="737"/>
      <c r="Q43" s="738"/>
      <c r="R43" s="739"/>
      <c r="S43" s="737"/>
      <c r="T43" s="738"/>
      <c r="U43" s="740">
        <f t="shared" si="4"/>
        <v>5664</v>
      </c>
      <c r="V43" s="741">
        <f t="shared" si="4"/>
        <v>0</v>
      </c>
      <c r="W43" s="742">
        <f t="shared" si="5"/>
        <v>0</v>
      </c>
    </row>
    <row r="44" spans="1:23" s="752" customFormat="1" ht="11.25" customHeight="1" hidden="1">
      <c r="A44" s="735"/>
      <c r="B44" s="736" t="s">
        <v>856</v>
      </c>
      <c r="C44" s="737"/>
      <c r="D44" s="737"/>
      <c r="E44" s="738"/>
      <c r="F44" s="737"/>
      <c r="G44" s="737"/>
      <c r="H44" s="738"/>
      <c r="I44" s="737">
        <v>200</v>
      </c>
      <c r="J44" s="737">
        <v>0</v>
      </c>
      <c r="K44" s="738">
        <f t="shared" si="3"/>
        <v>0</v>
      </c>
      <c r="L44" s="739"/>
      <c r="M44" s="737"/>
      <c r="N44" s="738"/>
      <c r="O44" s="739"/>
      <c r="P44" s="737"/>
      <c r="Q44" s="738"/>
      <c r="R44" s="739"/>
      <c r="S44" s="737"/>
      <c r="T44" s="738"/>
      <c r="U44" s="740">
        <f t="shared" si="4"/>
        <v>200</v>
      </c>
      <c r="V44" s="741">
        <f t="shared" si="4"/>
        <v>0</v>
      </c>
      <c r="W44" s="742">
        <v>0</v>
      </c>
    </row>
    <row r="45" spans="1:23" s="752" customFormat="1" ht="11.25" customHeight="1">
      <c r="A45" s="735" t="s">
        <v>1150</v>
      </c>
      <c r="B45" s="761" t="s">
        <v>857</v>
      </c>
      <c r="C45" s="739"/>
      <c r="D45" s="737"/>
      <c r="E45" s="738"/>
      <c r="F45" s="739"/>
      <c r="G45" s="737"/>
      <c r="H45" s="738"/>
      <c r="I45" s="737">
        <v>3600</v>
      </c>
      <c r="J45" s="737">
        <v>3346</v>
      </c>
      <c r="K45" s="738">
        <f t="shared" si="3"/>
        <v>0.9294444444444444</v>
      </c>
      <c r="L45" s="739"/>
      <c r="M45" s="737"/>
      <c r="N45" s="738"/>
      <c r="O45" s="739"/>
      <c r="P45" s="737"/>
      <c r="Q45" s="738"/>
      <c r="R45" s="739"/>
      <c r="S45" s="737"/>
      <c r="T45" s="738"/>
      <c r="U45" s="740">
        <f t="shared" si="4"/>
        <v>3600</v>
      </c>
      <c r="V45" s="741">
        <f t="shared" si="4"/>
        <v>3346</v>
      </c>
      <c r="W45" s="742">
        <f>V45/U45</f>
        <v>0.9294444444444444</v>
      </c>
    </row>
    <row r="46" spans="1:23" s="752" customFormat="1" ht="11.25" customHeight="1" hidden="1">
      <c r="A46" s="735"/>
      <c r="B46" s="761" t="s">
        <v>761</v>
      </c>
      <c r="C46" s="739"/>
      <c r="D46" s="737"/>
      <c r="E46" s="738"/>
      <c r="F46" s="739"/>
      <c r="G46" s="737"/>
      <c r="H46" s="738"/>
      <c r="I46" s="737">
        <v>15000</v>
      </c>
      <c r="J46" s="737">
        <v>0</v>
      </c>
      <c r="K46" s="738">
        <f t="shared" si="3"/>
        <v>0</v>
      </c>
      <c r="L46" s="739"/>
      <c r="M46" s="737"/>
      <c r="N46" s="738"/>
      <c r="O46" s="739"/>
      <c r="P46" s="737"/>
      <c r="Q46" s="738"/>
      <c r="R46" s="739"/>
      <c r="S46" s="737"/>
      <c r="T46" s="738"/>
      <c r="U46" s="740">
        <f t="shared" si="4"/>
        <v>15000</v>
      </c>
      <c r="V46" s="741">
        <f t="shared" si="4"/>
        <v>0</v>
      </c>
      <c r="W46" s="742">
        <v>0</v>
      </c>
    </row>
    <row r="47" spans="1:23" s="752" customFormat="1" ht="11.25" customHeight="1">
      <c r="A47" s="735" t="s">
        <v>1150</v>
      </c>
      <c r="B47" s="736" t="s">
        <v>859</v>
      </c>
      <c r="C47" s="739"/>
      <c r="D47" s="737"/>
      <c r="E47" s="738"/>
      <c r="F47" s="739"/>
      <c r="G47" s="737"/>
      <c r="H47" s="738"/>
      <c r="I47" s="739">
        <v>0</v>
      </c>
      <c r="J47" s="737">
        <v>1500</v>
      </c>
      <c r="K47" s="738">
        <v>0</v>
      </c>
      <c r="L47" s="739"/>
      <c r="M47" s="737"/>
      <c r="N47" s="738"/>
      <c r="O47" s="739"/>
      <c r="P47" s="737"/>
      <c r="Q47" s="738"/>
      <c r="R47" s="739"/>
      <c r="S47" s="737"/>
      <c r="T47" s="738"/>
      <c r="U47" s="740">
        <f t="shared" si="4"/>
        <v>0</v>
      </c>
      <c r="V47" s="741">
        <f t="shared" si="4"/>
        <v>1500</v>
      </c>
      <c r="W47" s="742">
        <v>0</v>
      </c>
    </row>
    <row r="48" spans="1:23" s="752" customFormat="1" ht="11.25" customHeight="1">
      <c r="A48" s="735" t="s">
        <v>1150</v>
      </c>
      <c r="B48" s="736" t="s">
        <v>858</v>
      </c>
      <c r="C48" s="739"/>
      <c r="D48" s="737"/>
      <c r="E48" s="738"/>
      <c r="F48" s="739"/>
      <c r="G48" s="737"/>
      <c r="H48" s="738"/>
      <c r="I48" s="739">
        <v>0</v>
      </c>
      <c r="J48" s="737">
        <v>4358</v>
      </c>
      <c r="K48" s="738">
        <v>0</v>
      </c>
      <c r="L48" s="739"/>
      <c r="M48" s="737"/>
      <c r="N48" s="738"/>
      <c r="O48" s="739"/>
      <c r="P48" s="737"/>
      <c r="Q48" s="738"/>
      <c r="R48" s="739"/>
      <c r="S48" s="737"/>
      <c r="T48" s="738"/>
      <c r="U48" s="740">
        <f t="shared" si="4"/>
        <v>0</v>
      </c>
      <c r="V48" s="741">
        <f t="shared" si="4"/>
        <v>4358</v>
      </c>
      <c r="W48" s="742">
        <v>0</v>
      </c>
    </row>
    <row r="49" spans="1:23" s="752" customFormat="1" ht="11.25" customHeight="1" thickBot="1">
      <c r="A49" s="735"/>
      <c r="B49" s="868"/>
      <c r="C49" s="739"/>
      <c r="D49" s="737"/>
      <c r="E49" s="738"/>
      <c r="F49" s="739"/>
      <c r="G49" s="737"/>
      <c r="H49" s="738"/>
      <c r="I49" s="739"/>
      <c r="J49" s="737"/>
      <c r="K49" s="738"/>
      <c r="L49" s="739"/>
      <c r="M49" s="737"/>
      <c r="N49" s="738"/>
      <c r="O49" s="739"/>
      <c r="P49" s="737"/>
      <c r="Q49" s="738"/>
      <c r="R49" s="739"/>
      <c r="S49" s="737"/>
      <c r="T49" s="738"/>
      <c r="U49" s="740">
        <f>C49+F49+I49+L49+O49+R49</f>
        <v>0</v>
      </c>
      <c r="V49" s="741">
        <f>D49+G49+J49+M49+P49+S49</f>
        <v>0</v>
      </c>
      <c r="W49" s="742">
        <v>0</v>
      </c>
    </row>
    <row r="50" spans="1:23" s="752" customFormat="1" ht="11.25" customHeight="1" hidden="1">
      <c r="A50" s="735"/>
      <c r="B50" s="868"/>
      <c r="C50" s="739"/>
      <c r="D50" s="737"/>
      <c r="E50" s="738"/>
      <c r="F50" s="739"/>
      <c r="G50" s="737"/>
      <c r="H50" s="738"/>
      <c r="I50" s="739"/>
      <c r="J50" s="737"/>
      <c r="K50" s="738"/>
      <c r="L50" s="739"/>
      <c r="M50" s="737"/>
      <c r="N50" s="738"/>
      <c r="O50" s="739"/>
      <c r="P50" s="737"/>
      <c r="Q50" s="738"/>
      <c r="R50" s="739"/>
      <c r="S50" s="737"/>
      <c r="T50" s="738"/>
      <c r="U50" s="740">
        <f aca="true" t="shared" si="6" ref="U50:V58">C50+F50+I50+L50+O50+R50</f>
        <v>0</v>
      </c>
      <c r="V50" s="741">
        <f t="shared" si="6"/>
        <v>0</v>
      </c>
      <c r="W50" s="742">
        <v>0</v>
      </c>
    </row>
    <row r="51" spans="1:23" s="752" customFormat="1" ht="11.25" customHeight="1" hidden="1">
      <c r="A51" s="735"/>
      <c r="B51" s="761"/>
      <c r="C51" s="739"/>
      <c r="D51" s="737"/>
      <c r="E51" s="738"/>
      <c r="F51" s="739"/>
      <c r="G51" s="737"/>
      <c r="H51" s="738"/>
      <c r="I51" s="739"/>
      <c r="J51" s="737"/>
      <c r="K51" s="738"/>
      <c r="L51" s="739"/>
      <c r="M51" s="737"/>
      <c r="N51" s="738"/>
      <c r="O51" s="739"/>
      <c r="P51" s="737"/>
      <c r="Q51" s="738"/>
      <c r="R51" s="739"/>
      <c r="S51" s="737"/>
      <c r="T51" s="738"/>
      <c r="U51" s="740">
        <f t="shared" si="6"/>
        <v>0</v>
      </c>
      <c r="V51" s="741">
        <f t="shared" si="6"/>
        <v>0</v>
      </c>
      <c r="W51" s="742">
        <v>0</v>
      </c>
    </row>
    <row r="52" spans="1:23" s="752" customFormat="1" ht="11.25" customHeight="1" hidden="1">
      <c r="A52" s="735"/>
      <c r="B52" s="761"/>
      <c r="C52" s="739"/>
      <c r="D52" s="737"/>
      <c r="E52" s="738"/>
      <c r="F52" s="739"/>
      <c r="G52" s="737"/>
      <c r="H52" s="738"/>
      <c r="I52" s="739"/>
      <c r="J52" s="737"/>
      <c r="K52" s="738"/>
      <c r="L52" s="739"/>
      <c r="M52" s="737"/>
      <c r="N52" s="738"/>
      <c r="O52" s="739"/>
      <c r="P52" s="737"/>
      <c r="Q52" s="738"/>
      <c r="R52" s="739"/>
      <c r="S52" s="737"/>
      <c r="T52" s="738"/>
      <c r="U52" s="740">
        <f t="shared" si="6"/>
        <v>0</v>
      </c>
      <c r="V52" s="741">
        <f t="shared" si="6"/>
        <v>0</v>
      </c>
      <c r="W52" s="742">
        <v>0</v>
      </c>
    </row>
    <row r="53" spans="1:23" s="752" customFormat="1" ht="11.25" customHeight="1" hidden="1">
      <c r="A53" s="735"/>
      <c r="B53" s="761"/>
      <c r="C53" s="739"/>
      <c r="D53" s="737"/>
      <c r="E53" s="738"/>
      <c r="F53" s="739"/>
      <c r="G53" s="737"/>
      <c r="H53" s="738"/>
      <c r="I53" s="739"/>
      <c r="J53" s="737"/>
      <c r="K53" s="738"/>
      <c r="L53" s="739"/>
      <c r="M53" s="737"/>
      <c r="N53" s="738"/>
      <c r="O53" s="739"/>
      <c r="P53" s="737"/>
      <c r="Q53" s="738"/>
      <c r="R53" s="739"/>
      <c r="S53" s="737"/>
      <c r="T53" s="738"/>
      <c r="U53" s="740">
        <f t="shared" si="6"/>
        <v>0</v>
      </c>
      <c r="V53" s="741">
        <f t="shared" si="6"/>
        <v>0</v>
      </c>
      <c r="W53" s="742">
        <v>0</v>
      </c>
    </row>
    <row r="54" spans="1:23" s="752" customFormat="1" ht="11.25" customHeight="1" hidden="1">
      <c r="A54" s="735"/>
      <c r="B54" s="761"/>
      <c r="C54" s="739"/>
      <c r="D54" s="737"/>
      <c r="E54" s="738"/>
      <c r="F54" s="739"/>
      <c r="G54" s="737"/>
      <c r="H54" s="738"/>
      <c r="I54" s="739"/>
      <c r="J54" s="737"/>
      <c r="K54" s="738"/>
      <c r="L54" s="739"/>
      <c r="M54" s="737"/>
      <c r="N54" s="738"/>
      <c r="O54" s="739"/>
      <c r="P54" s="737"/>
      <c r="Q54" s="738"/>
      <c r="R54" s="739"/>
      <c r="S54" s="737"/>
      <c r="T54" s="738"/>
      <c r="U54" s="740">
        <f t="shared" si="6"/>
        <v>0</v>
      </c>
      <c r="V54" s="741">
        <f t="shared" si="6"/>
        <v>0</v>
      </c>
      <c r="W54" s="742">
        <v>0</v>
      </c>
    </row>
    <row r="55" spans="1:23" s="752" customFormat="1" ht="11.25" customHeight="1" hidden="1">
      <c r="A55" s="735"/>
      <c r="B55" s="761"/>
      <c r="C55" s="739"/>
      <c r="D55" s="737"/>
      <c r="E55" s="738"/>
      <c r="F55" s="739"/>
      <c r="G55" s="737"/>
      <c r="H55" s="738"/>
      <c r="I55" s="739"/>
      <c r="J55" s="737"/>
      <c r="K55" s="738"/>
      <c r="L55" s="739"/>
      <c r="M55" s="737"/>
      <c r="N55" s="738"/>
      <c r="O55" s="739"/>
      <c r="P55" s="737"/>
      <c r="Q55" s="738"/>
      <c r="R55" s="739"/>
      <c r="S55" s="737"/>
      <c r="T55" s="738"/>
      <c r="U55" s="740">
        <f t="shared" si="6"/>
        <v>0</v>
      </c>
      <c r="V55" s="741">
        <f t="shared" si="6"/>
        <v>0</v>
      </c>
      <c r="W55" s="742">
        <v>0</v>
      </c>
    </row>
    <row r="56" spans="1:23" s="757" customFormat="1" ht="11.25" customHeight="1" hidden="1">
      <c r="A56" s="735"/>
      <c r="B56" s="761"/>
      <c r="C56" s="739"/>
      <c r="D56" s="737"/>
      <c r="E56" s="738"/>
      <c r="F56" s="739"/>
      <c r="G56" s="737"/>
      <c r="H56" s="738"/>
      <c r="I56" s="739"/>
      <c r="J56" s="737"/>
      <c r="K56" s="738"/>
      <c r="L56" s="739"/>
      <c r="M56" s="737"/>
      <c r="N56" s="738"/>
      <c r="O56" s="739"/>
      <c r="P56" s="737"/>
      <c r="Q56" s="738"/>
      <c r="R56" s="739"/>
      <c r="S56" s="737"/>
      <c r="T56" s="738"/>
      <c r="U56" s="740">
        <f t="shared" si="6"/>
        <v>0</v>
      </c>
      <c r="V56" s="741">
        <f t="shared" si="6"/>
        <v>0</v>
      </c>
      <c r="W56" s="742">
        <v>0</v>
      </c>
    </row>
    <row r="57" spans="1:23" s="757" customFormat="1" ht="11.25" customHeight="1" hidden="1">
      <c r="A57" s="735"/>
      <c r="B57" s="761"/>
      <c r="C57" s="739"/>
      <c r="D57" s="737"/>
      <c r="E57" s="738"/>
      <c r="F57" s="739"/>
      <c r="G57" s="737"/>
      <c r="H57" s="738"/>
      <c r="I57" s="739"/>
      <c r="J57" s="737"/>
      <c r="K57" s="738"/>
      <c r="L57" s="739"/>
      <c r="M57" s="737"/>
      <c r="N57" s="738"/>
      <c r="O57" s="739"/>
      <c r="P57" s="737"/>
      <c r="Q57" s="738"/>
      <c r="R57" s="739"/>
      <c r="S57" s="737"/>
      <c r="T57" s="738"/>
      <c r="U57" s="740">
        <f t="shared" si="6"/>
        <v>0</v>
      </c>
      <c r="V57" s="741">
        <f t="shared" si="6"/>
        <v>0</v>
      </c>
      <c r="W57" s="742">
        <v>0</v>
      </c>
    </row>
    <row r="58" spans="1:23" s="757" customFormat="1" ht="11.25" customHeight="1" hidden="1">
      <c r="A58" s="735"/>
      <c r="B58" s="868"/>
      <c r="C58" s="739"/>
      <c r="D58" s="737"/>
      <c r="E58" s="738"/>
      <c r="F58" s="739"/>
      <c r="G58" s="737"/>
      <c r="H58" s="738"/>
      <c r="I58" s="739"/>
      <c r="J58" s="737"/>
      <c r="K58" s="738"/>
      <c r="L58" s="739"/>
      <c r="M58" s="737"/>
      <c r="N58" s="738"/>
      <c r="O58" s="739"/>
      <c r="P58" s="737"/>
      <c r="Q58" s="738"/>
      <c r="R58" s="739"/>
      <c r="S58" s="737"/>
      <c r="T58" s="738"/>
      <c r="U58" s="740">
        <f t="shared" si="6"/>
        <v>0</v>
      </c>
      <c r="V58" s="741">
        <f t="shared" si="6"/>
        <v>0</v>
      </c>
      <c r="W58" s="742">
        <v>0</v>
      </c>
    </row>
    <row r="59" spans="1:23" s="776" customFormat="1" ht="9" customHeight="1" thickBot="1">
      <c r="A59" s="759"/>
      <c r="B59" s="770" t="s">
        <v>860</v>
      </c>
      <c r="C59" s="869">
        <f>SUM(C10:C58)</f>
        <v>547708</v>
      </c>
      <c r="D59" s="772">
        <f>SUM(D10:D58)</f>
        <v>361631</v>
      </c>
      <c r="E59" s="773">
        <f>D59/C59</f>
        <v>0.660262402594083</v>
      </c>
      <c r="F59" s="771">
        <f>SUM(F10:F58)</f>
        <v>149986</v>
      </c>
      <c r="G59" s="772">
        <f>SUM(G10:G58)</f>
        <v>99556</v>
      </c>
      <c r="H59" s="773">
        <f>G59/F59</f>
        <v>0.6637686184043844</v>
      </c>
      <c r="I59" s="869">
        <f>SUM(I10:I58)</f>
        <v>309607</v>
      </c>
      <c r="J59" s="772">
        <f>SUM(J10:J58)</f>
        <v>218696</v>
      </c>
      <c r="K59" s="773">
        <f>J59/I59</f>
        <v>0.7063664581227168</v>
      </c>
      <c r="L59" s="771">
        <f>SUM(L10:L58)</f>
        <v>0</v>
      </c>
      <c r="M59" s="772">
        <f>SUM(M10:M58)</f>
        <v>0</v>
      </c>
      <c r="N59" s="773">
        <v>0</v>
      </c>
      <c r="O59" s="771">
        <f>SUM(O10:O58)</f>
        <v>0</v>
      </c>
      <c r="P59" s="772">
        <f>SUM(P10:P58)</f>
        <v>0</v>
      </c>
      <c r="Q59" s="773">
        <v>0</v>
      </c>
      <c r="R59" s="771">
        <f>SUM(R10:R58)</f>
        <v>515</v>
      </c>
      <c r="S59" s="774">
        <f>SUM(S10:S58)</f>
        <v>500</v>
      </c>
      <c r="T59" s="773">
        <f>S59/R59</f>
        <v>0.970873786407767</v>
      </c>
      <c r="U59" s="772">
        <f>C59+F59+I59+L59+O59+R59</f>
        <v>1007816</v>
      </c>
      <c r="V59" s="775">
        <f>D59+G59+J59+M59+P59+S59</f>
        <v>680383</v>
      </c>
      <c r="W59" s="773">
        <f>V59/U59</f>
        <v>0.6751063686228439</v>
      </c>
    </row>
    <row r="60" spans="1:23" s="776" customFormat="1" ht="9" customHeight="1">
      <c r="A60" s="759"/>
      <c r="B60" s="870"/>
      <c r="C60" s="871"/>
      <c r="D60" s="872"/>
      <c r="E60" s="873"/>
      <c r="F60" s="874"/>
      <c r="G60" s="875"/>
      <c r="H60" s="873"/>
      <c r="I60" s="871"/>
      <c r="J60" s="872"/>
      <c r="K60" s="873"/>
      <c r="L60" s="871"/>
      <c r="M60" s="875"/>
      <c r="N60" s="873"/>
      <c r="O60" s="871"/>
      <c r="P60" s="872"/>
      <c r="Q60" s="876"/>
      <c r="R60" s="871"/>
      <c r="S60" s="877"/>
      <c r="T60" s="873"/>
      <c r="U60" s="877"/>
      <c r="V60" s="786"/>
      <c r="W60" s="876"/>
    </row>
    <row r="61" spans="1:23" s="752" customFormat="1" ht="11.25" customHeight="1">
      <c r="A61" s="735" t="s">
        <v>1150</v>
      </c>
      <c r="B61" s="1263" t="s">
        <v>861</v>
      </c>
      <c r="C61" s="737">
        <v>7664</v>
      </c>
      <c r="D61" s="737">
        <f>3555+28</f>
        <v>3583</v>
      </c>
      <c r="E61" s="738">
        <f>D61/C61</f>
        <v>0.46751043841336115</v>
      </c>
      <c r="F61" s="737">
        <v>1868</v>
      </c>
      <c r="G61" s="737">
        <f>1049+8</f>
        <v>1057</v>
      </c>
      <c r="H61" s="738">
        <f>G61/F61</f>
        <v>0.565845824411135</v>
      </c>
      <c r="I61" s="737">
        <v>718</v>
      </c>
      <c r="J61" s="737">
        <v>80</v>
      </c>
      <c r="K61" s="738">
        <f>J61/I61</f>
        <v>0.11142061281337047</v>
      </c>
      <c r="L61" s="739"/>
      <c r="M61" s="737"/>
      <c r="N61" s="738"/>
      <c r="O61" s="739"/>
      <c r="P61" s="737"/>
      <c r="Q61" s="738"/>
      <c r="R61" s="739"/>
      <c r="S61" s="737"/>
      <c r="T61" s="738"/>
      <c r="U61" s="740">
        <f>C61+F61+I61+L61+O61+R61</f>
        <v>10250</v>
      </c>
      <c r="V61" s="741">
        <f>D61+G61+J61+M61+P61+S61</f>
        <v>4720</v>
      </c>
      <c r="W61" s="742">
        <f>V61/U61</f>
        <v>0.4604878048780488</v>
      </c>
    </row>
    <row r="62" spans="1:23" s="752" customFormat="1" ht="11.25" customHeight="1" thickBot="1">
      <c r="A62" s="735"/>
      <c r="B62" s="736"/>
      <c r="C62" s="737"/>
      <c r="D62" s="737"/>
      <c r="E62" s="738"/>
      <c r="F62" s="739"/>
      <c r="G62" s="737"/>
      <c r="H62" s="738"/>
      <c r="I62" s="737"/>
      <c r="J62" s="737"/>
      <c r="K62" s="738"/>
      <c r="L62" s="739"/>
      <c r="M62" s="737"/>
      <c r="N62" s="738"/>
      <c r="O62" s="739"/>
      <c r="P62" s="737"/>
      <c r="Q62" s="738"/>
      <c r="R62" s="739"/>
      <c r="S62" s="737"/>
      <c r="T62" s="738"/>
      <c r="U62" s="740"/>
      <c r="V62" s="741"/>
      <c r="W62" s="742"/>
    </row>
    <row r="63" spans="1:23" s="776" customFormat="1" ht="9" customHeight="1" thickBot="1">
      <c r="A63" s="759"/>
      <c r="B63" s="770" t="s">
        <v>862</v>
      </c>
      <c r="C63" s="869">
        <f>C61</f>
        <v>7664</v>
      </c>
      <c r="D63" s="772">
        <f>D61</f>
        <v>3583</v>
      </c>
      <c r="E63" s="773">
        <f>D63/C63</f>
        <v>0.46751043841336115</v>
      </c>
      <c r="F63" s="869">
        <f>F61</f>
        <v>1868</v>
      </c>
      <c r="G63" s="772">
        <f>G61</f>
        <v>1057</v>
      </c>
      <c r="H63" s="773">
        <f>G63/F63</f>
        <v>0.565845824411135</v>
      </c>
      <c r="I63" s="869">
        <f>I61</f>
        <v>718</v>
      </c>
      <c r="J63" s="772">
        <f>J61</f>
        <v>80</v>
      </c>
      <c r="K63" s="773">
        <f>J63/I63</f>
        <v>0.11142061281337047</v>
      </c>
      <c r="L63" s="869">
        <f>L61</f>
        <v>0</v>
      </c>
      <c r="M63" s="772">
        <f>M61</f>
        <v>0</v>
      </c>
      <c r="N63" s="773">
        <v>0</v>
      </c>
      <c r="O63" s="869">
        <f>O61</f>
        <v>0</v>
      </c>
      <c r="P63" s="772">
        <f>P61</f>
        <v>0</v>
      </c>
      <c r="Q63" s="773">
        <v>0</v>
      </c>
      <c r="R63" s="869">
        <f>R61</f>
        <v>0</v>
      </c>
      <c r="S63" s="772">
        <f>S61</f>
        <v>0</v>
      </c>
      <c r="T63" s="773">
        <v>0</v>
      </c>
      <c r="U63" s="772">
        <f>C63+F63+I63+L63+O63+R63</f>
        <v>10250</v>
      </c>
      <c r="V63" s="775">
        <f>D63+G63+J63+M63+P63+S63</f>
        <v>4720</v>
      </c>
      <c r="W63" s="773">
        <f>V63/U63</f>
        <v>0.4604878048780488</v>
      </c>
    </row>
    <row r="64" spans="1:23" s="752" customFormat="1" ht="9.75" customHeight="1">
      <c r="A64" s="735"/>
      <c r="B64" s="761"/>
      <c r="C64" s="871"/>
      <c r="D64" s="737"/>
      <c r="E64" s="738"/>
      <c r="F64" s="871"/>
      <c r="G64" s="737"/>
      <c r="H64" s="738"/>
      <c r="I64" s="871"/>
      <c r="J64" s="737"/>
      <c r="K64" s="738"/>
      <c r="L64" s="871"/>
      <c r="M64" s="737"/>
      <c r="N64" s="738"/>
      <c r="O64" s="871"/>
      <c r="P64" s="737"/>
      <c r="Q64" s="738"/>
      <c r="R64" s="871"/>
      <c r="S64" s="737"/>
      <c r="T64" s="738"/>
      <c r="U64" s="740"/>
      <c r="V64" s="741"/>
      <c r="W64" s="742"/>
    </row>
    <row r="65" spans="1:23" s="752" customFormat="1" ht="11.25" customHeight="1">
      <c r="A65" s="735" t="s">
        <v>1150</v>
      </c>
      <c r="B65" s="1263" t="s">
        <v>863</v>
      </c>
      <c r="C65" s="737">
        <v>0</v>
      </c>
      <c r="D65" s="737">
        <f>17223+211</f>
        <v>17434</v>
      </c>
      <c r="E65" s="738">
        <v>0</v>
      </c>
      <c r="F65" s="739">
        <v>0</v>
      </c>
      <c r="G65" s="737">
        <f>4628+57</f>
        <v>4685</v>
      </c>
      <c r="H65" s="738">
        <v>0</v>
      </c>
      <c r="I65" s="737">
        <v>0</v>
      </c>
      <c r="J65" s="737">
        <v>2858</v>
      </c>
      <c r="K65" s="738">
        <v>0</v>
      </c>
      <c r="L65" s="739"/>
      <c r="M65" s="737"/>
      <c r="N65" s="738"/>
      <c r="O65" s="739"/>
      <c r="P65" s="737"/>
      <c r="Q65" s="738"/>
      <c r="R65" s="739"/>
      <c r="S65" s="737"/>
      <c r="T65" s="738"/>
      <c r="U65" s="740">
        <f>C65+F65+I65+L65+O65+R65</f>
        <v>0</v>
      </c>
      <c r="V65" s="741">
        <f>D65+G65+J65+M65+P65+S65</f>
        <v>24977</v>
      </c>
      <c r="W65" s="742">
        <v>0</v>
      </c>
    </row>
    <row r="66" spans="1:23" s="752" customFormat="1" ht="11.25" customHeight="1" thickBot="1">
      <c r="A66" s="735"/>
      <c r="B66" s="761"/>
      <c r="C66" s="739"/>
      <c r="D66" s="737"/>
      <c r="E66" s="738"/>
      <c r="F66" s="739"/>
      <c r="G66" s="737"/>
      <c r="H66" s="738"/>
      <c r="I66" s="739"/>
      <c r="J66" s="737"/>
      <c r="K66" s="738"/>
      <c r="L66" s="739"/>
      <c r="M66" s="737"/>
      <c r="N66" s="738"/>
      <c r="O66" s="739"/>
      <c r="P66" s="737"/>
      <c r="Q66" s="738"/>
      <c r="R66" s="739"/>
      <c r="S66" s="737"/>
      <c r="T66" s="738"/>
      <c r="U66" s="740"/>
      <c r="V66" s="741"/>
      <c r="W66" s="742"/>
    </row>
    <row r="67" spans="1:23" s="776" customFormat="1" ht="9" customHeight="1" thickBot="1">
      <c r="A67" s="759"/>
      <c r="B67" s="770" t="s">
        <v>864</v>
      </c>
      <c r="C67" s="771">
        <f>C65</f>
        <v>0</v>
      </c>
      <c r="D67" s="772">
        <f>D65</f>
        <v>17434</v>
      </c>
      <c r="E67" s="773">
        <v>0</v>
      </c>
      <c r="F67" s="771">
        <f>F65</f>
        <v>0</v>
      </c>
      <c r="G67" s="772">
        <f>G65</f>
        <v>4685</v>
      </c>
      <c r="H67" s="773">
        <v>0</v>
      </c>
      <c r="I67" s="869">
        <f>I65</f>
        <v>0</v>
      </c>
      <c r="J67" s="772">
        <f>J65</f>
        <v>2858</v>
      </c>
      <c r="K67" s="773">
        <v>0</v>
      </c>
      <c r="L67" s="869">
        <f>L65</f>
        <v>0</v>
      </c>
      <c r="M67" s="772">
        <f>M65</f>
        <v>0</v>
      </c>
      <c r="N67" s="773">
        <v>0</v>
      </c>
      <c r="O67" s="869">
        <f>O65</f>
        <v>0</v>
      </c>
      <c r="P67" s="772">
        <f>P65</f>
        <v>0</v>
      </c>
      <c r="Q67" s="773">
        <v>0</v>
      </c>
      <c r="R67" s="869">
        <f>R65</f>
        <v>0</v>
      </c>
      <c r="S67" s="772">
        <f>S65</f>
        <v>0</v>
      </c>
      <c r="T67" s="773">
        <v>0</v>
      </c>
      <c r="U67" s="772">
        <f>C67+F67+I67+L67+O67+R67</f>
        <v>0</v>
      </c>
      <c r="V67" s="775">
        <f>D67+G67+J67+M67+P67+S67</f>
        <v>24977</v>
      </c>
      <c r="W67" s="773">
        <v>0</v>
      </c>
    </row>
    <row r="68" spans="1:23" s="752" customFormat="1" ht="10.5" customHeight="1" thickBot="1">
      <c r="A68" s="735"/>
      <c r="B68" s="793"/>
      <c r="C68" s="878"/>
      <c r="D68" s="794"/>
      <c r="E68" s="879"/>
      <c r="F68" s="796"/>
      <c r="G68" s="797"/>
      <c r="H68" s="879"/>
      <c r="I68" s="880"/>
      <c r="J68" s="797"/>
      <c r="K68" s="879"/>
      <c r="L68" s="880"/>
      <c r="M68" s="797"/>
      <c r="N68" s="879"/>
      <c r="O68" s="881"/>
      <c r="P68" s="802"/>
      <c r="Q68" s="882"/>
      <c r="R68" s="880"/>
      <c r="S68" s="804"/>
      <c r="T68" s="879"/>
      <c r="U68" s="883"/>
      <c r="V68" s="805"/>
      <c r="W68" s="882"/>
    </row>
    <row r="69" spans="1:23" s="776" customFormat="1" ht="11.25" thickBot="1">
      <c r="A69" s="884"/>
      <c r="B69" s="836" t="s">
        <v>802</v>
      </c>
      <c r="C69" s="837">
        <f>C59+C63+C67</f>
        <v>555372</v>
      </c>
      <c r="D69" s="838">
        <f>D59+D63+D67</f>
        <v>382648</v>
      </c>
      <c r="E69" s="839">
        <f>D69/C69</f>
        <v>0.688994043632016</v>
      </c>
      <c r="F69" s="837">
        <f>F59+F63+F67</f>
        <v>151854</v>
      </c>
      <c r="G69" s="838">
        <f>G59+G63+G67</f>
        <v>105298</v>
      </c>
      <c r="H69" s="839">
        <f>G69/F69</f>
        <v>0.6934160443583969</v>
      </c>
      <c r="I69" s="837">
        <f>I59+I63+I67</f>
        <v>310325</v>
      </c>
      <c r="J69" s="838">
        <f>J59+J63+J67</f>
        <v>221634</v>
      </c>
      <c r="K69" s="839">
        <f>J69/I69</f>
        <v>0.7141996294207685</v>
      </c>
      <c r="L69" s="837">
        <f>L59+L63+L67</f>
        <v>0</v>
      </c>
      <c r="M69" s="838">
        <f>M59+M63+M67</f>
        <v>0</v>
      </c>
      <c r="N69" s="839">
        <v>0</v>
      </c>
      <c r="O69" s="837">
        <f>O59+O63+O67</f>
        <v>0</v>
      </c>
      <c r="P69" s="838">
        <f>P59+P63+P67</f>
        <v>0</v>
      </c>
      <c r="Q69" s="839">
        <v>0</v>
      </c>
      <c r="R69" s="837">
        <f>R59+R63+R67</f>
        <v>515</v>
      </c>
      <c r="S69" s="838">
        <f>S59+S63+S67</f>
        <v>500</v>
      </c>
      <c r="T69" s="839">
        <f>S69/R69</f>
        <v>0.970873786407767</v>
      </c>
      <c r="U69" s="837">
        <f>U59+U63+U67</f>
        <v>1018066</v>
      </c>
      <c r="V69" s="838">
        <f>V59+V63+V67</f>
        <v>710080</v>
      </c>
      <c r="W69" s="839">
        <f>V69/U69</f>
        <v>0.6974793382747287</v>
      </c>
    </row>
  </sheetData>
  <sheetProtection/>
  <mergeCells count="19">
    <mergeCell ref="A1:W1"/>
    <mergeCell ref="A2:V2"/>
    <mergeCell ref="A3:V3"/>
    <mergeCell ref="A4:W4"/>
    <mergeCell ref="C5:E6"/>
    <mergeCell ref="F5:H6"/>
    <mergeCell ref="I5:K6"/>
    <mergeCell ref="L5:N6"/>
    <mergeCell ref="O5:T5"/>
    <mergeCell ref="U5:W6"/>
    <mergeCell ref="W7:W8"/>
    <mergeCell ref="O6:Q6"/>
    <mergeCell ref="R6:T6"/>
    <mergeCell ref="E7:E8"/>
    <mergeCell ref="H7:H8"/>
    <mergeCell ref="K7:K8"/>
    <mergeCell ref="N7:N8"/>
    <mergeCell ref="Q7:Q8"/>
    <mergeCell ref="T7:T8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M33" sqref="M33"/>
    </sheetView>
  </sheetViews>
  <sheetFormatPr defaultColWidth="9.00390625" defaultRowHeight="12" customHeight="1"/>
  <cols>
    <col min="1" max="1" width="4.50390625" style="1025" customWidth="1"/>
    <col min="2" max="2" width="77.125" style="1087" customWidth="1"/>
    <col min="3" max="3" width="12.625" style="1088" customWidth="1"/>
    <col min="4" max="4" width="12.50390625" style="1089" customWidth="1"/>
    <col min="5" max="5" width="12.125" style="1025" customWidth="1"/>
    <col min="6" max="6" width="9.375" style="1025" customWidth="1"/>
    <col min="7" max="7" width="11.875" style="1025" hidden="1" customWidth="1"/>
    <col min="8" max="9" width="0" style="1025" hidden="1" customWidth="1"/>
    <col min="10" max="16384" width="9.375" style="1025" customWidth="1"/>
  </cols>
  <sheetData>
    <row r="1" spans="1:5" ht="15.75">
      <c r="A1" s="1359" t="s">
        <v>876</v>
      </c>
      <c r="B1" s="1359"/>
      <c r="C1" s="1359"/>
      <c r="D1" s="1359"/>
      <c r="E1" s="1360"/>
    </row>
    <row r="2" spans="1:5" ht="15.75">
      <c r="A2" s="1361" t="s">
        <v>1108</v>
      </c>
      <c r="B2" s="1361"/>
      <c r="C2" s="1361"/>
      <c r="D2" s="1361"/>
      <c r="E2" s="1283"/>
    </row>
    <row r="3" spans="1:7" ht="15.75">
      <c r="A3" s="1361" t="str">
        <f>'[6]1'!A3:K3</f>
        <v>2013. ÉV</v>
      </c>
      <c r="B3" s="1361"/>
      <c r="C3" s="1361"/>
      <c r="D3" s="1361"/>
      <c r="E3" s="1283"/>
      <c r="G3" s="1027">
        <f>G49</f>
        <v>831</v>
      </c>
    </row>
    <row r="4" spans="1:7" s="1028" customFormat="1" ht="12.75">
      <c r="A4" s="1362" t="s">
        <v>700</v>
      </c>
      <c r="B4" s="1362"/>
      <c r="C4" s="1362"/>
      <c r="D4" s="1362"/>
      <c r="E4" s="1283"/>
      <c r="G4" s="1027"/>
    </row>
    <row r="5" spans="1:4" s="1032" customFormat="1" ht="12">
      <c r="A5" s="1030" t="s">
        <v>1004</v>
      </c>
      <c r="B5" s="1031"/>
      <c r="C5" s="1030"/>
      <c r="D5" s="685"/>
    </row>
    <row r="6" spans="3:5" s="1033" customFormat="1" ht="25.5">
      <c r="C6" s="1059" t="s">
        <v>1109</v>
      </c>
      <c r="D6" s="1034" t="s">
        <v>1110</v>
      </c>
      <c r="E6" s="1035" t="s">
        <v>552</v>
      </c>
    </row>
    <row r="7" spans="1:4" s="1032" customFormat="1" ht="12">
      <c r="A7" s="1048" t="s">
        <v>1111</v>
      </c>
      <c r="B7" s="1056"/>
      <c r="C7" s="1047"/>
      <c r="D7" s="1047"/>
    </row>
    <row r="8" spans="1:5" s="1032" customFormat="1" ht="12">
      <c r="A8" s="652" t="s">
        <v>74</v>
      </c>
      <c r="B8" s="558" t="s">
        <v>1112</v>
      </c>
      <c r="C8" s="1040">
        <v>400</v>
      </c>
      <c r="D8" s="654">
        <v>0</v>
      </c>
      <c r="E8" s="1041">
        <f>D8/C8</f>
        <v>0</v>
      </c>
    </row>
    <row r="9" spans="1:5" s="1032" customFormat="1" ht="12">
      <c r="A9" s="652" t="s">
        <v>75</v>
      </c>
      <c r="B9" s="977" t="s">
        <v>1113</v>
      </c>
      <c r="C9" s="654">
        <v>1000</v>
      </c>
      <c r="D9" s="654">
        <v>0</v>
      </c>
      <c r="E9" s="1041">
        <f>D9/C9</f>
        <v>0</v>
      </c>
    </row>
    <row r="10" spans="1:6" s="1032" customFormat="1" ht="12.75" thickBot="1">
      <c r="A10" s="652" t="s">
        <v>76</v>
      </c>
      <c r="B10" s="977" t="s">
        <v>1114</v>
      </c>
      <c r="C10" s="654">
        <v>0</v>
      </c>
      <c r="D10" s="1126">
        <v>831</v>
      </c>
      <c r="E10" s="1041">
        <v>0</v>
      </c>
      <c r="F10" s="1134" t="s">
        <v>1150</v>
      </c>
    </row>
    <row r="11" spans="1:5" s="1032" customFormat="1" ht="12.75" hidden="1" thickBot="1">
      <c r="A11" s="652" t="s">
        <v>77</v>
      </c>
      <c r="B11" s="558"/>
      <c r="C11" s="1040"/>
      <c r="D11" s="1040"/>
      <c r="E11" s="1041">
        <v>0</v>
      </c>
    </row>
    <row r="12" spans="1:5" s="1066" customFormat="1" ht="12.75" hidden="1" thickBot="1">
      <c r="A12" s="652" t="s">
        <v>78</v>
      </c>
      <c r="B12" s="558"/>
      <c r="C12" s="1040"/>
      <c r="D12" s="654"/>
      <c r="E12" s="1041">
        <v>0</v>
      </c>
    </row>
    <row r="13" spans="1:5" s="1032" customFormat="1" ht="12.75" hidden="1" thickBot="1">
      <c r="A13" s="652" t="s">
        <v>79</v>
      </c>
      <c r="B13" s="558"/>
      <c r="C13" s="1040"/>
      <c r="D13" s="654"/>
      <c r="E13" s="1041">
        <v>0</v>
      </c>
    </row>
    <row r="14" spans="1:5" s="1032" customFormat="1" ht="12.75" hidden="1" thickBot="1">
      <c r="A14" s="652" t="s">
        <v>80</v>
      </c>
      <c r="B14" s="977"/>
      <c r="C14" s="1040"/>
      <c r="D14" s="1040"/>
      <c r="E14" s="1041">
        <v>0</v>
      </c>
    </row>
    <row r="15" spans="1:5" s="1032" customFormat="1" ht="12.75" hidden="1" thickBot="1">
      <c r="A15" s="652" t="s">
        <v>81</v>
      </c>
      <c r="B15" s="977"/>
      <c r="C15" s="1040"/>
      <c r="D15" s="1040"/>
      <c r="E15" s="1041">
        <v>0</v>
      </c>
    </row>
    <row r="16" spans="1:5" s="1032" customFormat="1" ht="12.75" hidden="1" thickBot="1">
      <c r="A16" s="652" t="s">
        <v>82</v>
      </c>
      <c r="B16" s="977"/>
      <c r="C16" s="1040"/>
      <c r="D16" s="1040"/>
      <c r="E16" s="1041">
        <v>0</v>
      </c>
    </row>
    <row r="17" spans="1:5" s="1032" customFormat="1" ht="12.75" hidden="1" thickBot="1">
      <c r="A17" s="652" t="s">
        <v>83</v>
      </c>
      <c r="B17" s="977"/>
      <c r="C17" s="1040"/>
      <c r="D17" s="1040"/>
      <c r="E17" s="1041">
        <v>0</v>
      </c>
    </row>
    <row r="18" spans="1:5" s="1032" customFormat="1" ht="12.75" hidden="1" thickBot="1">
      <c r="A18" s="652" t="s">
        <v>84</v>
      </c>
      <c r="B18" s="977"/>
      <c r="C18" s="1040"/>
      <c r="D18" s="1040"/>
      <c r="E18" s="1041">
        <v>0</v>
      </c>
    </row>
    <row r="19" spans="1:5" s="1032" customFormat="1" ht="12.75" hidden="1" thickBot="1">
      <c r="A19" s="652" t="s">
        <v>85</v>
      </c>
      <c r="B19" s="977"/>
      <c r="C19" s="1040"/>
      <c r="D19" s="1040"/>
      <c r="E19" s="1041">
        <v>0</v>
      </c>
    </row>
    <row r="20" spans="1:5" s="1032" customFormat="1" ht="12.75" hidden="1" thickBot="1">
      <c r="A20" s="652" t="s">
        <v>86</v>
      </c>
      <c r="B20" s="558"/>
      <c r="C20" s="654"/>
      <c r="D20" s="654"/>
      <c r="E20" s="1041">
        <v>0</v>
      </c>
    </row>
    <row r="21" spans="1:5" s="1032" customFormat="1" ht="12.75" hidden="1" thickBot="1">
      <c r="A21" s="652" t="s">
        <v>87</v>
      </c>
      <c r="B21" s="977"/>
      <c r="C21" s="654"/>
      <c r="D21" s="654"/>
      <c r="E21" s="1041">
        <v>0</v>
      </c>
    </row>
    <row r="22" spans="1:5" s="1032" customFormat="1" ht="12.75" hidden="1" thickBot="1">
      <c r="A22" s="652" t="s">
        <v>88</v>
      </c>
      <c r="B22" s="977"/>
      <c r="C22" s="654"/>
      <c r="D22" s="654"/>
      <c r="E22" s="1041">
        <v>0</v>
      </c>
    </row>
    <row r="23" spans="1:5" s="643" customFormat="1" ht="12">
      <c r="A23" s="1042" t="s">
        <v>107</v>
      </c>
      <c r="B23" s="1043"/>
      <c r="C23" s="1044">
        <f>SUM(C8:C22)</f>
        <v>1400</v>
      </c>
      <c r="D23" s="1044">
        <f>SUM(D8:D22)</f>
        <v>831</v>
      </c>
      <c r="E23" s="1045">
        <f>D23/C23</f>
        <v>0.5935714285714285</v>
      </c>
    </row>
    <row r="24" spans="1:5" s="643" customFormat="1" ht="12">
      <c r="A24" s="644"/>
      <c r="B24" s="1050"/>
      <c r="C24" s="1051"/>
      <c r="D24" s="1051"/>
      <c r="E24" s="649"/>
    </row>
    <row r="25" spans="2:4" s="1032" customFormat="1" ht="12">
      <c r="B25" s="1046"/>
      <c r="C25" s="685"/>
      <c r="D25" s="685"/>
    </row>
    <row r="26" spans="1:5" s="1032" customFormat="1" ht="12">
      <c r="A26" s="1068" t="s">
        <v>1115</v>
      </c>
      <c r="B26" s="1069"/>
      <c r="C26" s="1070">
        <f>C23</f>
        <v>1400</v>
      </c>
      <c r="D26" s="1070">
        <f>D23</f>
        <v>831</v>
      </c>
      <c r="E26" s="1071">
        <f>D26/C26</f>
        <v>0.5935714285714285</v>
      </c>
    </row>
    <row r="27" spans="1:4" s="1066" customFormat="1" ht="12">
      <c r="A27" s="1065"/>
      <c r="B27" s="1055"/>
      <c r="C27" s="646"/>
      <c r="D27" s="646"/>
    </row>
    <row r="28" spans="1:4" s="1066" customFormat="1" ht="12">
      <c r="A28" s="1065"/>
      <c r="B28" s="1055"/>
      <c r="C28" s="646"/>
      <c r="D28" s="646"/>
    </row>
    <row r="29" spans="1:4" s="1032" customFormat="1" ht="12">
      <c r="A29" s="1037" t="s">
        <v>1085</v>
      </c>
      <c r="B29" s="1033"/>
      <c r="C29" s="685"/>
      <c r="D29" s="685"/>
    </row>
    <row r="30" spans="1:5" s="1032" customFormat="1" ht="25.5">
      <c r="A30" s="1037"/>
      <c r="B30" s="1033"/>
      <c r="C30" s="1059" t="str">
        <f>C6</f>
        <v>2012. évi terv</v>
      </c>
      <c r="D30" s="1059" t="str">
        <f>D6</f>
        <v>2013. évi        terv</v>
      </c>
      <c r="E30" s="1035" t="s">
        <v>552</v>
      </c>
    </row>
    <row r="31" spans="1:9" s="1032" customFormat="1" ht="12">
      <c r="A31" s="1037" t="s">
        <v>1116</v>
      </c>
      <c r="B31" s="1033"/>
      <c r="C31" s="654"/>
      <c r="D31" s="654"/>
      <c r="E31" s="652"/>
      <c r="I31" s="1032">
        <v>0</v>
      </c>
    </row>
    <row r="32" spans="1:5" s="1032" customFormat="1" ht="12">
      <c r="A32" s="1039" t="s">
        <v>74</v>
      </c>
      <c r="B32" s="558"/>
      <c r="C32" s="654"/>
      <c r="D32" s="654"/>
      <c r="E32" s="1041"/>
    </row>
    <row r="33" spans="1:5" s="1032" customFormat="1" ht="12.75" thickBot="1">
      <c r="A33" s="1039" t="s">
        <v>75</v>
      </c>
      <c r="B33" s="558"/>
      <c r="C33" s="654"/>
      <c r="D33" s="654"/>
      <c r="E33" s="1041"/>
    </row>
    <row r="34" spans="1:5" s="1032" customFormat="1" ht="12.75" hidden="1" thickBot="1">
      <c r="A34" s="1032" t="s">
        <v>76</v>
      </c>
      <c r="B34" s="1033"/>
      <c r="C34" s="685"/>
      <c r="D34" s="685"/>
      <c r="E34" s="649" t="e">
        <f>D34/C34</f>
        <v>#DIV/0!</v>
      </c>
    </row>
    <row r="35" spans="1:5" s="1032" customFormat="1" ht="12.75" hidden="1" thickBot="1">
      <c r="A35" s="1032" t="s">
        <v>77</v>
      </c>
      <c r="B35" s="1033"/>
      <c r="C35" s="685"/>
      <c r="D35" s="685"/>
      <c r="E35" s="649" t="e">
        <f>D35/C35</f>
        <v>#DIV/0!</v>
      </c>
    </row>
    <row r="36" spans="1:5" s="1032" customFormat="1" ht="12.75" hidden="1" thickBot="1">
      <c r="A36" s="1032" t="s">
        <v>78</v>
      </c>
      <c r="B36" s="1033"/>
      <c r="C36" s="685"/>
      <c r="D36" s="685"/>
      <c r="E36" s="649" t="e">
        <f>D36/C36</f>
        <v>#DIV/0!</v>
      </c>
    </row>
    <row r="37" spans="1:5" s="1032" customFormat="1" ht="12.75" hidden="1" thickBot="1">
      <c r="A37" s="1032" t="s">
        <v>79</v>
      </c>
      <c r="B37" s="1033"/>
      <c r="C37" s="685"/>
      <c r="D37" s="685"/>
      <c r="E37" s="649" t="e">
        <f>D37/C37</f>
        <v>#DIV/0!</v>
      </c>
    </row>
    <row r="38" spans="1:5" s="1032" customFormat="1" ht="12">
      <c r="A38" s="1042" t="s">
        <v>107</v>
      </c>
      <c r="B38" s="1043"/>
      <c r="C38" s="1044">
        <f>SUM(C32:C37)</f>
        <v>0</v>
      </c>
      <c r="D38" s="1044">
        <f>SUM(D32:D37)</f>
        <v>0</v>
      </c>
      <c r="E38" s="1045">
        <v>0</v>
      </c>
    </row>
    <row r="39" spans="1:4" s="1032" customFormat="1" ht="12">
      <c r="A39" s="1037"/>
      <c r="B39" s="1033"/>
      <c r="C39" s="685"/>
      <c r="D39" s="685"/>
    </row>
    <row r="40" spans="2:5" s="643" customFormat="1" ht="12">
      <c r="B40" s="1046"/>
      <c r="C40" s="685"/>
      <c r="D40" s="685"/>
      <c r="E40" s="685"/>
    </row>
    <row r="41" spans="1:7" s="643" customFormat="1" ht="12">
      <c r="A41" s="1068" t="s">
        <v>1117</v>
      </c>
      <c r="B41" s="1069"/>
      <c r="C41" s="1070">
        <f>C38</f>
        <v>0</v>
      </c>
      <c r="D41" s="1070">
        <f>D38</f>
        <v>0</v>
      </c>
      <c r="E41" s="1071">
        <v>0</v>
      </c>
      <c r="G41" s="685">
        <f>D26</f>
        <v>831</v>
      </c>
    </row>
    <row r="42" spans="1:5" s="643" customFormat="1" ht="12.75" thickBot="1">
      <c r="A42" s="1074"/>
      <c r="B42" s="1046"/>
      <c r="C42" s="1075"/>
      <c r="D42" s="685"/>
      <c r="E42" s="1076"/>
    </row>
    <row r="43" spans="1:5" s="643" customFormat="1" ht="12.75" thickBot="1">
      <c r="A43" s="1077" t="s">
        <v>1102</v>
      </c>
      <c r="B43" s="1078"/>
      <c r="C43" s="1079">
        <f>C26+C41</f>
        <v>1400</v>
      </c>
      <c r="D43" s="1080">
        <f>D26+D41</f>
        <v>831</v>
      </c>
      <c r="E43" s="1081">
        <f>D43/C43</f>
        <v>0.5935714285714285</v>
      </c>
    </row>
    <row r="44" spans="1:4" s="643" customFormat="1" ht="12">
      <c r="A44" s="1048"/>
      <c r="B44" s="1082"/>
      <c r="C44" s="646"/>
      <c r="D44" s="685"/>
    </row>
    <row r="45" spans="1:5" s="643" customFormat="1" ht="12.75" hidden="1">
      <c r="A45" s="1366" t="s">
        <v>1103</v>
      </c>
      <c r="B45" s="1367"/>
      <c r="C45" s="657"/>
      <c r="D45" s="657"/>
      <c r="E45" s="1041"/>
    </row>
    <row r="46" spans="1:5" s="643" customFormat="1" ht="12.75" hidden="1">
      <c r="A46" s="1366" t="s">
        <v>1104</v>
      </c>
      <c r="B46" s="1367"/>
      <c r="C46" s="657"/>
      <c r="D46" s="657"/>
      <c r="E46" s="1041"/>
    </row>
    <row r="47" spans="1:5" s="643" customFormat="1" ht="12.75" hidden="1">
      <c r="A47" s="1366" t="s">
        <v>1105</v>
      </c>
      <c r="B47" s="1367"/>
      <c r="C47" s="1083"/>
      <c r="D47" s="1083"/>
      <c r="E47" s="1041"/>
    </row>
    <row r="48" spans="1:5" s="1032" customFormat="1" ht="12.75" hidden="1">
      <c r="A48" s="1366" t="s">
        <v>1106</v>
      </c>
      <c r="B48" s="1367"/>
      <c r="C48" s="1083"/>
      <c r="D48" s="1083"/>
      <c r="E48" s="1041"/>
    </row>
    <row r="49" spans="1:7" s="1032" customFormat="1" ht="12.75" hidden="1">
      <c r="A49" s="1366" t="s">
        <v>1118</v>
      </c>
      <c r="B49" s="1367"/>
      <c r="C49" s="1083"/>
      <c r="D49" s="1083"/>
      <c r="E49" s="1041"/>
      <c r="G49" s="1027">
        <f>D43+D45+D46+D47+D48+D49</f>
        <v>831</v>
      </c>
    </row>
    <row r="50" spans="1:4" s="1032" customFormat="1" ht="12">
      <c r="A50" s="643"/>
      <c r="B50" s="1033"/>
      <c r="C50" s="1047"/>
      <c r="D50" s="1047"/>
    </row>
    <row r="51" spans="1:4" s="1032" customFormat="1" ht="12">
      <c r="A51" s="643"/>
      <c r="B51" s="1033"/>
      <c r="C51" s="1047"/>
      <c r="D51" s="1047"/>
    </row>
    <row r="52" spans="2:4" s="643" customFormat="1" ht="12">
      <c r="B52" s="1046"/>
      <c r="C52" s="685"/>
      <c r="D52" s="685"/>
    </row>
    <row r="53" spans="2:4" s="643" customFormat="1" ht="12">
      <c r="B53" s="1046"/>
      <c r="C53" s="685"/>
      <c r="D53" s="685"/>
    </row>
    <row r="54" spans="2:4" s="643" customFormat="1" ht="12">
      <c r="B54" s="1046"/>
      <c r="C54" s="685"/>
      <c r="D54" s="685"/>
    </row>
    <row r="55" spans="1:4" s="643" customFormat="1" ht="12">
      <c r="A55" s="645"/>
      <c r="B55" s="1086"/>
      <c r="C55" s="646"/>
      <c r="D55" s="646"/>
    </row>
    <row r="56" spans="1:4" s="643" customFormat="1" ht="12">
      <c r="A56" s="645"/>
      <c r="B56" s="1086"/>
      <c r="C56" s="646"/>
      <c r="D56" s="685"/>
    </row>
    <row r="57" spans="1:4" s="643" customFormat="1" ht="12">
      <c r="A57" s="1048"/>
      <c r="B57" s="1046"/>
      <c r="C57" s="685"/>
      <c r="D57" s="685"/>
    </row>
    <row r="58" spans="2:4" s="643" customFormat="1" ht="12">
      <c r="B58" s="1046"/>
      <c r="C58" s="685"/>
      <c r="D58" s="685"/>
    </row>
    <row r="59" spans="2:4" s="1032" customFormat="1" ht="12">
      <c r="B59" s="1033"/>
      <c r="C59" s="643"/>
      <c r="D59" s="685"/>
    </row>
    <row r="60" spans="1:4" s="1032" customFormat="1" ht="12">
      <c r="A60" s="645"/>
      <c r="B60" s="1086"/>
      <c r="C60" s="646"/>
      <c r="D60" s="646"/>
    </row>
    <row r="61" spans="2:4" s="1032" customFormat="1" ht="12">
      <c r="B61" s="1033"/>
      <c r="C61" s="646"/>
      <c r="D61" s="685"/>
    </row>
    <row r="62" spans="1:4" s="1032" customFormat="1" ht="12">
      <c r="A62" s="1037"/>
      <c r="B62" s="1033"/>
      <c r="C62" s="646"/>
      <c r="D62" s="646"/>
    </row>
    <row r="63" spans="2:4" s="1032" customFormat="1" ht="12">
      <c r="B63" s="1033"/>
      <c r="C63" s="685"/>
      <c r="D63" s="685"/>
    </row>
    <row r="64" spans="1:4" s="1032" customFormat="1" ht="12">
      <c r="A64" s="1065"/>
      <c r="B64" s="1055"/>
      <c r="C64" s="646"/>
      <c r="D64" s="646"/>
    </row>
    <row r="65" spans="2:4" s="1032" customFormat="1" ht="12">
      <c r="B65" s="1084"/>
      <c r="C65" s="646"/>
      <c r="D65" s="685"/>
    </row>
    <row r="66" spans="2:4" s="1032" customFormat="1" ht="12">
      <c r="B66" s="1050"/>
      <c r="C66" s="646"/>
      <c r="D66" s="646"/>
    </row>
    <row r="67" spans="2:4" s="1032" customFormat="1" ht="12">
      <c r="B67" s="1086"/>
      <c r="C67" s="646"/>
      <c r="D67" s="646"/>
    </row>
    <row r="68" spans="2:4" s="1032" customFormat="1" ht="12">
      <c r="B68" s="1086"/>
      <c r="C68" s="646"/>
      <c r="D68" s="646"/>
    </row>
    <row r="69" spans="2:5" s="1032" customFormat="1" ht="12">
      <c r="B69" s="1086"/>
      <c r="C69" s="646"/>
      <c r="D69" s="646"/>
      <c r="E69" s="1027"/>
    </row>
    <row r="70" spans="2:4" s="1032" customFormat="1" ht="12">
      <c r="B70" s="1033"/>
      <c r="C70" s="646"/>
      <c r="D70" s="646"/>
    </row>
    <row r="71" spans="2:4" s="1032" customFormat="1" ht="12">
      <c r="B71" s="1033"/>
      <c r="C71" s="643"/>
      <c r="D71" s="685"/>
    </row>
    <row r="72" spans="2:4" s="1032" customFormat="1" ht="12">
      <c r="B72" s="1033"/>
      <c r="C72" s="643"/>
      <c r="D72" s="685"/>
    </row>
  </sheetData>
  <sheetProtection/>
  <mergeCells count="9">
    <mergeCell ref="A47:B47"/>
    <mergeCell ref="A48:B48"/>
    <mergeCell ref="A49:B49"/>
    <mergeCell ref="A1:E1"/>
    <mergeCell ref="A2:E2"/>
    <mergeCell ref="A3:E3"/>
    <mergeCell ref="A4:E4"/>
    <mergeCell ref="A45:B45"/>
    <mergeCell ref="A46:B4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33">
      <selection activeCell="D46" sqref="D4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1122" t="s">
        <v>1184</v>
      </c>
    </row>
    <row r="2" spans="1:4" s="109" customFormat="1" ht="25.5" customHeight="1" thickBot="1">
      <c r="A2" s="1323" t="s">
        <v>339</v>
      </c>
      <c r="B2" s="1324"/>
      <c r="C2" s="1120" t="s">
        <v>542</v>
      </c>
      <c r="D2" s="1121" t="s">
        <v>125</v>
      </c>
    </row>
    <row r="3" spans="1:4" s="109" customFormat="1" ht="16.5" hidden="1" thickBot="1">
      <c r="A3" s="1112" t="s">
        <v>338</v>
      </c>
      <c r="B3" s="1113"/>
      <c r="C3" s="1119"/>
      <c r="D3" s="324" t="s">
        <v>125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80749</v>
      </c>
    </row>
    <row r="9" spans="1:4" s="111" customFormat="1" ht="12" customHeight="1">
      <c r="A9" s="289"/>
      <c r="B9" s="288" t="s">
        <v>172</v>
      </c>
      <c r="C9" s="12" t="s">
        <v>266</v>
      </c>
      <c r="D9" s="495">
        <v>0</v>
      </c>
    </row>
    <row r="10" spans="1:4" s="111" customFormat="1" ht="12" customHeight="1">
      <c r="A10" s="287"/>
      <c r="B10" s="288" t="s">
        <v>173</v>
      </c>
      <c r="C10" s="9" t="s">
        <v>267</v>
      </c>
      <c r="D10" s="438">
        <v>0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v>63582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v>17167</v>
      </c>
    </row>
    <row r="15" spans="1:4" s="112" customFormat="1" ht="12" customHeight="1">
      <c r="A15" s="287"/>
      <c r="B15" s="288" t="s">
        <v>177</v>
      </c>
      <c r="C15" s="9" t="s">
        <v>26</v>
      </c>
      <c r="D15" s="438">
        <v>0</v>
      </c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v>0</v>
      </c>
    </row>
    <row r="17" spans="1:4" s="111" customFormat="1" ht="12" customHeight="1" thickBot="1">
      <c r="A17" s="240" t="s">
        <v>75</v>
      </c>
      <c r="B17" s="285"/>
      <c r="C17" s="286" t="s">
        <v>544</v>
      </c>
      <c r="D17" s="440">
        <f>D18+D24</f>
        <v>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0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v>0</v>
      </c>
    </row>
    <row r="21" spans="1:4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0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1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v>0</v>
      </c>
    </row>
    <row r="24" spans="1:4" s="111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1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1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4" s="112" customFormat="1" ht="12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</row>
    <row r="28" spans="1:4" s="112" customFormat="1" ht="15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s="112" customFormat="1" ht="15" customHeight="1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ht="13.5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67" customFormat="1" ht="16.5" customHeight="1">
      <c r="A31" s="489"/>
      <c r="B31" s="517" t="s">
        <v>152</v>
      </c>
      <c r="C31" s="165" t="s">
        <v>384</v>
      </c>
      <c r="D31" s="521">
        <v>0</v>
      </c>
    </row>
    <row r="32" spans="1:4" s="113" customFormat="1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ht="12" customHeight="1" thickBot="1">
      <c r="A34" s="248" t="s">
        <v>78</v>
      </c>
      <c r="B34" s="285"/>
      <c r="C34" s="147" t="s">
        <v>29</v>
      </c>
      <c r="D34" s="470">
        <f>682324-1983+11018+10289+26144</f>
        <v>727792</v>
      </c>
    </row>
    <row r="35" spans="1:4" ht="12" customHeight="1" thickBot="1">
      <c r="A35" s="240" t="s">
        <v>79</v>
      </c>
      <c r="B35" s="194"/>
      <c r="C35" s="147" t="s">
        <v>34</v>
      </c>
      <c r="D35" s="499">
        <f>+D8+D17+D30+D33+D34</f>
        <v>808541</v>
      </c>
    </row>
    <row r="36" spans="1:4" ht="12" customHeight="1" thickBot="1">
      <c r="A36" s="512" t="s">
        <v>80</v>
      </c>
      <c r="B36" s="519"/>
      <c r="C36" s="514" t="s">
        <v>30</v>
      </c>
      <c r="D36" s="523">
        <f>+D37+D38</f>
        <v>0</v>
      </c>
    </row>
    <row r="37" spans="1:4" ht="12" customHeight="1">
      <c r="A37" s="289"/>
      <c r="B37" s="192" t="s">
        <v>166</v>
      </c>
      <c r="C37" s="165" t="s">
        <v>478</v>
      </c>
      <c r="D37" s="521">
        <v>0</v>
      </c>
    </row>
    <row r="38" spans="1:4" ht="12" customHeight="1" thickBot="1">
      <c r="A38" s="520"/>
      <c r="B38" s="193" t="s">
        <v>167</v>
      </c>
      <c r="C38" s="513" t="s">
        <v>31</v>
      </c>
      <c r="D38" s="97">
        <v>0</v>
      </c>
    </row>
    <row r="39" spans="1:4" s="113" customFormat="1" ht="12" customHeight="1" thickBot="1">
      <c r="A39" s="299" t="s">
        <v>81</v>
      </c>
      <c r="B39" s="510"/>
      <c r="C39" s="511" t="s">
        <v>32</v>
      </c>
      <c r="D39" s="497">
        <v>0</v>
      </c>
    </row>
    <row r="40" spans="1:4" ht="12" customHeight="1" thickBot="1">
      <c r="A40" s="299" t="s">
        <v>82</v>
      </c>
      <c r="B40" s="300"/>
      <c r="C40" s="301" t="s">
        <v>33</v>
      </c>
      <c r="D40" s="503">
        <f>+D35+D36+D39</f>
        <v>808541</v>
      </c>
    </row>
    <row r="41" spans="1:4" ht="12" customHeight="1">
      <c r="A41" s="302"/>
      <c r="B41" s="302"/>
      <c r="C41" s="303"/>
      <c r="D41" s="501"/>
    </row>
    <row r="42" spans="1:4" ht="12" customHeight="1" thickBot="1">
      <c r="A42" s="304"/>
      <c r="B42" s="305"/>
      <c r="C42" s="305"/>
      <c r="D42" s="502"/>
    </row>
    <row r="43" spans="1:4" ht="12" customHeight="1" thickBot="1">
      <c r="A43" s="306"/>
      <c r="B43" s="307"/>
      <c r="C43" s="308" t="s">
        <v>119</v>
      </c>
      <c r="D43" s="503"/>
    </row>
    <row r="44" spans="1:4" ht="15" customHeight="1" thickBot="1">
      <c r="A44" s="248" t="s">
        <v>74</v>
      </c>
      <c r="B44" s="24"/>
      <c r="C44" s="147" t="s">
        <v>22</v>
      </c>
      <c r="D44" s="440">
        <f>SUM(D45:D49)</f>
        <v>808541</v>
      </c>
    </row>
    <row r="45" spans="1:4" ht="12.75">
      <c r="A45" s="309"/>
      <c r="B45" s="191" t="s">
        <v>172</v>
      </c>
      <c r="C45" s="11" t="s">
        <v>105</v>
      </c>
      <c r="D45" s="90">
        <f>391642+8102+20586</f>
        <v>420330</v>
      </c>
    </row>
    <row r="46" spans="1:4" ht="15" customHeight="1">
      <c r="A46" s="310"/>
      <c r="B46" s="174" t="s">
        <v>173</v>
      </c>
      <c r="C46" s="9" t="s">
        <v>298</v>
      </c>
      <c r="D46" s="93">
        <f>102239+2187+5558</f>
        <v>109984</v>
      </c>
    </row>
    <row r="47" spans="1:4" ht="14.25" customHeight="1">
      <c r="A47" s="310"/>
      <c r="B47" s="174" t="s">
        <v>174</v>
      </c>
      <c r="C47" s="9" t="s">
        <v>215</v>
      </c>
      <c r="D47" s="93">
        <v>278227</v>
      </c>
    </row>
    <row r="48" spans="1:4" ht="12.75">
      <c r="A48" s="310"/>
      <c r="B48" s="174" t="s">
        <v>175</v>
      </c>
      <c r="C48" s="9" t="s">
        <v>299</v>
      </c>
      <c r="D48" s="93">
        <v>0</v>
      </c>
    </row>
    <row r="49" spans="1:4" ht="13.5" thickBot="1">
      <c r="A49" s="310"/>
      <c r="B49" s="174" t="s">
        <v>186</v>
      </c>
      <c r="C49" s="9" t="s">
        <v>300</v>
      </c>
      <c r="D49" s="93">
        <v>0</v>
      </c>
    </row>
    <row r="50" spans="1:4" ht="12.75" hidden="1">
      <c r="A50" s="310"/>
      <c r="B50" s="174"/>
      <c r="C50" s="614" t="str">
        <f>4!B82</f>
        <v> - az 1.5-ből: - Lakosságnak juttatott támogatások</v>
      </c>
      <c r="D50" s="619"/>
    </row>
    <row r="51" spans="1:4" ht="12.75" hidden="1">
      <c r="A51" s="310"/>
      <c r="B51" s="174"/>
      <c r="C51" s="614" t="str">
        <f>4!B83</f>
        <v>   - Szociális, rászorultság jellegű ellátások</v>
      </c>
      <c r="D51" s="619"/>
    </row>
    <row r="52" spans="1:4" ht="12.75" hidden="1">
      <c r="A52" s="310"/>
      <c r="B52" s="174"/>
      <c r="C52" s="614" t="str">
        <f>4!B84</f>
        <v>   - Működési célú pénzeszköz átadás államháztartáson belülre</v>
      </c>
      <c r="D52" s="619"/>
    </row>
    <row r="53" spans="1:4" ht="12.75" hidden="1">
      <c r="A53" s="310"/>
      <c r="B53" s="174"/>
      <c r="C53" s="614" t="str">
        <f>4!B85</f>
        <v>   - Működési célú pénzeszköz átadás államháztartáson kívülre</v>
      </c>
      <c r="D53" s="619"/>
    </row>
    <row r="54" spans="1:4" ht="12.75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2.75" hidden="1">
      <c r="A55" s="310"/>
      <c r="B55" s="174"/>
      <c r="C55" s="614" t="str">
        <f>4!B87</f>
        <v>   - Kamatkiadások</v>
      </c>
      <c r="D55" s="619"/>
    </row>
    <row r="56" spans="1:4" ht="13.5" hidden="1" thickBot="1">
      <c r="A56" s="310"/>
      <c r="B56" s="174"/>
      <c r="C56" s="614" t="str">
        <f>4!B88</f>
        <v>   - Pénzforgalom nélküli kiadások</v>
      </c>
      <c r="D56" s="619"/>
    </row>
    <row r="57" spans="1:4" ht="13.5" thickBot="1">
      <c r="A57" s="248" t="s">
        <v>75</v>
      </c>
      <c r="B57" s="24"/>
      <c r="C57" s="147" t="s">
        <v>38</v>
      </c>
      <c r="D57" s="440">
        <f>SUM(D58:D61)</f>
        <v>0</v>
      </c>
    </row>
    <row r="58" spans="1:4" ht="12.75">
      <c r="A58" s="309"/>
      <c r="B58" s="191" t="s">
        <v>178</v>
      </c>
      <c r="C58" s="11" t="s">
        <v>417</v>
      </c>
      <c r="D58" s="90">
        <v>0</v>
      </c>
    </row>
    <row r="59" spans="1:4" ht="12.75">
      <c r="A59" s="310"/>
      <c r="B59" s="174" t="s">
        <v>179</v>
      </c>
      <c r="C59" s="9" t="s">
        <v>302</v>
      </c>
      <c r="D59" s="93">
        <v>0</v>
      </c>
    </row>
    <row r="60" spans="1:4" ht="12.75">
      <c r="A60" s="310"/>
      <c r="B60" s="174" t="s">
        <v>180</v>
      </c>
      <c r="C60" s="9" t="s">
        <v>120</v>
      </c>
      <c r="D60" s="93">
        <v>0</v>
      </c>
    </row>
    <row r="61" spans="1:4" ht="13.5" thickBot="1">
      <c r="A61" s="310"/>
      <c r="B61" s="174" t="s">
        <v>181</v>
      </c>
      <c r="C61" s="9" t="s">
        <v>35</v>
      </c>
      <c r="D61" s="93">
        <v>0</v>
      </c>
    </row>
    <row r="62" spans="1:4" ht="12.75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.75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.75" hidden="1">
      <c r="A64" s="310"/>
      <c r="B64" s="174"/>
      <c r="C64" s="614" t="str">
        <f>4!B95</f>
        <v>               - Pénzügyi befektetések kiadásai</v>
      </c>
      <c r="D64" s="619"/>
    </row>
    <row r="65" spans="1:4" ht="12.75" hidden="1">
      <c r="A65" s="310"/>
      <c r="B65" s="174"/>
      <c r="C65" s="614" t="str">
        <f>4!B96</f>
        <v>- Lakástámogatás</v>
      </c>
      <c r="D65" s="619"/>
    </row>
    <row r="66" spans="1:4" ht="12.75" hidden="1">
      <c r="A66" s="310"/>
      <c r="B66" s="174"/>
      <c r="C66" s="614" t="str">
        <f>4!B97</f>
        <v>- Lakásépítés</v>
      </c>
      <c r="D66" s="619"/>
    </row>
    <row r="67" spans="1:4" ht="34.5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3.5" thickBot="1">
      <c r="A68" s="248" t="s">
        <v>76</v>
      </c>
      <c r="B68" s="24"/>
      <c r="C68" s="24" t="s">
        <v>36</v>
      </c>
      <c r="D68" s="470">
        <v>0</v>
      </c>
    </row>
    <row r="69" spans="1:4" ht="13.5" thickBot="1">
      <c r="A69" s="299" t="s">
        <v>77</v>
      </c>
      <c r="B69" s="510"/>
      <c r="C69" s="511" t="s">
        <v>39</v>
      </c>
      <c r="D69" s="497">
        <v>0</v>
      </c>
    </row>
    <row r="70" spans="1:4" ht="13.5" thickBot="1">
      <c r="A70" s="248" t="s">
        <v>78</v>
      </c>
      <c r="B70" s="296"/>
      <c r="C70" s="312" t="s">
        <v>37</v>
      </c>
      <c r="D70" s="508">
        <f>+D44+D57+D68+D69</f>
        <v>808541</v>
      </c>
    </row>
    <row r="71" spans="1:4" ht="13.5" thickBot="1">
      <c r="A71" s="313"/>
      <c r="B71" s="314"/>
      <c r="C71" s="314"/>
      <c r="D71" s="509"/>
    </row>
    <row r="72" spans="1:4" ht="13.5" thickBot="1">
      <c r="A72" s="315" t="s">
        <v>342</v>
      </c>
      <c r="B72" s="316"/>
      <c r="C72" s="317"/>
      <c r="D72" s="144">
        <v>197</v>
      </c>
    </row>
    <row r="73" spans="1:4" ht="13.5" thickBot="1">
      <c r="A73" s="315" t="s">
        <v>343</v>
      </c>
      <c r="B73" s="316"/>
      <c r="C73" s="317"/>
      <c r="D73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30">
      <selection activeCell="J37" sqref="J3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1122" t="s">
        <v>1183</v>
      </c>
    </row>
    <row r="2" spans="1:4" s="109" customFormat="1" ht="25.5" customHeight="1" thickBot="1">
      <c r="A2" s="1323" t="s">
        <v>339</v>
      </c>
      <c r="B2" s="1324"/>
      <c r="C2" s="1120" t="s">
        <v>534</v>
      </c>
      <c r="D2" s="1121" t="s">
        <v>126</v>
      </c>
    </row>
    <row r="3" spans="1:4" s="109" customFormat="1" ht="16.5" hidden="1" thickBot="1">
      <c r="A3" s="1112" t="s">
        <v>338</v>
      </c>
      <c r="B3" s="1113"/>
      <c r="C3" s="1119"/>
      <c r="D3" s="324" t="s">
        <v>110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74208</v>
      </c>
    </row>
    <row r="9" spans="1:4" s="111" customFormat="1" ht="12" customHeight="1">
      <c r="A9" s="289"/>
      <c r="B9" s="288" t="s">
        <v>172</v>
      </c>
      <c r="C9" s="12" t="s">
        <v>266</v>
      </c>
      <c r="D9" s="495">
        <v>0</v>
      </c>
    </row>
    <row r="10" spans="1:4" s="111" customFormat="1" ht="12" customHeight="1">
      <c r="A10" s="287"/>
      <c r="B10" s="288" t="s">
        <v>173</v>
      </c>
      <c r="C10" s="9" t="s">
        <v>267</v>
      </c>
      <c r="D10" s="438">
        <f>33398+8000+2208</f>
        <v>43606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13500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v>0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v>17102</v>
      </c>
    </row>
    <row r="15" spans="1:4" s="112" customFormat="1" ht="12" customHeight="1">
      <c r="A15" s="287"/>
      <c r="B15" s="288" t="s">
        <v>177</v>
      </c>
      <c r="C15" s="9" t="s">
        <v>26</v>
      </c>
      <c r="D15" s="438">
        <v>0</v>
      </c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v>0</v>
      </c>
    </row>
    <row r="17" spans="1:4" s="111" customFormat="1" ht="12" customHeight="1" thickBot="1">
      <c r="A17" s="240" t="s">
        <v>75</v>
      </c>
      <c r="B17" s="285"/>
      <c r="C17" s="286" t="s">
        <v>544</v>
      </c>
      <c r="D17" s="440">
        <f>D18+D24</f>
        <v>1800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1800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v>0</v>
      </c>
    </row>
    <row r="21" spans="1:4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0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1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v>1800</v>
      </c>
    </row>
    <row r="24" spans="1:4" s="111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1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2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4" s="112" customFormat="1" ht="15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</row>
    <row r="28" spans="1:4" s="112" customFormat="1" ht="15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ht="13.5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s="67" customFormat="1" ht="16.5" customHeight="1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113" customFormat="1" ht="12" customHeight="1">
      <c r="A31" s="489"/>
      <c r="B31" s="517" t="s">
        <v>152</v>
      </c>
      <c r="C31" s="165" t="s">
        <v>384</v>
      </c>
      <c r="D31" s="521"/>
    </row>
    <row r="32" spans="1:4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ht="12" customHeight="1" thickBot="1">
      <c r="A34" s="248" t="s">
        <v>78</v>
      </c>
      <c r="B34" s="285"/>
      <c r="C34" s="147" t="s">
        <v>29</v>
      </c>
      <c r="D34" s="470">
        <f>149346+1236</f>
        <v>150582</v>
      </c>
    </row>
    <row r="35" spans="1:4" ht="12" customHeight="1" thickBot="1">
      <c r="A35" s="240" t="s">
        <v>79</v>
      </c>
      <c r="B35" s="194"/>
      <c r="C35" s="147" t="s">
        <v>34</v>
      </c>
      <c r="D35" s="499">
        <f>+D8+D17+D30+D33+D34</f>
        <v>226590</v>
      </c>
    </row>
    <row r="36" spans="1:4" ht="12" customHeight="1" thickBot="1">
      <c r="A36" s="512" t="s">
        <v>80</v>
      </c>
      <c r="B36" s="519"/>
      <c r="C36" s="514" t="s">
        <v>30</v>
      </c>
      <c r="D36" s="523">
        <f>+D37+D38</f>
        <v>3018</v>
      </c>
    </row>
    <row r="37" spans="1:4" ht="12" customHeight="1">
      <c r="A37" s="289"/>
      <c r="B37" s="192" t="s">
        <v>166</v>
      </c>
      <c r="C37" s="165" t="s">
        <v>478</v>
      </c>
      <c r="D37" s="521">
        <v>3018</v>
      </c>
    </row>
    <row r="38" spans="1:4" s="113" customFormat="1" ht="12" customHeight="1" thickBot="1">
      <c r="A38" s="520"/>
      <c r="B38" s="193" t="s">
        <v>167</v>
      </c>
      <c r="C38" s="513" t="s">
        <v>31</v>
      </c>
      <c r="D38" s="97">
        <v>0</v>
      </c>
    </row>
    <row r="39" spans="1:4" ht="12" customHeight="1" thickBot="1">
      <c r="A39" s="299" t="s">
        <v>81</v>
      </c>
      <c r="B39" s="510"/>
      <c r="C39" s="511" t="s">
        <v>32</v>
      </c>
      <c r="D39" s="497">
        <v>0</v>
      </c>
    </row>
    <row r="40" spans="1:4" ht="12" customHeight="1" thickBot="1">
      <c r="A40" s="299" t="s">
        <v>82</v>
      </c>
      <c r="B40" s="300"/>
      <c r="C40" s="301" t="s">
        <v>33</v>
      </c>
      <c r="D40" s="503">
        <f>+D35+D36+D39</f>
        <v>229608</v>
      </c>
    </row>
    <row r="41" spans="1:4" ht="12" customHeight="1">
      <c r="A41" s="302"/>
      <c r="B41" s="302"/>
      <c r="C41" s="303"/>
      <c r="D41" s="501"/>
    </row>
    <row r="42" spans="1:4" ht="12" customHeight="1" thickBot="1">
      <c r="A42" s="304"/>
      <c r="B42" s="305"/>
      <c r="C42" s="305"/>
      <c r="D42" s="502"/>
    </row>
    <row r="43" spans="1:4" ht="15" customHeight="1" thickBot="1">
      <c r="A43" s="306"/>
      <c r="B43" s="307"/>
      <c r="C43" s="308" t="s">
        <v>119</v>
      </c>
      <c r="D43" s="503"/>
    </row>
    <row r="44" spans="1:4" ht="13.5" thickBot="1">
      <c r="A44" s="248" t="s">
        <v>74</v>
      </c>
      <c r="B44" s="24"/>
      <c r="C44" s="147" t="s">
        <v>22</v>
      </c>
      <c r="D44" s="440">
        <f>SUM(D45:D49)</f>
        <v>229608</v>
      </c>
    </row>
    <row r="45" spans="1:4" ht="15" customHeight="1">
      <c r="A45" s="309"/>
      <c r="B45" s="191" t="s">
        <v>172</v>
      </c>
      <c r="C45" s="11" t="s">
        <v>105</v>
      </c>
      <c r="D45" s="90">
        <f>44401+973+2376</f>
        <v>47750</v>
      </c>
    </row>
    <row r="46" spans="1:4" ht="14.25" customHeight="1">
      <c r="A46" s="310"/>
      <c r="B46" s="174" t="s">
        <v>173</v>
      </c>
      <c r="C46" s="9" t="s">
        <v>298</v>
      </c>
      <c r="D46" s="93">
        <f>11568+263+642</f>
        <v>12473</v>
      </c>
    </row>
    <row r="47" spans="1:4" ht="12.75">
      <c r="A47" s="310"/>
      <c r="B47" s="174" t="s">
        <v>174</v>
      </c>
      <c r="C47" s="9" t="s">
        <v>215</v>
      </c>
      <c r="D47" s="93">
        <f>167585+1800</f>
        <v>169385</v>
      </c>
    </row>
    <row r="48" spans="1:4" ht="12.75">
      <c r="A48" s="310"/>
      <c r="B48" s="174" t="s">
        <v>175</v>
      </c>
      <c r="C48" s="9" t="s">
        <v>299</v>
      </c>
      <c r="D48" s="93">
        <v>0</v>
      </c>
    </row>
    <row r="49" spans="1:4" ht="13.5" thickBot="1">
      <c r="A49" s="310"/>
      <c r="B49" s="174" t="s">
        <v>186</v>
      </c>
      <c r="C49" s="9" t="s">
        <v>300</v>
      </c>
      <c r="D49" s="93">
        <v>0</v>
      </c>
    </row>
    <row r="50" spans="1:4" ht="12.75" hidden="1">
      <c r="A50" s="310"/>
      <c r="B50" s="174"/>
      <c r="C50" s="614" t="str">
        <f>4!B82</f>
        <v> - az 1.5-ből: - Lakosságnak juttatott támogatások</v>
      </c>
      <c r="D50" s="619"/>
    </row>
    <row r="51" spans="1:4" ht="12.75" hidden="1">
      <c r="A51" s="310"/>
      <c r="B51" s="174"/>
      <c r="C51" s="614" t="str">
        <f>4!B83</f>
        <v>   - Szociális, rászorultság jellegű ellátások</v>
      </c>
      <c r="D51" s="619"/>
    </row>
    <row r="52" spans="1:4" ht="12.75" hidden="1">
      <c r="A52" s="310"/>
      <c r="B52" s="174"/>
      <c r="C52" s="614" t="str">
        <f>4!B84</f>
        <v>   - Működési célú pénzeszköz átadás államháztartáson belülre</v>
      </c>
      <c r="D52" s="619"/>
    </row>
    <row r="53" spans="1:4" ht="12.75" hidden="1">
      <c r="A53" s="310"/>
      <c r="B53" s="174"/>
      <c r="C53" s="614" t="str">
        <f>4!B85</f>
        <v>   - Működési célú pénzeszköz átadás államháztartáson kívülre</v>
      </c>
      <c r="D53" s="619"/>
    </row>
    <row r="54" spans="1:4" ht="12.75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2.75" hidden="1">
      <c r="A55" s="310"/>
      <c r="B55" s="174"/>
      <c r="C55" s="614" t="str">
        <f>4!B87</f>
        <v>   - Kamatkiadások</v>
      </c>
      <c r="D55" s="619"/>
    </row>
    <row r="56" spans="1:4" ht="13.5" hidden="1" thickBot="1">
      <c r="A56" s="310"/>
      <c r="B56" s="174"/>
      <c r="C56" s="614" t="str">
        <f>4!B88</f>
        <v>   - Pénzforgalom nélküli kiadások</v>
      </c>
      <c r="D56" s="619"/>
    </row>
    <row r="57" spans="1:4" ht="13.5" thickBot="1">
      <c r="A57" s="248" t="s">
        <v>75</v>
      </c>
      <c r="B57" s="24"/>
      <c r="C57" s="147" t="s">
        <v>38</v>
      </c>
      <c r="D57" s="440">
        <f>SUM(D58:D61)</f>
        <v>0</v>
      </c>
    </row>
    <row r="58" spans="1:4" ht="12.75">
      <c r="A58" s="309"/>
      <c r="B58" s="191" t="s">
        <v>178</v>
      </c>
      <c r="C58" s="11" t="s">
        <v>417</v>
      </c>
      <c r="D58" s="90">
        <v>0</v>
      </c>
    </row>
    <row r="59" spans="1:4" ht="12.75">
      <c r="A59" s="310"/>
      <c r="B59" s="174" t="s">
        <v>179</v>
      </c>
      <c r="C59" s="9" t="s">
        <v>302</v>
      </c>
      <c r="D59" s="93">
        <v>0</v>
      </c>
    </row>
    <row r="60" spans="1:4" ht="12.75">
      <c r="A60" s="310"/>
      <c r="B60" s="174" t="s">
        <v>180</v>
      </c>
      <c r="C60" s="9" t="s">
        <v>120</v>
      </c>
      <c r="D60" s="93">
        <v>0</v>
      </c>
    </row>
    <row r="61" spans="1:4" ht="13.5" thickBot="1">
      <c r="A61" s="310"/>
      <c r="B61" s="174" t="s">
        <v>181</v>
      </c>
      <c r="C61" s="9" t="s">
        <v>35</v>
      </c>
      <c r="D61" s="93">
        <v>0</v>
      </c>
    </row>
    <row r="62" spans="1:4" ht="12.75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.75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.75" hidden="1">
      <c r="A64" s="310"/>
      <c r="B64" s="174"/>
      <c r="C64" s="614" t="str">
        <f>4!B95</f>
        <v>               - Pénzügyi befektetések kiadásai</v>
      </c>
      <c r="D64" s="619"/>
    </row>
    <row r="65" spans="1:4" ht="12.75" hidden="1">
      <c r="A65" s="310"/>
      <c r="B65" s="174"/>
      <c r="C65" s="614" t="str">
        <f>4!B96</f>
        <v>- Lakástámogatás</v>
      </c>
      <c r="D65" s="619"/>
    </row>
    <row r="66" spans="1:4" ht="12.75" hidden="1">
      <c r="A66" s="310"/>
      <c r="B66" s="174"/>
      <c r="C66" s="614" t="str">
        <f>4!B97</f>
        <v>- Lakásépítés</v>
      </c>
      <c r="D66" s="619"/>
    </row>
    <row r="67" spans="1:4" ht="34.5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3.5" thickBot="1">
      <c r="A68" s="248" t="s">
        <v>76</v>
      </c>
      <c r="B68" s="24"/>
      <c r="C68" s="24" t="s">
        <v>36</v>
      </c>
      <c r="D68" s="470">
        <v>0</v>
      </c>
    </row>
    <row r="69" spans="1:4" ht="13.5" thickBot="1">
      <c r="A69" s="299" t="s">
        <v>77</v>
      </c>
      <c r="B69" s="510"/>
      <c r="C69" s="511" t="s">
        <v>39</v>
      </c>
      <c r="D69" s="497">
        <v>0</v>
      </c>
    </row>
    <row r="70" spans="1:4" ht="13.5" thickBot="1">
      <c r="A70" s="248" t="s">
        <v>78</v>
      </c>
      <c r="B70" s="296"/>
      <c r="C70" s="312" t="s">
        <v>37</v>
      </c>
      <c r="D70" s="508">
        <f>+D44+D57+D68+D69</f>
        <v>229608</v>
      </c>
    </row>
    <row r="71" spans="1:4" ht="13.5" thickBot="1">
      <c r="A71" s="313"/>
      <c r="B71" s="314"/>
      <c r="C71" s="314"/>
      <c r="D71" s="509"/>
    </row>
    <row r="72" spans="1:4" ht="13.5" thickBot="1">
      <c r="A72" s="315" t="s">
        <v>342</v>
      </c>
      <c r="B72" s="316"/>
      <c r="C72" s="317"/>
      <c r="D72" s="144">
        <v>24</v>
      </c>
    </row>
    <row r="73" spans="1:4" ht="13.5" thickBot="1">
      <c r="A73" s="315" t="s">
        <v>343</v>
      </c>
      <c r="B73" s="316"/>
      <c r="C73" s="317"/>
      <c r="D73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30">
      <selection activeCell="D45" sqref="D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1122" t="s">
        <v>1182</v>
      </c>
    </row>
    <row r="2" spans="1:4" s="109" customFormat="1" ht="25.5" customHeight="1" thickBot="1">
      <c r="A2" s="1323" t="s">
        <v>339</v>
      </c>
      <c r="B2" s="1324"/>
      <c r="C2" s="1120" t="s">
        <v>535</v>
      </c>
      <c r="D2" s="1121" t="s">
        <v>1177</v>
      </c>
    </row>
    <row r="3" spans="1:4" s="109" customFormat="1" ht="16.5" hidden="1" thickBot="1">
      <c r="A3" s="1112" t="s">
        <v>338</v>
      </c>
      <c r="B3" s="1113"/>
      <c r="C3" s="1119"/>
      <c r="D3" s="324" t="s">
        <v>123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107274</v>
      </c>
    </row>
    <row r="9" spans="1:4" s="111" customFormat="1" ht="12" customHeight="1">
      <c r="A9" s="289"/>
      <c r="B9" s="288" t="s">
        <v>172</v>
      </c>
      <c r="C9" s="12" t="s">
        <v>266</v>
      </c>
      <c r="D9" s="495">
        <v>0</v>
      </c>
    </row>
    <row r="10" spans="1:4" s="111" customFormat="1" ht="12" customHeight="1">
      <c r="A10" s="287"/>
      <c r="B10" s="288" t="s">
        <v>173</v>
      </c>
      <c r="C10" s="9" t="s">
        <v>267</v>
      </c>
      <c r="D10" s="438">
        <v>0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f>13849+89607</f>
        <v>103456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f>3818</f>
        <v>3818</v>
      </c>
    </row>
    <row r="15" spans="1:4" s="112" customFormat="1" ht="12" customHeight="1">
      <c r="A15" s="287"/>
      <c r="B15" s="288" t="s">
        <v>177</v>
      </c>
      <c r="C15" s="9" t="s">
        <v>26</v>
      </c>
      <c r="D15" s="438">
        <v>0</v>
      </c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v>0</v>
      </c>
    </row>
    <row r="17" spans="1:4" s="111" customFormat="1" ht="12" customHeight="1" thickBot="1">
      <c r="A17" s="240" t="s">
        <v>75</v>
      </c>
      <c r="B17" s="285"/>
      <c r="C17" s="286" t="s">
        <v>544</v>
      </c>
      <c r="D17" s="440">
        <f>D18+D24</f>
        <v>84620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84620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f>74651+3143</f>
        <v>77794</v>
      </c>
    </row>
    <row r="21" spans="1:4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6826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1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v>0</v>
      </c>
    </row>
    <row r="24" spans="1:4" s="111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1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1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4" s="112" customFormat="1" ht="12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</row>
    <row r="28" spans="1:4" s="112" customFormat="1" ht="15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s="112" customFormat="1" ht="15" customHeight="1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ht="13.5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67" customFormat="1" ht="16.5" customHeight="1">
      <c r="A31" s="489"/>
      <c r="B31" s="517" t="s">
        <v>152</v>
      </c>
      <c r="C31" s="165" t="s">
        <v>384</v>
      </c>
      <c r="D31" s="521">
        <v>0</v>
      </c>
    </row>
    <row r="32" spans="1:4" s="113" customFormat="1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ht="12" customHeight="1" thickBot="1">
      <c r="A34" s="248" t="s">
        <v>78</v>
      </c>
      <c r="B34" s="285"/>
      <c r="C34" s="147" t="s">
        <v>29</v>
      </c>
      <c r="D34" s="470">
        <f>278820+3070</f>
        <v>281890</v>
      </c>
    </row>
    <row r="35" spans="1:4" ht="12" customHeight="1" thickBot="1">
      <c r="A35" s="240" t="s">
        <v>79</v>
      </c>
      <c r="B35" s="194"/>
      <c r="C35" s="147" t="s">
        <v>34</v>
      </c>
      <c r="D35" s="499">
        <f>+D8+D17+D30+D33+D34</f>
        <v>473784</v>
      </c>
    </row>
    <row r="36" spans="1:4" ht="12" customHeight="1" thickBot="1">
      <c r="A36" s="512" t="s">
        <v>80</v>
      </c>
      <c r="B36" s="519"/>
      <c r="C36" s="514" t="s">
        <v>30</v>
      </c>
      <c r="D36" s="523">
        <f>+D37+D38</f>
        <v>4216</v>
      </c>
    </row>
    <row r="37" spans="1:4" ht="12" customHeight="1">
      <c r="A37" s="289"/>
      <c r="B37" s="192" t="s">
        <v>166</v>
      </c>
      <c r="C37" s="165" t="s">
        <v>478</v>
      </c>
      <c r="D37" s="521">
        <v>4216</v>
      </c>
    </row>
    <row r="38" spans="1:4" ht="12" customHeight="1" thickBot="1">
      <c r="A38" s="520"/>
      <c r="B38" s="193" t="s">
        <v>167</v>
      </c>
      <c r="C38" s="513" t="s">
        <v>31</v>
      </c>
      <c r="D38" s="97">
        <v>0</v>
      </c>
    </row>
    <row r="39" spans="1:4" s="113" customFormat="1" ht="12" customHeight="1" thickBot="1">
      <c r="A39" s="299" t="s">
        <v>81</v>
      </c>
      <c r="B39" s="510"/>
      <c r="C39" s="511" t="s">
        <v>32</v>
      </c>
      <c r="D39" s="497">
        <v>0</v>
      </c>
    </row>
    <row r="40" spans="1:4" ht="12" customHeight="1" thickBot="1">
      <c r="A40" s="299" t="s">
        <v>82</v>
      </c>
      <c r="B40" s="300"/>
      <c r="C40" s="301" t="s">
        <v>33</v>
      </c>
      <c r="D40" s="503">
        <f>+D35+D36+D39</f>
        <v>478000</v>
      </c>
    </row>
    <row r="41" spans="1:4" ht="12" customHeight="1">
      <c r="A41" s="302"/>
      <c r="B41" s="302"/>
      <c r="C41" s="303"/>
      <c r="D41" s="501"/>
    </row>
    <row r="42" spans="1:4" ht="12" customHeight="1" thickBot="1">
      <c r="A42" s="304"/>
      <c r="B42" s="305"/>
      <c r="C42" s="305"/>
      <c r="D42" s="502"/>
    </row>
    <row r="43" spans="1:4" ht="12" customHeight="1" thickBot="1">
      <c r="A43" s="306"/>
      <c r="B43" s="307"/>
      <c r="C43" s="308" t="s">
        <v>119</v>
      </c>
      <c r="D43" s="503"/>
    </row>
    <row r="44" spans="1:4" ht="15" customHeight="1" thickBot="1">
      <c r="A44" s="248" t="s">
        <v>74</v>
      </c>
      <c r="B44" s="24"/>
      <c r="C44" s="147" t="s">
        <v>22</v>
      </c>
      <c r="D44" s="440">
        <f>SUM(D45:D49)</f>
        <v>469060</v>
      </c>
    </row>
    <row r="45" spans="1:4" ht="12.75">
      <c r="A45" s="309"/>
      <c r="B45" s="191" t="s">
        <v>172</v>
      </c>
      <c r="C45" s="11" t="s">
        <v>105</v>
      </c>
      <c r="D45" s="90">
        <f>194761+2417+995+1480</f>
        <v>199653</v>
      </c>
    </row>
    <row r="46" spans="1:4" ht="15" customHeight="1">
      <c r="A46" s="310"/>
      <c r="B46" s="174" t="s">
        <v>173</v>
      </c>
      <c r="C46" s="9" t="s">
        <v>298</v>
      </c>
      <c r="D46" s="93">
        <f>50695+653+269+399</f>
        <v>52016</v>
      </c>
    </row>
    <row r="47" spans="1:4" ht="14.25" customHeight="1">
      <c r="A47" s="310"/>
      <c r="B47" s="174" t="s">
        <v>174</v>
      </c>
      <c r="C47" s="9" t="s">
        <v>215</v>
      </c>
      <c r="D47" s="93">
        <f>213175+4216</f>
        <v>217391</v>
      </c>
    </row>
    <row r="48" spans="1:4" ht="12.75">
      <c r="A48" s="310"/>
      <c r="B48" s="174" t="s">
        <v>175</v>
      </c>
      <c r="C48" s="9" t="s">
        <v>299</v>
      </c>
      <c r="D48" s="93">
        <v>0</v>
      </c>
    </row>
    <row r="49" spans="1:4" ht="13.5" thickBot="1">
      <c r="A49" s="310"/>
      <c r="B49" s="174" t="s">
        <v>186</v>
      </c>
      <c r="C49" s="9" t="s">
        <v>300</v>
      </c>
      <c r="D49" s="93">
        <v>0</v>
      </c>
    </row>
    <row r="50" spans="1:4" ht="12.75" hidden="1">
      <c r="A50" s="310"/>
      <c r="B50" s="174"/>
      <c r="C50" s="614" t="str">
        <f>4!B82</f>
        <v> - az 1.5-ből: - Lakosságnak juttatott támogatások</v>
      </c>
      <c r="D50" s="619"/>
    </row>
    <row r="51" spans="1:4" ht="12.75" hidden="1">
      <c r="A51" s="310"/>
      <c r="B51" s="174"/>
      <c r="C51" s="614" t="str">
        <f>4!B83</f>
        <v>   - Szociális, rászorultság jellegű ellátások</v>
      </c>
      <c r="D51" s="619"/>
    </row>
    <row r="52" spans="1:4" ht="12.75" hidden="1">
      <c r="A52" s="310"/>
      <c r="B52" s="174"/>
      <c r="C52" s="614" t="str">
        <f>4!B84</f>
        <v>   - Működési célú pénzeszköz átadás államháztartáson belülre</v>
      </c>
      <c r="D52" s="619"/>
    </row>
    <row r="53" spans="1:4" ht="12.75" hidden="1">
      <c r="A53" s="310"/>
      <c r="B53" s="174"/>
      <c r="C53" s="614" t="str">
        <f>4!B85</f>
        <v>   - Működési célú pénzeszköz átadás államháztartáson kívülre</v>
      </c>
      <c r="D53" s="619"/>
    </row>
    <row r="54" spans="1:4" ht="12.75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2.75" hidden="1">
      <c r="A55" s="310"/>
      <c r="B55" s="174"/>
      <c r="C55" s="614" t="str">
        <f>4!B87</f>
        <v>   - Kamatkiadások</v>
      </c>
      <c r="D55" s="619"/>
    </row>
    <row r="56" spans="1:4" ht="13.5" hidden="1" thickBot="1">
      <c r="A56" s="310"/>
      <c r="B56" s="174"/>
      <c r="C56" s="614" t="str">
        <f>4!B88</f>
        <v>   - Pénzforgalom nélküli kiadások</v>
      </c>
      <c r="D56" s="619"/>
    </row>
    <row r="57" spans="1:4" ht="13.5" thickBot="1">
      <c r="A57" s="248" t="s">
        <v>75</v>
      </c>
      <c r="B57" s="24"/>
      <c r="C57" s="147" t="s">
        <v>38</v>
      </c>
      <c r="D57" s="440">
        <f>SUM(D58:D61)</f>
        <v>8940</v>
      </c>
    </row>
    <row r="58" spans="1:4" ht="12.75">
      <c r="A58" s="309"/>
      <c r="B58" s="191" t="s">
        <v>178</v>
      </c>
      <c r="C58" s="11" t="s">
        <v>417</v>
      </c>
      <c r="D58" s="90">
        <v>8940</v>
      </c>
    </row>
    <row r="59" spans="1:4" ht="12.75">
      <c r="A59" s="310"/>
      <c r="B59" s="174" t="s">
        <v>179</v>
      </c>
      <c r="C59" s="9" t="s">
        <v>302</v>
      </c>
      <c r="D59" s="93">
        <v>0</v>
      </c>
    </row>
    <row r="60" spans="1:4" ht="12.75">
      <c r="A60" s="310"/>
      <c r="B60" s="174" t="s">
        <v>180</v>
      </c>
      <c r="C60" s="9" t="s">
        <v>120</v>
      </c>
      <c r="D60" s="93">
        <v>0</v>
      </c>
    </row>
    <row r="61" spans="1:4" ht="13.5" thickBot="1">
      <c r="A61" s="310"/>
      <c r="B61" s="174" t="s">
        <v>181</v>
      </c>
      <c r="C61" s="9" t="s">
        <v>35</v>
      </c>
      <c r="D61" s="93">
        <v>0</v>
      </c>
    </row>
    <row r="62" spans="1:4" ht="12.75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.75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.75" hidden="1">
      <c r="A64" s="310"/>
      <c r="B64" s="174"/>
      <c r="C64" s="614" t="str">
        <f>4!B95</f>
        <v>               - Pénzügyi befektetések kiadásai</v>
      </c>
      <c r="D64" s="619"/>
    </row>
    <row r="65" spans="1:4" ht="12.75" hidden="1">
      <c r="A65" s="310"/>
      <c r="B65" s="174"/>
      <c r="C65" s="614" t="str">
        <f>4!B96</f>
        <v>- Lakástámogatás</v>
      </c>
      <c r="D65" s="619"/>
    </row>
    <row r="66" spans="1:4" ht="12.75" hidden="1">
      <c r="A66" s="310"/>
      <c r="B66" s="174"/>
      <c r="C66" s="614" t="str">
        <f>4!B97</f>
        <v>- Lakásépítés</v>
      </c>
      <c r="D66" s="619"/>
    </row>
    <row r="67" spans="1:4" ht="34.5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3.5" thickBot="1">
      <c r="A68" s="248" t="s">
        <v>76</v>
      </c>
      <c r="B68" s="24"/>
      <c r="C68" s="24" t="s">
        <v>36</v>
      </c>
      <c r="D68" s="470">
        <v>0</v>
      </c>
    </row>
    <row r="69" spans="1:4" ht="13.5" thickBot="1">
      <c r="A69" s="299" t="s">
        <v>77</v>
      </c>
      <c r="B69" s="510"/>
      <c r="C69" s="511" t="s">
        <v>39</v>
      </c>
      <c r="D69" s="497">
        <v>0</v>
      </c>
    </row>
    <row r="70" spans="1:4" ht="13.5" thickBot="1">
      <c r="A70" s="248" t="s">
        <v>78</v>
      </c>
      <c r="B70" s="296"/>
      <c r="C70" s="312" t="s">
        <v>37</v>
      </c>
      <c r="D70" s="508">
        <f>+D44+D57+D68+D69</f>
        <v>478000</v>
      </c>
    </row>
    <row r="71" spans="1:4" ht="13.5" thickBot="1">
      <c r="A71" s="313"/>
      <c r="B71" s="314"/>
      <c r="C71" s="314"/>
      <c r="D71" s="509"/>
    </row>
    <row r="72" spans="1:4" ht="13.5" thickBot="1">
      <c r="A72" s="315" t="s">
        <v>342</v>
      </c>
      <c r="B72" s="316"/>
      <c r="C72" s="317"/>
      <c r="D72" s="144">
        <v>81</v>
      </c>
    </row>
    <row r="73" spans="1:4" ht="13.5" thickBot="1">
      <c r="A73" s="315" t="s">
        <v>343</v>
      </c>
      <c r="B73" s="316"/>
      <c r="C73" s="317"/>
      <c r="D73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1.00390625" style="886" customWidth="1"/>
    <col min="2" max="2" width="9.375" style="886" customWidth="1"/>
    <col min="3" max="3" width="43.00390625" style="886" customWidth="1"/>
    <col min="4" max="4" width="16.875" style="886" customWidth="1"/>
    <col min="5" max="5" width="13.375" style="886" customWidth="1"/>
    <col min="6" max="16384" width="9.375" style="886" customWidth="1"/>
  </cols>
  <sheetData>
    <row r="1" ht="12.75">
      <c r="E1" s="887" t="s">
        <v>1190</v>
      </c>
    </row>
    <row r="2" ht="50.25" customHeight="1"/>
    <row r="3" spans="1:5" ht="15.75">
      <c r="A3" s="1282" t="s">
        <v>871</v>
      </c>
      <c r="B3" s="1283"/>
      <c r="C3" s="1283"/>
      <c r="D3" s="1283"/>
      <c r="E3" s="1283"/>
    </row>
    <row r="4" ht="66" customHeight="1" thickBot="1">
      <c r="D4" s="890" t="s">
        <v>872</v>
      </c>
    </row>
    <row r="5" spans="2:4" ht="13.5" thickBot="1">
      <c r="B5" s="891" t="s">
        <v>873</v>
      </c>
      <c r="C5" s="892"/>
      <c r="D5" s="893" t="s">
        <v>874</v>
      </c>
    </row>
    <row r="6" spans="2:4" ht="12.75">
      <c r="B6" s="1274" t="s">
        <v>1235</v>
      </c>
      <c r="C6" s="1276"/>
      <c r="D6" s="1138">
        <f>4!C57</f>
        <v>53890</v>
      </c>
    </row>
    <row r="7" spans="2:4" ht="12.75">
      <c r="B7" s="1265"/>
      <c r="C7" s="1267"/>
      <c r="D7" s="895"/>
    </row>
    <row r="8" spans="2:4" ht="13.5" thickBot="1">
      <c r="B8" s="1280" t="s">
        <v>107</v>
      </c>
      <c r="C8" s="1281"/>
      <c r="D8" s="896">
        <f>SUM(D6:D7)</f>
        <v>53890</v>
      </c>
    </row>
    <row r="9" spans="2:4" ht="13.5" thickBot="1">
      <c r="B9" s="889"/>
      <c r="C9" s="889"/>
      <c r="D9" s="889"/>
    </row>
    <row r="10" spans="2:4" ht="12.75">
      <c r="B10" s="897" t="s">
        <v>875</v>
      </c>
      <c r="C10" s="898"/>
      <c r="D10" s="899" t="s">
        <v>874</v>
      </c>
    </row>
    <row r="11" spans="2:4" ht="12.75">
      <c r="B11" s="1265"/>
      <c r="C11" s="1267"/>
      <c r="D11" s="900"/>
    </row>
    <row r="12" spans="2:4" ht="12.75">
      <c r="B12" s="1265"/>
      <c r="C12" s="1267"/>
      <c r="D12" s="901"/>
    </row>
    <row r="13" spans="2:4" ht="13.5" thickBot="1">
      <c r="B13" s="1280" t="s">
        <v>107</v>
      </c>
      <c r="C13" s="1281"/>
      <c r="D13" s="896">
        <f>SUM(D11:D12)</f>
        <v>0</v>
      </c>
    </row>
  </sheetData>
  <sheetProtection/>
  <mergeCells count="7">
    <mergeCell ref="B13:C13"/>
    <mergeCell ref="A3:E3"/>
    <mergeCell ref="B6:C6"/>
    <mergeCell ref="B7:C7"/>
    <mergeCell ref="B8:C8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24">
      <selection activeCell="D47" sqref="D4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1122" t="s">
        <v>1181</v>
      </c>
    </row>
    <row r="2" spans="1:4" s="109" customFormat="1" ht="25.5" customHeight="1" thickBot="1">
      <c r="A2" s="1323" t="s">
        <v>339</v>
      </c>
      <c r="B2" s="1324"/>
      <c r="C2" s="604" t="s">
        <v>536</v>
      </c>
      <c r="D2" s="1121" t="s">
        <v>1220</v>
      </c>
    </row>
    <row r="3" spans="1:4" s="109" customFormat="1" ht="16.5" hidden="1" thickBot="1">
      <c r="A3" s="1112" t="s">
        <v>338</v>
      </c>
      <c r="B3" s="1113"/>
      <c r="C3" s="1119"/>
      <c r="D3" s="324" t="s">
        <v>124</v>
      </c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1222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6036</v>
      </c>
    </row>
    <row r="9" spans="1:4" s="111" customFormat="1" ht="12" customHeight="1">
      <c r="A9" s="289"/>
      <c r="B9" s="288" t="s">
        <v>172</v>
      </c>
      <c r="C9" s="12" t="s">
        <v>266</v>
      </c>
      <c r="D9" s="495">
        <v>0</v>
      </c>
    </row>
    <row r="10" spans="1:4" s="111" customFormat="1" ht="12" customHeight="1">
      <c r="A10" s="287"/>
      <c r="B10" s="288" t="s">
        <v>173</v>
      </c>
      <c r="C10" s="9" t="s">
        <v>267</v>
      </c>
      <c r="D10" s="438">
        <v>3516</v>
      </c>
    </row>
    <row r="11" spans="1:4" s="111" customFormat="1" ht="12" customHeight="1">
      <c r="A11" s="287"/>
      <c r="B11" s="288" t="s">
        <v>174</v>
      </c>
      <c r="C11" s="9" t="s">
        <v>268</v>
      </c>
      <c r="D11" s="438">
        <v>0</v>
      </c>
    </row>
    <row r="12" spans="1:4" s="111" customFormat="1" ht="12" customHeight="1">
      <c r="A12" s="287"/>
      <c r="B12" s="288" t="s">
        <v>175</v>
      </c>
      <c r="C12" s="9" t="s">
        <v>269</v>
      </c>
      <c r="D12" s="438">
        <v>0</v>
      </c>
    </row>
    <row r="13" spans="1:4" s="111" customFormat="1" ht="12" customHeight="1">
      <c r="A13" s="287"/>
      <c r="B13" s="288" t="s">
        <v>224</v>
      </c>
      <c r="C13" s="8" t="s">
        <v>270</v>
      </c>
      <c r="D13" s="438">
        <v>0</v>
      </c>
    </row>
    <row r="14" spans="1:4" s="111" customFormat="1" ht="12" customHeight="1">
      <c r="A14" s="290"/>
      <c r="B14" s="288" t="s">
        <v>176</v>
      </c>
      <c r="C14" s="9" t="s">
        <v>271</v>
      </c>
      <c r="D14" s="496">
        <v>2520</v>
      </c>
    </row>
    <row r="15" spans="1:4" s="112" customFormat="1" ht="12" customHeight="1">
      <c r="A15" s="287"/>
      <c r="B15" s="288" t="s">
        <v>177</v>
      </c>
      <c r="C15" s="9" t="s">
        <v>26</v>
      </c>
      <c r="D15" s="438">
        <v>0</v>
      </c>
    </row>
    <row r="16" spans="1:4" s="112" customFormat="1" ht="12" customHeight="1" thickBot="1">
      <c r="A16" s="291"/>
      <c r="B16" s="292" t="s">
        <v>187</v>
      </c>
      <c r="C16" s="8" t="s">
        <v>330</v>
      </c>
      <c r="D16" s="439">
        <v>0</v>
      </c>
    </row>
    <row r="17" spans="1:4" s="111" customFormat="1" ht="12" customHeight="1" thickBot="1">
      <c r="A17" s="240" t="s">
        <v>75</v>
      </c>
      <c r="B17" s="285"/>
      <c r="C17" s="286" t="s">
        <v>544</v>
      </c>
      <c r="D17" s="440">
        <f>D18+D24</f>
        <v>20824</v>
      </c>
    </row>
    <row r="18" spans="1:4" s="112" customFormat="1" ht="12" customHeight="1">
      <c r="A18" s="287"/>
      <c r="B18" s="288" t="s">
        <v>178</v>
      </c>
      <c r="C18" s="11" t="s">
        <v>23</v>
      </c>
      <c r="D18" s="438">
        <f>D19+D20+D21+D22+D23</f>
        <v>20824</v>
      </c>
    </row>
    <row r="19" spans="1:4" s="112" customFormat="1" ht="12" customHeight="1">
      <c r="A19" s="287"/>
      <c r="B19" s="288" t="s">
        <v>179</v>
      </c>
      <c r="C19" s="9" t="s">
        <v>24</v>
      </c>
      <c r="D19" s="438">
        <v>0</v>
      </c>
    </row>
    <row r="20" spans="1:4" s="112" customFormat="1" ht="12" customHeight="1" hidden="1">
      <c r="A20" s="287"/>
      <c r="B20" s="288"/>
      <c r="C20" s="614" t="str">
        <f>4!B34</f>
        <v>   Társadalombiztosítás pénzügyi alapjából átvett pénzeszköz </v>
      </c>
      <c r="D20" s="615">
        <v>0</v>
      </c>
    </row>
    <row r="21" spans="1:4" s="112" customFormat="1" ht="12" customHeight="1" hidden="1">
      <c r="A21" s="287"/>
      <c r="B21" s="288"/>
      <c r="C21" s="614" t="str">
        <f>4!B35</f>
        <v>   Helyi, nemzetiségi önkormányzattól átvett pénzeszköz</v>
      </c>
      <c r="D21" s="615">
        <v>0</v>
      </c>
    </row>
    <row r="22" spans="1:4" s="112" customFormat="1" ht="12" customHeight="1" hidden="1">
      <c r="A22" s="287"/>
      <c r="B22" s="288"/>
      <c r="C22" s="614" t="str">
        <f>4!B36</f>
        <v>   Társulástól átvett pénzeszköz</v>
      </c>
      <c r="D22" s="615">
        <v>0</v>
      </c>
    </row>
    <row r="23" spans="1:4" s="111" customFormat="1" ht="12" customHeight="1" hidden="1">
      <c r="A23" s="287"/>
      <c r="B23" s="288"/>
      <c r="C23" s="614" t="str">
        <f>4!B38</f>
        <v>   Egyéb működési támogatás államháztartáson belülről</v>
      </c>
      <c r="D23" s="615">
        <f>8846+11978</f>
        <v>20824</v>
      </c>
    </row>
    <row r="24" spans="1:4" s="111" customFormat="1" ht="12" customHeight="1">
      <c r="A24" s="287"/>
      <c r="B24" s="288" t="s">
        <v>180</v>
      </c>
      <c r="C24" s="9" t="s">
        <v>25</v>
      </c>
      <c r="D24" s="438">
        <f>D25+D26+D27+D28+D29</f>
        <v>0</v>
      </c>
    </row>
    <row r="25" spans="1:4" s="111" customFormat="1" ht="12" customHeight="1" thickBot="1">
      <c r="A25" s="287"/>
      <c r="B25" s="288" t="s">
        <v>181</v>
      </c>
      <c r="C25" s="9" t="s">
        <v>24</v>
      </c>
      <c r="D25" s="438">
        <v>0</v>
      </c>
    </row>
    <row r="26" spans="1:4" s="111" customFormat="1" ht="12" customHeight="1" hidden="1">
      <c r="A26" s="287"/>
      <c r="B26" s="288"/>
      <c r="C26" s="614" t="str">
        <f>4!B40</f>
        <v>   Társadalombiztosítás pénzügyi alapjából átvett pénzeszköz </v>
      </c>
      <c r="D26" s="615">
        <v>0</v>
      </c>
    </row>
    <row r="27" spans="1:4" s="112" customFormat="1" ht="12" customHeight="1" hidden="1">
      <c r="A27" s="287"/>
      <c r="B27" s="288"/>
      <c r="C27" s="614" t="str">
        <f>4!B41</f>
        <v>   Helyi, nemzetiségi önkormányzattól átvett pénzeszköz</v>
      </c>
      <c r="D27" s="615">
        <v>0</v>
      </c>
    </row>
    <row r="28" spans="1:4" s="112" customFormat="1" ht="15" customHeight="1" hidden="1">
      <c r="A28" s="287"/>
      <c r="B28" s="288"/>
      <c r="C28" s="614" t="str">
        <f>4!B42</f>
        <v>   Társulástól átvett pénzeszköz</v>
      </c>
      <c r="D28" s="615">
        <v>0</v>
      </c>
    </row>
    <row r="29" spans="1:4" s="112" customFormat="1" ht="15" customHeight="1" hidden="1" thickBot="1">
      <c r="A29" s="287"/>
      <c r="B29" s="288"/>
      <c r="C29" s="614" t="str">
        <f>4!B44</f>
        <v>   Egyéb felhalmozási támogatás államháztartáson belülről</v>
      </c>
      <c r="D29" s="615">
        <v>0</v>
      </c>
    </row>
    <row r="30" spans="1:4" ht="13.5" thickBot="1">
      <c r="A30" s="248" t="s">
        <v>76</v>
      </c>
      <c r="B30" s="147"/>
      <c r="C30" s="147" t="s">
        <v>28</v>
      </c>
      <c r="D30" s="440">
        <f>+D31+D32</f>
        <v>0</v>
      </c>
    </row>
    <row r="31" spans="1:4" s="67" customFormat="1" ht="16.5" customHeight="1">
      <c r="A31" s="489"/>
      <c r="B31" s="517" t="s">
        <v>152</v>
      </c>
      <c r="C31" s="165" t="s">
        <v>384</v>
      </c>
      <c r="D31" s="521">
        <v>0</v>
      </c>
    </row>
    <row r="32" spans="1:4" s="113" customFormat="1" ht="12" customHeight="1" thickBot="1">
      <c r="A32" s="515"/>
      <c r="B32" s="516" t="s">
        <v>153</v>
      </c>
      <c r="C32" s="166" t="s">
        <v>388</v>
      </c>
      <c r="D32" s="522">
        <v>0</v>
      </c>
    </row>
    <row r="33" spans="1:4" ht="12" customHeight="1" thickBot="1">
      <c r="A33" s="248" t="s">
        <v>77</v>
      </c>
      <c r="B33" s="147"/>
      <c r="C33" s="147" t="s">
        <v>375</v>
      </c>
      <c r="D33" s="470">
        <v>0</v>
      </c>
    </row>
    <row r="34" spans="1:4" ht="12" customHeight="1" thickBot="1">
      <c r="A34" s="248" t="s">
        <v>78</v>
      </c>
      <c r="B34" s="285"/>
      <c r="C34" s="147" t="s">
        <v>29</v>
      </c>
      <c r="D34" s="470">
        <f>86051+1547+828</f>
        <v>88426</v>
      </c>
    </row>
    <row r="35" spans="1:4" ht="12" customHeight="1" thickBot="1">
      <c r="A35" s="240" t="s">
        <v>79</v>
      </c>
      <c r="B35" s="194"/>
      <c r="C35" s="147" t="s">
        <v>34</v>
      </c>
      <c r="D35" s="499">
        <f>+D8+D17+D30+D33+D34</f>
        <v>115286</v>
      </c>
    </row>
    <row r="36" spans="1:4" ht="12" customHeight="1" thickBot="1">
      <c r="A36" s="512" t="s">
        <v>80</v>
      </c>
      <c r="B36" s="519"/>
      <c r="C36" s="514" t="s">
        <v>30</v>
      </c>
      <c r="D36" s="523">
        <f>+D37+D38</f>
        <v>10278</v>
      </c>
    </row>
    <row r="37" spans="1:4" ht="12" customHeight="1">
      <c r="A37" s="289"/>
      <c r="B37" s="192" t="s">
        <v>166</v>
      </c>
      <c r="C37" s="165" t="s">
        <v>478</v>
      </c>
      <c r="D37" s="521">
        <v>10278</v>
      </c>
    </row>
    <row r="38" spans="1:4" ht="12" customHeight="1" thickBot="1">
      <c r="A38" s="520"/>
      <c r="B38" s="193" t="s">
        <v>167</v>
      </c>
      <c r="C38" s="513" t="s">
        <v>31</v>
      </c>
      <c r="D38" s="97">
        <v>0</v>
      </c>
    </row>
    <row r="39" spans="1:4" s="113" customFormat="1" ht="12" customHeight="1" thickBot="1">
      <c r="A39" s="299" t="s">
        <v>81</v>
      </c>
      <c r="B39" s="510"/>
      <c r="C39" s="511" t="s">
        <v>32</v>
      </c>
      <c r="D39" s="497">
        <v>0</v>
      </c>
    </row>
    <row r="40" spans="1:4" ht="12" customHeight="1" thickBot="1">
      <c r="A40" s="299" t="s">
        <v>82</v>
      </c>
      <c r="B40" s="300"/>
      <c r="C40" s="301" t="s">
        <v>33</v>
      </c>
      <c r="D40" s="503">
        <f>+D35+D36+D39</f>
        <v>125564</v>
      </c>
    </row>
    <row r="41" spans="1:4" ht="12" customHeight="1">
      <c r="A41" s="302"/>
      <c r="B41" s="302"/>
      <c r="C41" s="303"/>
      <c r="D41" s="501"/>
    </row>
    <row r="42" spans="1:4" ht="12" customHeight="1" thickBot="1">
      <c r="A42" s="304"/>
      <c r="B42" s="305"/>
      <c r="C42" s="305"/>
      <c r="D42" s="502"/>
    </row>
    <row r="43" spans="1:4" ht="12" customHeight="1" thickBot="1">
      <c r="A43" s="306"/>
      <c r="B43" s="307"/>
      <c r="C43" s="308" t="s">
        <v>119</v>
      </c>
      <c r="D43" s="503"/>
    </row>
    <row r="44" spans="1:4" ht="15" customHeight="1" thickBot="1">
      <c r="A44" s="248" t="s">
        <v>74</v>
      </c>
      <c r="B44" s="24"/>
      <c r="C44" s="147" t="s">
        <v>22</v>
      </c>
      <c r="D44" s="440">
        <f>SUM(D45:D49)</f>
        <v>124495</v>
      </c>
    </row>
    <row r="45" spans="1:4" ht="12.75">
      <c r="A45" s="309"/>
      <c r="B45" s="191" t="s">
        <v>172</v>
      </c>
      <c r="C45" s="11" t="s">
        <v>105</v>
      </c>
      <c r="D45" s="90">
        <f>38787+652+8093+3068</f>
        <v>50600</v>
      </c>
    </row>
    <row r="46" spans="1:4" ht="15" customHeight="1">
      <c r="A46" s="310"/>
      <c r="B46" s="174" t="s">
        <v>173</v>
      </c>
      <c r="C46" s="9" t="s">
        <v>298</v>
      </c>
      <c r="D46" s="93">
        <f>10176+176+2185+666</f>
        <v>13203</v>
      </c>
    </row>
    <row r="47" spans="1:4" ht="14.25" customHeight="1">
      <c r="A47" s="310"/>
      <c r="B47" s="174" t="s">
        <v>174</v>
      </c>
      <c r="C47" s="9" t="s">
        <v>215</v>
      </c>
      <c r="D47" s="93">
        <f>50901+1547+8244</f>
        <v>60692</v>
      </c>
    </row>
    <row r="48" spans="1:4" ht="12.75">
      <c r="A48" s="310"/>
      <c r="B48" s="174" t="s">
        <v>175</v>
      </c>
      <c r="C48" s="9" t="s">
        <v>299</v>
      </c>
      <c r="D48" s="93">
        <v>0</v>
      </c>
    </row>
    <row r="49" spans="1:4" ht="13.5" thickBot="1">
      <c r="A49" s="310"/>
      <c r="B49" s="174" t="s">
        <v>186</v>
      </c>
      <c r="C49" s="9" t="s">
        <v>300</v>
      </c>
      <c r="D49" s="93">
        <v>0</v>
      </c>
    </row>
    <row r="50" spans="1:4" ht="12.75" hidden="1">
      <c r="A50" s="310"/>
      <c r="B50" s="174"/>
      <c r="C50" s="614" t="str">
        <f>4!B82</f>
        <v> - az 1.5-ből: - Lakosságnak juttatott támogatások</v>
      </c>
      <c r="D50" s="619"/>
    </row>
    <row r="51" spans="1:4" ht="12.75" hidden="1">
      <c r="A51" s="310"/>
      <c r="B51" s="174"/>
      <c r="C51" s="614" t="str">
        <f>4!B83</f>
        <v>   - Szociális, rászorultság jellegű ellátások</v>
      </c>
      <c r="D51" s="619"/>
    </row>
    <row r="52" spans="1:4" ht="12.75" hidden="1">
      <c r="A52" s="310"/>
      <c r="B52" s="174"/>
      <c r="C52" s="614" t="str">
        <f>4!B84</f>
        <v>   - Működési célú pénzeszköz átadás államháztartáson belülre</v>
      </c>
      <c r="D52" s="619"/>
    </row>
    <row r="53" spans="1:4" ht="12.75" hidden="1">
      <c r="A53" s="310"/>
      <c r="B53" s="174"/>
      <c r="C53" s="614" t="str">
        <f>4!B85</f>
        <v>   - Működési célú pénzeszköz átadás államháztartáson kívülre</v>
      </c>
      <c r="D53" s="619"/>
    </row>
    <row r="54" spans="1:4" ht="12.75" hidden="1">
      <c r="A54" s="310"/>
      <c r="B54" s="174"/>
      <c r="C54" s="614" t="str">
        <f>4!B86</f>
        <v>   - Garancia és kezességvállalásból származó kifizetés</v>
      </c>
      <c r="D54" s="619"/>
    </row>
    <row r="55" spans="1:4" ht="12.75" hidden="1">
      <c r="A55" s="310"/>
      <c r="B55" s="174"/>
      <c r="C55" s="614" t="str">
        <f>4!B87</f>
        <v>   - Kamatkiadások</v>
      </c>
      <c r="D55" s="619"/>
    </row>
    <row r="56" spans="1:4" ht="13.5" hidden="1" thickBot="1">
      <c r="A56" s="310"/>
      <c r="B56" s="174"/>
      <c r="C56" s="614" t="str">
        <f>4!B88</f>
        <v>   - Pénzforgalom nélküli kiadások</v>
      </c>
      <c r="D56" s="619"/>
    </row>
    <row r="57" spans="1:4" ht="13.5" thickBot="1">
      <c r="A57" s="248" t="s">
        <v>75</v>
      </c>
      <c r="B57" s="24"/>
      <c r="C57" s="147" t="s">
        <v>38</v>
      </c>
      <c r="D57" s="440">
        <f>SUM(D58:D61)</f>
        <v>1069</v>
      </c>
    </row>
    <row r="58" spans="1:4" ht="12.75">
      <c r="A58" s="309"/>
      <c r="B58" s="191" t="s">
        <v>178</v>
      </c>
      <c r="C58" s="11" t="s">
        <v>417</v>
      </c>
      <c r="D58" s="90">
        <v>1069</v>
      </c>
    </row>
    <row r="59" spans="1:4" ht="12.75">
      <c r="A59" s="310"/>
      <c r="B59" s="174" t="s">
        <v>179</v>
      </c>
      <c r="C59" s="9" t="s">
        <v>302</v>
      </c>
      <c r="D59" s="93">
        <v>0</v>
      </c>
    </row>
    <row r="60" spans="1:4" ht="12.75">
      <c r="A60" s="310"/>
      <c r="B60" s="174" t="s">
        <v>180</v>
      </c>
      <c r="C60" s="9" t="s">
        <v>120</v>
      </c>
      <c r="D60" s="93">
        <v>0</v>
      </c>
    </row>
    <row r="61" spans="1:4" ht="13.5" thickBot="1">
      <c r="A61" s="310"/>
      <c r="B61" s="174" t="s">
        <v>181</v>
      </c>
      <c r="C61" s="9" t="s">
        <v>35</v>
      </c>
      <c r="D61" s="93">
        <v>0</v>
      </c>
    </row>
    <row r="62" spans="1:4" ht="12.75" hidden="1">
      <c r="A62" s="310"/>
      <c r="B62" s="174"/>
      <c r="C62" s="614" t="str">
        <f>4!B93</f>
        <v>a 2.1 és 2.2 -ból   - Felhalmozási célú pénzeszköz átadás államháztartáson belülre</v>
      </c>
      <c r="D62" s="619"/>
    </row>
    <row r="63" spans="1:4" ht="12.75" hidden="1">
      <c r="A63" s="310"/>
      <c r="B63" s="174"/>
      <c r="C63" s="614" t="str">
        <f>4!B94</f>
        <v>               - Felhalmozási célú pénzeszköz átadás államháztartáson kívülre</v>
      </c>
      <c r="D63" s="619"/>
    </row>
    <row r="64" spans="1:4" ht="12.75" hidden="1">
      <c r="A64" s="310"/>
      <c r="B64" s="174"/>
      <c r="C64" s="614" t="str">
        <f>4!B95</f>
        <v>               - Pénzügyi befektetések kiadásai</v>
      </c>
      <c r="D64" s="619"/>
    </row>
    <row r="65" spans="1:4" ht="12.75" hidden="1">
      <c r="A65" s="310"/>
      <c r="B65" s="174"/>
      <c r="C65" s="614" t="str">
        <f>4!B96</f>
        <v>- Lakástámogatás</v>
      </c>
      <c r="D65" s="619"/>
    </row>
    <row r="66" spans="1:4" ht="12.75" hidden="1">
      <c r="A66" s="310"/>
      <c r="B66" s="174"/>
      <c r="C66" s="614" t="str">
        <f>4!B97</f>
        <v>- Lakásépítés</v>
      </c>
      <c r="D66" s="619"/>
    </row>
    <row r="67" spans="1:4" ht="34.5" hidden="1" thickBot="1">
      <c r="A67" s="617"/>
      <c r="B67" s="618"/>
      <c r="C67" s="614" t="str">
        <f>4!B99</f>
        <v>- EU-s forrásból finanszírozott támogatással megvalósuló  programok,  projektek önkormányzati
  hozzájárulásának kiadásai</v>
      </c>
      <c r="D67" s="620"/>
    </row>
    <row r="68" spans="1:4" ht="13.5" thickBot="1">
      <c r="A68" s="248" t="s">
        <v>76</v>
      </c>
      <c r="B68" s="24"/>
      <c r="C68" s="24" t="s">
        <v>36</v>
      </c>
      <c r="D68" s="470">
        <v>0</v>
      </c>
    </row>
    <row r="69" spans="1:4" ht="13.5" thickBot="1">
      <c r="A69" s="299" t="s">
        <v>77</v>
      </c>
      <c r="B69" s="510"/>
      <c r="C69" s="511" t="s">
        <v>39</v>
      </c>
      <c r="D69" s="497">
        <v>0</v>
      </c>
    </row>
    <row r="70" spans="1:4" ht="13.5" thickBot="1">
      <c r="A70" s="248" t="s">
        <v>78</v>
      </c>
      <c r="B70" s="296"/>
      <c r="C70" s="312" t="s">
        <v>37</v>
      </c>
      <c r="D70" s="508">
        <f>+D44+D57+D68+D69</f>
        <v>125564</v>
      </c>
    </row>
    <row r="71" spans="1:4" ht="13.5" thickBot="1">
      <c r="A71" s="313"/>
      <c r="B71" s="314"/>
      <c r="C71" s="314"/>
      <c r="D71" s="509"/>
    </row>
    <row r="72" spans="1:4" ht="13.5" thickBot="1">
      <c r="A72" s="315" t="s">
        <v>342</v>
      </c>
      <c r="B72" s="316"/>
      <c r="C72" s="317"/>
      <c r="D72" s="144">
        <v>13</v>
      </c>
    </row>
    <row r="73" spans="1:4" ht="13.5" thickBot="1">
      <c r="A73" s="315" t="s">
        <v>343</v>
      </c>
      <c r="B73" s="316"/>
      <c r="C73" s="317"/>
      <c r="D73" s="14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319" t="s">
        <v>45</v>
      </c>
    </row>
    <row r="2" spans="1:4" s="109" customFormat="1" ht="25.5" customHeight="1">
      <c r="A2" s="1368" t="s">
        <v>339</v>
      </c>
      <c r="B2" s="1369"/>
      <c r="C2" s="318" t="s">
        <v>346</v>
      </c>
      <c r="D2" s="322" t="s">
        <v>125</v>
      </c>
    </row>
    <row r="3" spans="1:4" s="109" customFormat="1" ht="16.5" thickBot="1">
      <c r="A3" s="276" t="s">
        <v>338</v>
      </c>
      <c r="B3" s="277"/>
      <c r="C3" s="323" t="s">
        <v>345</v>
      </c>
      <c r="D3" s="324"/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114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0</v>
      </c>
    </row>
    <row r="9" spans="1:4" s="111" customFormat="1" ht="12" customHeight="1">
      <c r="A9" s="289"/>
      <c r="B9" s="288" t="s">
        <v>172</v>
      </c>
      <c r="C9" s="12" t="s">
        <v>266</v>
      </c>
      <c r="D9" s="495"/>
    </row>
    <row r="10" spans="1:4" s="111" customFormat="1" ht="12" customHeight="1">
      <c r="A10" s="287"/>
      <c r="B10" s="288" t="s">
        <v>173</v>
      </c>
      <c r="C10" s="9" t="s">
        <v>267</v>
      </c>
      <c r="D10" s="438"/>
    </row>
    <row r="11" spans="1:4" s="111" customFormat="1" ht="12" customHeight="1">
      <c r="A11" s="287"/>
      <c r="B11" s="288" t="s">
        <v>174</v>
      </c>
      <c r="C11" s="9" t="s">
        <v>268</v>
      </c>
      <c r="D11" s="438"/>
    </row>
    <row r="12" spans="1:4" s="111" customFormat="1" ht="12" customHeight="1">
      <c r="A12" s="287"/>
      <c r="B12" s="288" t="s">
        <v>175</v>
      </c>
      <c r="C12" s="9" t="s">
        <v>269</v>
      </c>
      <c r="D12" s="438"/>
    </row>
    <row r="13" spans="1:4" s="111" customFormat="1" ht="12" customHeight="1">
      <c r="A13" s="287"/>
      <c r="B13" s="288" t="s">
        <v>224</v>
      </c>
      <c r="C13" s="8" t="s">
        <v>270</v>
      </c>
      <c r="D13" s="438"/>
    </row>
    <row r="14" spans="1:4" s="111" customFormat="1" ht="12" customHeight="1">
      <c r="A14" s="290"/>
      <c r="B14" s="288" t="s">
        <v>176</v>
      </c>
      <c r="C14" s="9" t="s">
        <v>271</v>
      </c>
      <c r="D14" s="496"/>
    </row>
    <row r="15" spans="1:4" s="112" customFormat="1" ht="12" customHeight="1">
      <c r="A15" s="287"/>
      <c r="B15" s="288" t="s">
        <v>177</v>
      </c>
      <c r="C15" s="9" t="s">
        <v>26</v>
      </c>
      <c r="D15" s="438"/>
    </row>
    <row r="16" spans="1:4" s="112" customFormat="1" ht="12" customHeight="1" thickBot="1">
      <c r="A16" s="291"/>
      <c r="B16" s="292" t="s">
        <v>187</v>
      </c>
      <c r="C16" s="8" t="s">
        <v>330</v>
      </c>
      <c r="D16" s="439"/>
    </row>
    <row r="17" spans="1:4" s="111" customFormat="1" ht="12" customHeight="1" thickBot="1">
      <c r="A17" s="240" t="s">
        <v>75</v>
      </c>
      <c r="B17" s="285"/>
      <c r="C17" s="286" t="s">
        <v>27</v>
      </c>
      <c r="D17" s="440">
        <f>SUM(D18:D21)</f>
        <v>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/>
    </row>
    <row r="19" spans="1:4" s="112" customFormat="1" ht="12" customHeight="1">
      <c r="A19" s="287"/>
      <c r="B19" s="288" t="s">
        <v>179</v>
      </c>
      <c r="C19" s="9" t="s">
        <v>24</v>
      </c>
      <c r="D19" s="438"/>
    </row>
    <row r="20" spans="1:4" s="112" customFormat="1" ht="12" customHeight="1">
      <c r="A20" s="287"/>
      <c r="B20" s="288" t="s">
        <v>180</v>
      </c>
      <c r="C20" s="9" t="s">
        <v>25</v>
      </c>
      <c r="D20" s="438"/>
    </row>
    <row r="21" spans="1:4" s="112" customFormat="1" ht="12" customHeight="1" thickBot="1">
      <c r="A21" s="287"/>
      <c r="B21" s="288" t="s">
        <v>181</v>
      </c>
      <c r="C21" s="9" t="s">
        <v>24</v>
      </c>
      <c r="D21" s="438"/>
    </row>
    <row r="22" spans="1:4" s="112" customFormat="1" ht="12" customHeight="1" thickBot="1">
      <c r="A22" s="248" t="s">
        <v>76</v>
      </c>
      <c r="B22" s="147"/>
      <c r="C22" s="147" t="s">
        <v>28</v>
      </c>
      <c r="D22" s="440">
        <f>+D23+D24</f>
        <v>0</v>
      </c>
    </row>
    <row r="23" spans="1:4" s="111" customFormat="1" ht="12" customHeight="1">
      <c r="A23" s="489"/>
      <c r="B23" s="517" t="s">
        <v>152</v>
      </c>
      <c r="C23" s="165" t="s">
        <v>384</v>
      </c>
      <c r="D23" s="521"/>
    </row>
    <row r="24" spans="1:4" s="111" customFormat="1" ht="12" customHeight="1" thickBot="1">
      <c r="A24" s="515"/>
      <c r="B24" s="516" t="s">
        <v>153</v>
      </c>
      <c r="C24" s="166" t="s">
        <v>388</v>
      </c>
      <c r="D24" s="522"/>
    </row>
    <row r="25" spans="1:4" s="111" customFormat="1" ht="12" customHeight="1" thickBot="1">
      <c r="A25" s="248" t="s">
        <v>77</v>
      </c>
      <c r="B25" s="285"/>
      <c r="C25" s="147" t="s">
        <v>44</v>
      </c>
      <c r="D25" s="470"/>
    </row>
    <row r="26" spans="1:4" s="111" customFormat="1" ht="12" customHeight="1" thickBot="1">
      <c r="A26" s="240" t="s">
        <v>78</v>
      </c>
      <c r="B26" s="194"/>
      <c r="C26" s="147" t="s">
        <v>40</v>
      </c>
      <c r="D26" s="499">
        <f>+D8+D17+D22+D25</f>
        <v>0</v>
      </c>
    </row>
    <row r="27" spans="1:4" s="112" customFormat="1" ht="12" customHeight="1" thickBot="1">
      <c r="A27" s="512" t="s">
        <v>79</v>
      </c>
      <c r="B27" s="519"/>
      <c r="C27" s="514" t="s">
        <v>42</v>
      </c>
      <c r="D27" s="523">
        <f>+D28+D29</f>
        <v>0</v>
      </c>
    </row>
    <row r="28" spans="1:4" s="112" customFormat="1" ht="15" customHeight="1">
      <c r="A28" s="289"/>
      <c r="B28" s="192" t="s">
        <v>159</v>
      </c>
      <c r="C28" s="165" t="s">
        <v>478</v>
      </c>
      <c r="D28" s="521"/>
    </row>
    <row r="29" spans="1:4" s="112" customFormat="1" ht="15" customHeight="1" thickBot="1">
      <c r="A29" s="520"/>
      <c r="B29" s="193" t="s">
        <v>160</v>
      </c>
      <c r="C29" s="513" t="s">
        <v>31</v>
      </c>
      <c r="D29" s="97"/>
    </row>
    <row r="30" spans="1:4" ht="13.5" thickBot="1">
      <c r="A30" s="299" t="s">
        <v>80</v>
      </c>
      <c r="B30" s="510"/>
      <c r="C30" s="511" t="s">
        <v>43</v>
      </c>
      <c r="D30" s="497"/>
    </row>
    <row r="31" spans="1:4" s="67" customFormat="1" ht="16.5" customHeight="1" thickBot="1">
      <c r="A31" s="299" t="s">
        <v>81</v>
      </c>
      <c r="B31" s="300"/>
      <c r="C31" s="301" t="s">
        <v>41</v>
      </c>
      <c r="D31" s="503">
        <f>+D26+D27+D30</f>
        <v>0</v>
      </c>
    </row>
    <row r="32" spans="1:4" s="113" customFormat="1" ht="12" customHeight="1">
      <c r="A32" s="302"/>
      <c r="B32" s="302"/>
      <c r="C32" s="303"/>
      <c r="D32" s="501"/>
    </row>
    <row r="33" spans="1:4" ht="12" customHeight="1" thickBot="1">
      <c r="A33" s="304"/>
      <c r="B33" s="305"/>
      <c r="C33" s="305"/>
      <c r="D33" s="502"/>
    </row>
    <row r="34" spans="1:4" ht="12" customHeight="1" thickBot="1">
      <c r="A34" s="306"/>
      <c r="B34" s="307"/>
      <c r="C34" s="308" t="s">
        <v>119</v>
      </c>
      <c r="D34" s="503"/>
    </row>
    <row r="35" spans="1:4" ht="12" customHeight="1" thickBot="1">
      <c r="A35" s="248" t="s">
        <v>74</v>
      </c>
      <c r="B35" s="24"/>
      <c r="C35" s="147" t="s">
        <v>22</v>
      </c>
      <c r="D35" s="440">
        <f>SUM(D36:D40)</f>
        <v>0</v>
      </c>
    </row>
    <row r="36" spans="1:4" ht="12" customHeight="1">
      <c r="A36" s="309"/>
      <c r="B36" s="191" t="s">
        <v>172</v>
      </c>
      <c r="C36" s="11" t="s">
        <v>105</v>
      </c>
      <c r="D36" s="90"/>
    </row>
    <row r="37" spans="1:4" ht="12" customHeight="1">
      <c r="A37" s="310"/>
      <c r="B37" s="174" t="s">
        <v>173</v>
      </c>
      <c r="C37" s="9" t="s">
        <v>298</v>
      </c>
      <c r="D37" s="93"/>
    </row>
    <row r="38" spans="1:4" ht="12" customHeight="1">
      <c r="A38" s="310"/>
      <c r="B38" s="174" t="s">
        <v>174</v>
      </c>
      <c r="C38" s="9" t="s">
        <v>215</v>
      </c>
      <c r="D38" s="93"/>
    </row>
    <row r="39" spans="1:4" s="113" customFormat="1" ht="12" customHeight="1">
      <c r="A39" s="310"/>
      <c r="B39" s="174" t="s">
        <v>175</v>
      </c>
      <c r="C39" s="9" t="s">
        <v>299</v>
      </c>
      <c r="D39" s="93"/>
    </row>
    <row r="40" spans="1:4" ht="12" customHeight="1" thickBot="1">
      <c r="A40" s="310"/>
      <c r="B40" s="174" t="s">
        <v>186</v>
      </c>
      <c r="C40" s="9" t="s">
        <v>300</v>
      </c>
      <c r="D40" s="93"/>
    </row>
    <row r="41" spans="1:4" ht="12" customHeight="1" thickBot="1">
      <c r="A41" s="248" t="s">
        <v>75</v>
      </c>
      <c r="B41" s="24"/>
      <c r="C41" s="147" t="s">
        <v>38</v>
      </c>
      <c r="D41" s="440">
        <f>SUM(D42:D45)</f>
        <v>0</v>
      </c>
    </row>
    <row r="42" spans="1:4" ht="12" customHeight="1">
      <c r="A42" s="309"/>
      <c r="B42" s="191" t="s">
        <v>178</v>
      </c>
      <c r="C42" s="11" t="s">
        <v>417</v>
      </c>
      <c r="D42" s="90"/>
    </row>
    <row r="43" spans="1:4" ht="12" customHeight="1">
      <c r="A43" s="310"/>
      <c r="B43" s="174" t="s">
        <v>179</v>
      </c>
      <c r="C43" s="9" t="s">
        <v>302</v>
      </c>
      <c r="D43" s="93"/>
    </row>
    <row r="44" spans="1:4" ht="15" customHeight="1">
      <c r="A44" s="310"/>
      <c r="B44" s="174" t="s">
        <v>182</v>
      </c>
      <c r="C44" s="9" t="s">
        <v>120</v>
      </c>
      <c r="D44" s="93"/>
    </row>
    <row r="45" spans="1:4" ht="13.5" thickBot="1">
      <c r="A45" s="310"/>
      <c r="B45" s="174" t="s">
        <v>193</v>
      </c>
      <c r="C45" s="9" t="s">
        <v>35</v>
      </c>
      <c r="D45" s="93"/>
    </row>
    <row r="46" spans="1:4" ht="15" customHeight="1" thickBot="1">
      <c r="A46" s="248" t="s">
        <v>76</v>
      </c>
      <c r="B46" s="24"/>
      <c r="C46" s="24" t="s">
        <v>36</v>
      </c>
      <c r="D46" s="470"/>
    </row>
    <row r="47" spans="1:4" ht="14.25" customHeight="1" thickBot="1">
      <c r="A47" s="299" t="s">
        <v>77</v>
      </c>
      <c r="B47" s="510"/>
      <c r="C47" s="511" t="s">
        <v>39</v>
      </c>
      <c r="D47" s="497"/>
    </row>
    <row r="48" spans="1:4" ht="13.5" thickBot="1">
      <c r="A48" s="248" t="s">
        <v>78</v>
      </c>
      <c r="B48" s="296"/>
      <c r="C48" s="312" t="s">
        <v>37</v>
      </c>
      <c r="D48" s="508">
        <f>+D35+D41+D46+D47</f>
        <v>0</v>
      </c>
    </row>
    <row r="49" spans="1:4" ht="13.5" thickBot="1">
      <c r="A49" s="313"/>
      <c r="B49" s="314"/>
      <c r="C49" s="314"/>
      <c r="D49" s="509"/>
    </row>
    <row r="50" spans="1:4" ht="13.5" thickBot="1">
      <c r="A50" s="315" t="s">
        <v>342</v>
      </c>
      <c r="B50" s="316"/>
      <c r="C50" s="317"/>
      <c r="D50" s="144"/>
    </row>
    <row r="51" spans="1:4" ht="13.5" thickBot="1">
      <c r="A51" s="315" t="s">
        <v>343</v>
      </c>
      <c r="B51" s="316"/>
      <c r="C51" s="317"/>
      <c r="D51" s="144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73"/>
      <c r="B1" s="274"/>
      <c r="C1" s="321"/>
      <c r="D1" s="319" t="s">
        <v>46</v>
      </c>
    </row>
    <row r="2" spans="1:4" s="109" customFormat="1" ht="25.5" customHeight="1">
      <c r="A2" s="1368" t="s">
        <v>339</v>
      </c>
      <c r="B2" s="1369"/>
      <c r="C2" s="318" t="s">
        <v>347</v>
      </c>
      <c r="D2" s="322" t="s">
        <v>126</v>
      </c>
    </row>
    <row r="3" spans="1:4" s="109" customFormat="1" ht="16.5" thickBot="1">
      <c r="A3" s="276" t="s">
        <v>338</v>
      </c>
      <c r="B3" s="277"/>
      <c r="C3" s="323" t="s">
        <v>345</v>
      </c>
      <c r="D3" s="324"/>
    </row>
    <row r="4" spans="1:4" s="110" customFormat="1" ht="15.75" customHeight="1" thickBot="1">
      <c r="A4" s="278"/>
      <c r="B4" s="278"/>
      <c r="C4" s="278"/>
      <c r="D4" s="279" t="s">
        <v>112</v>
      </c>
    </row>
    <row r="5" spans="1:4" ht="13.5" thickBot="1">
      <c r="A5" s="1323" t="s">
        <v>340</v>
      </c>
      <c r="B5" s="1324"/>
      <c r="C5" s="280" t="s">
        <v>113</v>
      </c>
      <c r="D5" s="281" t="s">
        <v>114</v>
      </c>
    </row>
    <row r="6" spans="1:4" s="67" customFormat="1" ht="12.7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s="67" customFormat="1" ht="15.75" customHeight="1" thickBot="1">
      <c r="A7" s="282"/>
      <c r="B7" s="283"/>
      <c r="C7" s="283" t="s">
        <v>115</v>
      </c>
      <c r="D7" s="284"/>
    </row>
    <row r="8" spans="1:4" s="111" customFormat="1" ht="12" customHeight="1" thickBot="1">
      <c r="A8" s="240" t="s">
        <v>74</v>
      </c>
      <c r="B8" s="285"/>
      <c r="C8" s="286" t="s">
        <v>344</v>
      </c>
      <c r="D8" s="440">
        <f>SUM(D9:D16)</f>
        <v>0</v>
      </c>
    </row>
    <row r="9" spans="1:4" s="111" customFormat="1" ht="12" customHeight="1">
      <c r="A9" s="289"/>
      <c r="B9" s="288" t="s">
        <v>172</v>
      </c>
      <c r="C9" s="12" t="s">
        <v>266</v>
      </c>
      <c r="D9" s="495"/>
    </row>
    <row r="10" spans="1:4" s="111" customFormat="1" ht="12" customHeight="1">
      <c r="A10" s="287"/>
      <c r="B10" s="288" t="s">
        <v>173</v>
      </c>
      <c r="C10" s="9" t="s">
        <v>267</v>
      </c>
      <c r="D10" s="438"/>
    </row>
    <row r="11" spans="1:4" s="111" customFormat="1" ht="12" customHeight="1">
      <c r="A11" s="287"/>
      <c r="B11" s="288" t="s">
        <v>174</v>
      </c>
      <c r="C11" s="9" t="s">
        <v>268</v>
      </c>
      <c r="D11" s="438"/>
    </row>
    <row r="12" spans="1:4" s="111" customFormat="1" ht="12" customHeight="1">
      <c r="A12" s="287"/>
      <c r="B12" s="288" t="s">
        <v>175</v>
      </c>
      <c r="C12" s="9" t="s">
        <v>269</v>
      </c>
      <c r="D12" s="438"/>
    </row>
    <row r="13" spans="1:4" s="111" customFormat="1" ht="12" customHeight="1">
      <c r="A13" s="287"/>
      <c r="B13" s="288" t="s">
        <v>224</v>
      </c>
      <c r="C13" s="8" t="s">
        <v>270</v>
      </c>
      <c r="D13" s="438"/>
    </row>
    <row r="14" spans="1:4" s="111" customFormat="1" ht="12" customHeight="1">
      <c r="A14" s="290"/>
      <c r="B14" s="288" t="s">
        <v>176</v>
      </c>
      <c r="C14" s="9" t="s">
        <v>271</v>
      </c>
      <c r="D14" s="496"/>
    </row>
    <row r="15" spans="1:4" s="112" customFormat="1" ht="12" customHeight="1">
      <c r="A15" s="287"/>
      <c r="B15" s="288" t="s">
        <v>177</v>
      </c>
      <c r="C15" s="9" t="s">
        <v>26</v>
      </c>
      <c r="D15" s="438"/>
    </row>
    <row r="16" spans="1:4" s="112" customFormat="1" ht="12" customHeight="1" thickBot="1">
      <c r="A16" s="291"/>
      <c r="B16" s="292" t="s">
        <v>187</v>
      </c>
      <c r="C16" s="8" t="s">
        <v>330</v>
      </c>
      <c r="D16" s="439"/>
    </row>
    <row r="17" spans="1:4" s="111" customFormat="1" ht="12" customHeight="1" thickBot="1">
      <c r="A17" s="240" t="s">
        <v>75</v>
      </c>
      <c r="B17" s="285"/>
      <c r="C17" s="286" t="s">
        <v>27</v>
      </c>
      <c r="D17" s="440">
        <f>SUM(D18:D21)</f>
        <v>0</v>
      </c>
    </row>
    <row r="18" spans="1:4" s="112" customFormat="1" ht="12" customHeight="1">
      <c r="A18" s="287"/>
      <c r="B18" s="288" t="s">
        <v>178</v>
      </c>
      <c r="C18" s="11" t="s">
        <v>23</v>
      </c>
      <c r="D18" s="438"/>
    </row>
    <row r="19" spans="1:4" s="112" customFormat="1" ht="12" customHeight="1">
      <c r="A19" s="287"/>
      <c r="B19" s="288" t="s">
        <v>179</v>
      </c>
      <c r="C19" s="9" t="s">
        <v>24</v>
      </c>
      <c r="D19" s="438"/>
    </row>
    <row r="20" spans="1:4" s="112" customFormat="1" ht="12" customHeight="1">
      <c r="A20" s="287"/>
      <c r="B20" s="288" t="s">
        <v>180</v>
      </c>
      <c r="C20" s="9" t="s">
        <v>25</v>
      </c>
      <c r="D20" s="438"/>
    </row>
    <row r="21" spans="1:4" s="112" customFormat="1" ht="12" customHeight="1" thickBot="1">
      <c r="A21" s="287"/>
      <c r="B21" s="288" t="s">
        <v>181</v>
      </c>
      <c r="C21" s="9" t="s">
        <v>24</v>
      </c>
      <c r="D21" s="438"/>
    </row>
    <row r="22" spans="1:4" s="112" customFormat="1" ht="12" customHeight="1" thickBot="1">
      <c r="A22" s="248" t="s">
        <v>76</v>
      </c>
      <c r="B22" s="147"/>
      <c r="C22" s="147" t="s">
        <v>28</v>
      </c>
      <c r="D22" s="440">
        <f>+D23+D24</f>
        <v>0</v>
      </c>
    </row>
    <row r="23" spans="1:4" s="111" customFormat="1" ht="12" customHeight="1">
      <c r="A23" s="489"/>
      <c r="B23" s="517" t="s">
        <v>152</v>
      </c>
      <c r="C23" s="165" t="s">
        <v>384</v>
      </c>
      <c r="D23" s="521"/>
    </row>
    <row r="24" spans="1:4" s="111" customFormat="1" ht="12" customHeight="1" thickBot="1">
      <c r="A24" s="515"/>
      <c r="B24" s="516" t="s">
        <v>153</v>
      </c>
      <c r="C24" s="166" t="s">
        <v>388</v>
      </c>
      <c r="D24" s="522"/>
    </row>
    <row r="25" spans="1:4" s="111" customFormat="1" ht="12" customHeight="1" thickBot="1">
      <c r="A25" s="248" t="s">
        <v>77</v>
      </c>
      <c r="B25" s="285"/>
      <c r="C25" s="147" t="s">
        <v>44</v>
      </c>
      <c r="D25" s="470"/>
    </row>
    <row r="26" spans="1:4" s="111" customFormat="1" ht="12" customHeight="1" thickBot="1">
      <c r="A26" s="240" t="s">
        <v>78</v>
      </c>
      <c r="B26" s="194"/>
      <c r="C26" s="147" t="s">
        <v>40</v>
      </c>
      <c r="D26" s="499">
        <f>+D8+D17+D22+D25</f>
        <v>0</v>
      </c>
    </row>
    <row r="27" spans="1:4" s="112" customFormat="1" ht="12" customHeight="1" thickBot="1">
      <c r="A27" s="512" t="s">
        <v>79</v>
      </c>
      <c r="B27" s="519"/>
      <c r="C27" s="514" t="s">
        <v>42</v>
      </c>
      <c r="D27" s="523">
        <f>+D28+D29</f>
        <v>0</v>
      </c>
    </row>
    <row r="28" spans="1:4" s="112" customFormat="1" ht="15" customHeight="1">
      <c r="A28" s="289"/>
      <c r="B28" s="192" t="s">
        <v>159</v>
      </c>
      <c r="C28" s="165" t="s">
        <v>478</v>
      </c>
      <c r="D28" s="521"/>
    </row>
    <row r="29" spans="1:4" s="112" customFormat="1" ht="15" customHeight="1" thickBot="1">
      <c r="A29" s="520"/>
      <c r="B29" s="193" t="s">
        <v>160</v>
      </c>
      <c r="C29" s="513" t="s">
        <v>31</v>
      </c>
      <c r="D29" s="97"/>
    </row>
    <row r="30" spans="1:4" ht="13.5" thickBot="1">
      <c r="A30" s="299" t="s">
        <v>80</v>
      </c>
      <c r="B30" s="510"/>
      <c r="C30" s="511" t="s">
        <v>43</v>
      </c>
      <c r="D30" s="497"/>
    </row>
    <row r="31" spans="1:4" s="67" customFormat="1" ht="16.5" customHeight="1" thickBot="1">
      <c r="A31" s="299" t="s">
        <v>81</v>
      </c>
      <c r="B31" s="300"/>
      <c r="C31" s="301" t="s">
        <v>41</v>
      </c>
      <c r="D31" s="503">
        <f>+D26+D27+D30</f>
        <v>0</v>
      </c>
    </row>
    <row r="32" spans="1:4" s="113" customFormat="1" ht="12" customHeight="1">
      <c r="A32" s="302"/>
      <c r="B32" s="302"/>
      <c r="C32" s="303"/>
      <c r="D32" s="501"/>
    </row>
    <row r="33" spans="1:4" ht="12" customHeight="1" thickBot="1">
      <c r="A33" s="304"/>
      <c r="B33" s="305"/>
      <c r="C33" s="305"/>
      <c r="D33" s="502"/>
    </row>
    <row r="34" spans="1:4" ht="12" customHeight="1" thickBot="1">
      <c r="A34" s="306"/>
      <c r="B34" s="307"/>
      <c r="C34" s="308" t="s">
        <v>119</v>
      </c>
      <c r="D34" s="503"/>
    </row>
    <row r="35" spans="1:4" ht="12" customHeight="1" thickBot="1">
      <c r="A35" s="248" t="s">
        <v>74</v>
      </c>
      <c r="B35" s="24"/>
      <c r="C35" s="147" t="s">
        <v>22</v>
      </c>
      <c r="D35" s="440">
        <f>SUM(D36:D40)</f>
        <v>0</v>
      </c>
    </row>
    <row r="36" spans="1:4" ht="12" customHeight="1">
      <c r="A36" s="309"/>
      <c r="B36" s="191" t="s">
        <v>172</v>
      </c>
      <c r="C36" s="11" t="s">
        <v>105</v>
      </c>
      <c r="D36" s="90"/>
    </row>
    <row r="37" spans="1:4" ht="12" customHeight="1">
      <c r="A37" s="310"/>
      <c r="B37" s="174" t="s">
        <v>173</v>
      </c>
      <c r="C37" s="9" t="s">
        <v>298</v>
      </c>
      <c r="D37" s="93"/>
    </row>
    <row r="38" spans="1:4" ht="12" customHeight="1">
      <c r="A38" s="310"/>
      <c r="B38" s="174" t="s">
        <v>174</v>
      </c>
      <c r="C38" s="9" t="s">
        <v>215</v>
      </c>
      <c r="D38" s="93"/>
    </row>
    <row r="39" spans="1:4" s="113" customFormat="1" ht="12" customHeight="1">
      <c r="A39" s="310"/>
      <c r="B39" s="174" t="s">
        <v>175</v>
      </c>
      <c r="C39" s="9" t="s">
        <v>299</v>
      </c>
      <c r="D39" s="93"/>
    </row>
    <row r="40" spans="1:4" ht="12" customHeight="1" thickBot="1">
      <c r="A40" s="310"/>
      <c r="B40" s="174" t="s">
        <v>186</v>
      </c>
      <c r="C40" s="9" t="s">
        <v>300</v>
      </c>
      <c r="D40" s="93"/>
    </row>
    <row r="41" spans="1:4" ht="12" customHeight="1" thickBot="1">
      <c r="A41" s="248" t="s">
        <v>75</v>
      </c>
      <c r="B41" s="24"/>
      <c r="C41" s="147" t="s">
        <v>38</v>
      </c>
      <c r="D41" s="440">
        <f>SUM(D42:D45)</f>
        <v>0</v>
      </c>
    </row>
    <row r="42" spans="1:4" ht="12" customHeight="1">
      <c r="A42" s="309"/>
      <c r="B42" s="191" t="s">
        <v>178</v>
      </c>
      <c r="C42" s="11" t="s">
        <v>417</v>
      </c>
      <c r="D42" s="90"/>
    </row>
    <row r="43" spans="1:4" ht="12" customHeight="1">
      <c r="A43" s="310"/>
      <c r="B43" s="174" t="s">
        <v>179</v>
      </c>
      <c r="C43" s="9" t="s">
        <v>302</v>
      </c>
      <c r="D43" s="93"/>
    </row>
    <row r="44" spans="1:4" ht="15" customHeight="1">
      <c r="A44" s="310"/>
      <c r="B44" s="174" t="s">
        <v>182</v>
      </c>
      <c r="C44" s="9" t="s">
        <v>120</v>
      </c>
      <c r="D44" s="93"/>
    </row>
    <row r="45" spans="1:4" ht="13.5" thickBot="1">
      <c r="A45" s="310"/>
      <c r="B45" s="174" t="s">
        <v>193</v>
      </c>
      <c r="C45" s="9" t="s">
        <v>35</v>
      </c>
      <c r="D45" s="93"/>
    </row>
    <row r="46" spans="1:4" ht="15" customHeight="1" thickBot="1">
      <c r="A46" s="248" t="s">
        <v>76</v>
      </c>
      <c r="B46" s="24"/>
      <c r="C46" s="24" t="s">
        <v>36</v>
      </c>
      <c r="D46" s="470"/>
    </row>
    <row r="47" spans="1:4" ht="14.25" customHeight="1" thickBot="1">
      <c r="A47" s="299" t="s">
        <v>77</v>
      </c>
      <c r="B47" s="510"/>
      <c r="C47" s="511" t="s">
        <v>39</v>
      </c>
      <c r="D47" s="497"/>
    </row>
    <row r="48" spans="1:4" ht="13.5" thickBot="1">
      <c r="A48" s="248" t="s">
        <v>78</v>
      </c>
      <c r="B48" s="296"/>
      <c r="C48" s="312" t="s">
        <v>37</v>
      </c>
      <c r="D48" s="508">
        <f>+D35+D41+D46+D47</f>
        <v>0</v>
      </c>
    </row>
    <row r="49" spans="1:4" ht="13.5" thickBot="1">
      <c r="A49" s="313"/>
      <c r="B49" s="314"/>
      <c r="C49" s="314"/>
      <c r="D49" s="509"/>
    </row>
    <row r="50" spans="1:4" ht="13.5" thickBot="1">
      <c r="A50" s="315" t="s">
        <v>342</v>
      </c>
      <c r="B50" s="316"/>
      <c r="C50" s="317"/>
      <c r="D50" s="144"/>
    </row>
    <row r="51" spans="1:4" ht="13.5" thickBot="1">
      <c r="A51" s="315" t="s">
        <v>343</v>
      </c>
      <c r="B51" s="316"/>
      <c r="C51" s="317"/>
      <c r="D51" s="144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6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50390625" style="922" customWidth="1"/>
    <col min="2" max="2" width="53.125" style="922" customWidth="1"/>
    <col min="3" max="3" width="17.875" style="922" customWidth="1"/>
    <col min="4" max="4" width="46.875" style="922" customWidth="1"/>
    <col min="5" max="5" width="17.875" style="922" customWidth="1"/>
    <col min="6" max="16384" width="9.375" style="922" customWidth="1"/>
  </cols>
  <sheetData>
    <row r="1" spans="2:5" ht="15.75">
      <c r="B1" s="1370" t="s">
        <v>1180</v>
      </c>
      <c r="C1" s="1370"/>
      <c r="D1" s="1370"/>
      <c r="E1" s="1370"/>
    </row>
    <row r="2" ht="42" customHeight="1"/>
    <row r="3" spans="1:5" ht="31.5" customHeight="1">
      <c r="A3" s="1371" t="s">
        <v>896</v>
      </c>
      <c r="B3" s="1372"/>
      <c r="C3" s="1372"/>
      <c r="D3" s="1372"/>
      <c r="E3" s="1372"/>
    </row>
    <row r="4" spans="1:5" ht="15.75">
      <c r="A4" s="1373"/>
      <c r="B4" s="1283"/>
      <c r="C4" s="1283"/>
      <c r="D4" s="1283"/>
      <c r="E4" s="1283"/>
    </row>
    <row r="5" spans="2:5" ht="15.75">
      <c r="B5" s="923"/>
      <c r="C5" s="923"/>
      <c r="D5" s="923"/>
      <c r="E5" s="923"/>
    </row>
    <row r="6" spans="2:5" ht="15.75">
      <c r="B6" s="923"/>
      <c r="C6" s="923"/>
      <c r="D6" s="923"/>
      <c r="E6" s="923"/>
    </row>
    <row r="7" ht="11.25" customHeight="1"/>
    <row r="8" spans="2:5" ht="15.75">
      <c r="B8" s="924"/>
      <c r="C8" s="1374" t="s">
        <v>891</v>
      </c>
      <c r="D8" s="1374"/>
      <c r="E8" s="1374"/>
    </row>
    <row r="9" spans="1:5" s="927" customFormat="1" ht="45" customHeight="1">
      <c r="A9" s="925"/>
      <c r="B9" s="1139" t="s">
        <v>339</v>
      </c>
      <c r="C9" s="926" t="s">
        <v>897</v>
      </c>
      <c r="D9" s="1139" t="s">
        <v>339</v>
      </c>
      <c r="E9" s="926" t="s">
        <v>1228</v>
      </c>
    </row>
    <row r="10" spans="1:5" ht="16.5" customHeight="1">
      <c r="A10" s="928" t="s">
        <v>74</v>
      </c>
      <c r="B10" s="929" t="s">
        <v>898</v>
      </c>
      <c r="C10" s="930">
        <f>129-1-6</f>
        <v>122</v>
      </c>
      <c r="D10" s="929" t="s">
        <v>1232</v>
      </c>
      <c r="E10" s="930">
        <f>129-1-6+2</f>
        <v>124</v>
      </c>
    </row>
    <row r="11" spans="1:5" ht="16.5" customHeight="1">
      <c r="A11" s="928" t="s">
        <v>75</v>
      </c>
      <c r="B11" s="929" t="s">
        <v>1198</v>
      </c>
      <c r="C11" s="930">
        <v>1</v>
      </c>
      <c r="D11" s="929" t="s">
        <v>1198</v>
      </c>
      <c r="E11" s="930">
        <v>1</v>
      </c>
    </row>
    <row r="12" spans="1:5" ht="16.5" customHeight="1">
      <c r="A12" s="928" t="s">
        <v>76</v>
      </c>
      <c r="B12" s="929" t="s">
        <v>1199</v>
      </c>
      <c r="C12" s="930">
        <v>6</v>
      </c>
      <c r="D12" s="929" t="s">
        <v>1199</v>
      </c>
      <c r="E12" s="930">
        <f>6+2</f>
        <v>8</v>
      </c>
    </row>
    <row r="13" spans="1:5" ht="31.5">
      <c r="A13" s="1125" t="s">
        <v>77</v>
      </c>
      <c r="B13" s="1011" t="s">
        <v>997</v>
      </c>
      <c r="C13" s="1012">
        <v>8</v>
      </c>
      <c r="D13" s="1011" t="s">
        <v>997</v>
      </c>
      <c r="E13" s="1012">
        <f>2-2</f>
        <v>0</v>
      </c>
    </row>
    <row r="14" spans="1:5" ht="16.5" customHeight="1">
      <c r="A14" s="928" t="s">
        <v>78</v>
      </c>
      <c r="B14" s="929" t="s">
        <v>542</v>
      </c>
      <c r="C14" s="930">
        <v>201</v>
      </c>
      <c r="D14" s="929" t="s">
        <v>542</v>
      </c>
      <c r="E14" s="930">
        <f>201-4</f>
        <v>197</v>
      </c>
    </row>
    <row r="15" spans="1:5" ht="16.5" customHeight="1">
      <c r="A15" s="928" t="s">
        <v>79</v>
      </c>
      <c r="B15" s="929" t="s">
        <v>892</v>
      </c>
      <c r="C15" s="930">
        <v>21</v>
      </c>
      <c r="D15" s="929" t="s">
        <v>892</v>
      </c>
      <c r="E15" s="930">
        <f>21+2+1</f>
        <v>24</v>
      </c>
    </row>
    <row r="16" spans="1:5" ht="16.5" customHeight="1">
      <c r="A16" s="928" t="s">
        <v>80</v>
      </c>
      <c r="B16" s="929" t="s">
        <v>869</v>
      </c>
      <c r="C16" s="930">
        <v>13</v>
      </c>
      <c r="D16" s="929" t="s">
        <v>869</v>
      </c>
      <c r="E16" s="930">
        <v>13</v>
      </c>
    </row>
    <row r="17" spans="1:5" ht="16.5" customHeight="1">
      <c r="A17" s="928" t="s">
        <v>81</v>
      </c>
      <c r="B17" s="929" t="s">
        <v>535</v>
      </c>
      <c r="C17" s="930">
        <v>79</v>
      </c>
      <c r="D17" s="929" t="s">
        <v>535</v>
      </c>
      <c r="E17" s="930">
        <f>79+2</f>
        <v>81</v>
      </c>
    </row>
    <row r="18" spans="3:5" ht="6.75" customHeight="1" thickBot="1">
      <c r="C18" s="931"/>
      <c r="D18" s="931"/>
      <c r="E18" s="931"/>
    </row>
    <row r="19" spans="1:5" ht="16.5" customHeight="1" thickBot="1">
      <c r="A19" s="1375" t="s">
        <v>893</v>
      </c>
      <c r="B19" s="1375"/>
      <c r="C19" s="932">
        <f>C10+C13+C14+C15+C16+C17+C11+C12</f>
        <v>451</v>
      </c>
      <c r="D19" s="932"/>
      <c r="E19" s="932">
        <f>E10+E13+E14+E15+E16+E17+E11+E12</f>
        <v>448</v>
      </c>
    </row>
    <row r="20" spans="3:5" ht="16.5" customHeight="1">
      <c r="C20" s="933"/>
      <c r="D20" s="933"/>
      <c r="E20" s="933"/>
    </row>
    <row r="21" spans="3:5" ht="16.5" customHeight="1">
      <c r="C21" s="931"/>
      <c r="D21" s="931"/>
      <c r="E21" s="931"/>
    </row>
    <row r="22" spans="3:5" ht="16.5" customHeight="1">
      <c r="C22" s="931"/>
      <c r="D22" s="931"/>
      <c r="E22" s="931"/>
    </row>
    <row r="23" ht="16.5" customHeight="1"/>
    <row r="24" ht="16.5" customHeight="1"/>
    <row r="25" ht="16.5" customHeight="1"/>
    <row r="26" ht="16.5" customHeight="1"/>
    <row r="27" ht="16.5" customHeight="1"/>
    <row r="28" ht="18" customHeight="1"/>
    <row r="29" spans="2:5" ht="16.5" customHeight="1">
      <c r="B29" s="934"/>
      <c r="C29" s="935"/>
      <c r="D29" s="935"/>
      <c r="E29" s="931"/>
    </row>
    <row r="30" spans="2:5" ht="16.5" customHeight="1">
      <c r="B30" s="934"/>
      <c r="C30" s="935"/>
      <c r="D30" s="935"/>
      <c r="E30" s="931"/>
    </row>
    <row r="31" spans="2:5" ht="16.5" customHeight="1">
      <c r="B31" s="936"/>
      <c r="C31" s="935"/>
      <c r="D31" s="935"/>
      <c r="E31" s="931"/>
    </row>
    <row r="32" spans="2:5" ht="16.5" customHeight="1">
      <c r="B32" s="934"/>
      <c r="C32" s="935"/>
      <c r="D32" s="935"/>
      <c r="E32" s="931"/>
    </row>
    <row r="33" spans="2:5" ht="16.5" customHeight="1">
      <c r="B33" s="934"/>
      <c r="C33" s="935"/>
      <c r="D33" s="935"/>
      <c r="E33" s="931"/>
    </row>
    <row r="34" spans="2:5" ht="16.5" customHeight="1">
      <c r="B34" s="934"/>
      <c r="C34" s="935"/>
      <c r="D34" s="935"/>
      <c r="E34" s="931"/>
    </row>
    <row r="35" spans="2:5" ht="16.5" customHeight="1">
      <c r="B35" s="934"/>
      <c r="C35" s="935"/>
      <c r="D35" s="935"/>
      <c r="E35" s="931"/>
    </row>
    <row r="36" spans="2:5" ht="16.5" customHeight="1">
      <c r="B36" s="934"/>
      <c r="C36" s="935"/>
      <c r="D36" s="935"/>
      <c r="E36" s="931"/>
    </row>
    <row r="37" spans="2:5" s="937" customFormat="1" ht="16.5" customHeight="1">
      <c r="B37" s="938"/>
      <c r="C37" s="939"/>
      <c r="D37" s="939"/>
      <c r="E37" s="940"/>
    </row>
    <row r="38" spans="2:5" ht="17.25" customHeight="1">
      <c r="B38" s="936"/>
      <c r="C38" s="935"/>
      <c r="D38" s="935"/>
      <c r="E38" s="931"/>
    </row>
    <row r="39" spans="2:5" ht="16.5" customHeight="1">
      <c r="B39" s="941"/>
      <c r="C39" s="935"/>
      <c r="D39" s="935"/>
      <c r="E39" s="931"/>
    </row>
    <row r="40" spans="2:5" ht="16.5" customHeight="1">
      <c r="B40" s="936"/>
      <c r="C40" s="935"/>
      <c r="D40" s="935"/>
      <c r="E40" s="931"/>
    </row>
    <row r="41" spans="2:5" ht="16.5" customHeight="1">
      <c r="B41" s="936"/>
      <c r="C41" s="935"/>
      <c r="D41" s="935"/>
      <c r="E41" s="931"/>
    </row>
    <row r="42" spans="2:5" ht="16.5" customHeight="1">
      <c r="B42" s="936"/>
      <c r="C42" s="942"/>
      <c r="D42" s="942"/>
      <c r="E42" s="931"/>
    </row>
    <row r="43" spans="2:5" ht="16.5" customHeight="1">
      <c r="B43" s="934"/>
      <c r="C43" s="935"/>
      <c r="D43" s="935"/>
      <c r="E43" s="931"/>
    </row>
    <row r="44" spans="2:5" ht="16.5" customHeight="1">
      <c r="B44" s="934"/>
      <c r="C44" s="935"/>
      <c r="D44" s="935"/>
      <c r="E44" s="931"/>
    </row>
    <row r="45" spans="2:5" s="937" customFormat="1" ht="16.5" customHeight="1">
      <c r="B45" s="938"/>
      <c r="C45" s="939"/>
      <c r="D45" s="939"/>
      <c r="E45" s="940"/>
    </row>
    <row r="46" spans="2:5" ht="7.5" customHeight="1">
      <c r="B46" s="938"/>
      <c r="C46" s="931"/>
      <c r="D46" s="931"/>
      <c r="E46" s="931"/>
    </row>
    <row r="47" spans="2:5" s="943" customFormat="1" ht="16.5" customHeight="1">
      <c r="B47" s="944"/>
      <c r="C47" s="935"/>
      <c r="D47" s="935"/>
      <c r="E47" s="931"/>
    </row>
    <row r="48" spans="2:5" s="943" customFormat="1" ht="16.5" customHeight="1">
      <c r="B48" s="944"/>
      <c r="C48" s="935"/>
      <c r="D48" s="935"/>
      <c r="E48" s="931"/>
    </row>
    <row r="49" spans="2:5" s="943" customFormat="1" ht="16.5" customHeight="1">
      <c r="B49" s="936"/>
      <c r="C49" s="935"/>
      <c r="D49" s="935"/>
      <c r="E49" s="931"/>
    </row>
    <row r="50" spans="2:5" s="943" customFormat="1" ht="16.5" customHeight="1">
      <c r="B50" s="936"/>
      <c r="C50" s="942"/>
      <c r="D50" s="942"/>
      <c r="E50" s="931"/>
    </row>
    <row r="51" spans="2:5" s="937" customFormat="1" ht="16.5" customHeight="1">
      <c r="B51" s="936"/>
      <c r="C51" s="935"/>
      <c r="D51" s="935"/>
      <c r="E51" s="935"/>
    </row>
    <row r="52" spans="2:5" ht="17.25" customHeight="1">
      <c r="B52" s="936"/>
      <c r="C52" s="935"/>
      <c r="D52" s="935"/>
      <c r="E52" s="935"/>
    </row>
    <row r="53" spans="2:5" ht="15.75">
      <c r="B53" s="936"/>
      <c r="C53" s="935"/>
      <c r="D53" s="935"/>
      <c r="E53" s="935"/>
    </row>
    <row r="54" spans="2:5" ht="15.75">
      <c r="B54" s="936"/>
      <c r="C54" s="935"/>
      <c r="D54" s="935"/>
      <c r="E54" s="935"/>
    </row>
    <row r="55" spans="2:5" ht="15.75">
      <c r="B55" s="945"/>
      <c r="C55" s="940"/>
      <c r="D55" s="940"/>
      <c r="E55" s="940"/>
    </row>
    <row r="56" spans="2:5" ht="15.75">
      <c r="B56" s="936"/>
      <c r="C56" s="935"/>
      <c r="D56" s="935"/>
      <c r="E56" s="935"/>
    </row>
    <row r="57" spans="2:5" ht="15.75">
      <c r="B57" s="936"/>
      <c r="C57" s="942"/>
      <c r="D57" s="942"/>
      <c r="E57" s="935"/>
    </row>
    <row r="58" spans="2:5" ht="15.75">
      <c r="B58" s="936"/>
      <c r="C58" s="942"/>
      <c r="D58" s="942"/>
      <c r="E58" s="935"/>
    </row>
    <row r="59" spans="2:5" ht="15.75">
      <c r="B59" s="936"/>
      <c r="C59" s="942"/>
      <c r="D59" s="942"/>
      <c r="E59" s="935"/>
    </row>
    <row r="60" spans="2:5" ht="15.75">
      <c r="B60" s="936"/>
      <c r="C60" s="942"/>
      <c r="D60" s="942"/>
      <c r="E60" s="935"/>
    </row>
    <row r="61" spans="2:5" ht="15.75">
      <c r="B61" s="936"/>
      <c r="C61" s="942"/>
      <c r="D61" s="942"/>
      <c r="E61" s="935"/>
    </row>
    <row r="62" spans="2:5" ht="15.75">
      <c r="B62" s="936"/>
      <c r="C62" s="942"/>
      <c r="D62" s="942"/>
      <c r="E62" s="935"/>
    </row>
    <row r="63" spans="2:5" ht="15.75">
      <c r="B63" s="946"/>
      <c r="C63" s="940"/>
      <c r="D63" s="940"/>
      <c r="E63" s="940"/>
    </row>
    <row r="64" spans="2:5" ht="15.75">
      <c r="B64" s="946"/>
      <c r="C64" s="935"/>
      <c r="D64" s="935"/>
      <c r="E64" s="935"/>
    </row>
    <row r="65" spans="2:5" ht="15.75">
      <c r="B65" s="941"/>
      <c r="C65" s="935"/>
      <c r="D65" s="935"/>
      <c r="E65" s="935"/>
    </row>
    <row r="66" spans="2:5" ht="15.75">
      <c r="B66" s="941"/>
      <c r="C66" s="935"/>
      <c r="D66" s="935"/>
      <c r="E66" s="935"/>
    </row>
    <row r="67" spans="2:5" ht="15.75">
      <c r="B67" s="936"/>
      <c r="C67" s="935"/>
      <c r="D67" s="935"/>
      <c r="E67" s="935"/>
    </row>
    <row r="68" spans="2:5" ht="15.75">
      <c r="B68" s="936"/>
      <c r="C68" s="935"/>
      <c r="D68" s="935"/>
      <c r="E68" s="935"/>
    </row>
    <row r="69" spans="2:5" ht="15.75">
      <c r="B69" s="946"/>
      <c r="C69" s="939"/>
      <c r="D69" s="939"/>
      <c r="E69" s="939"/>
    </row>
  </sheetData>
  <sheetProtection/>
  <mergeCells count="5">
    <mergeCell ref="B1:E1"/>
    <mergeCell ref="A3:E3"/>
    <mergeCell ref="A4:E4"/>
    <mergeCell ref="C8:E8"/>
    <mergeCell ref="A19:B19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64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6.00390625" style="922" customWidth="1"/>
    <col min="2" max="2" width="57.125" style="922" customWidth="1"/>
    <col min="3" max="3" width="18.875" style="922" customWidth="1"/>
    <col min="4" max="4" width="17.875" style="922" customWidth="1"/>
    <col min="5" max="16384" width="9.375" style="922" customWidth="1"/>
  </cols>
  <sheetData>
    <row r="1" spans="2:4" ht="15.75">
      <c r="B1" s="1370" t="s">
        <v>1179</v>
      </c>
      <c r="C1" s="1370"/>
      <c r="D1" s="1370"/>
    </row>
    <row r="2" ht="45" customHeight="1"/>
    <row r="3" spans="1:4" ht="15.75">
      <c r="A3" s="1373" t="s">
        <v>894</v>
      </c>
      <c r="B3" s="1283"/>
      <c r="C3" s="1283"/>
      <c r="D3" s="1283"/>
    </row>
    <row r="4" spans="1:4" ht="15.75">
      <c r="A4" s="1373" t="s">
        <v>551</v>
      </c>
      <c r="B4" s="1283"/>
      <c r="C4" s="1283"/>
      <c r="D4" s="1283"/>
    </row>
    <row r="5" spans="2:4" ht="15.75">
      <c r="B5" s="923"/>
      <c r="C5" s="923"/>
      <c r="D5" s="923"/>
    </row>
    <row r="6" spans="2:4" ht="15.75">
      <c r="B6" s="923"/>
      <c r="C6" s="923"/>
      <c r="D6" s="923"/>
    </row>
    <row r="7" spans="2:4" ht="15.75">
      <c r="B7" s="923"/>
      <c r="C7" s="923"/>
      <c r="D7" s="923"/>
    </row>
    <row r="8" ht="11.25" customHeight="1"/>
    <row r="9" spans="2:4" ht="15.75">
      <c r="B9" s="924"/>
      <c r="C9" s="1374" t="s">
        <v>891</v>
      </c>
      <c r="D9" s="1374"/>
    </row>
    <row r="10" spans="1:4" s="927" customFormat="1" ht="45" customHeight="1">
      <c r="A10" s="925"/>
      <c r="B10" s="925" t="s">
        <v>339</v>
      </c>
      <c r="C10" s="926" t="s">
        <v>1262</v>
      </c>
      <c r="D10" s="926" t="s">
        <v>897</v>
      </c>
    </row>
    <row r="11" spans="1:4" ht="16.5" customHeight="1">
      <c r="A11" s="928" t="s">
        <v>74</v>
      </c>
      <c r="B11" s="929" t="s">
        <v>895</v>
      </c>
      <c r="C11" s="930">
        <v>95</v>
      </c>
      <c r="D11" s="930">
        <v>95</v>
      </c>
    </row>
    <row r="12" spans="1:4" ht="47.25">
      <c r="A12" s="1184" t="s">
        <v>75</v>
      </c>
      <c r="B12" s="1011" t="s">
        <v>1261</v>
      </c>
      <c r="C12" s="1012">
        <v>0</v>
      </c>
      <c r="D12" s="1012">
        <v>2</v>
      </c>
    </row>
    <row r="13" spans="3:4" ht="9" customHeight="1" thickBot="1">
      <c r="C13" s="931"/>
      <c r="D13" s="931"/>
    </row>
    <row r="14" spans="1:4" ht="16.5" customHeight="1" thickBot="1">
      <c r="A14" s="1375" t="s">
        <v>893</v>
      </c>
      <c r="B14" s="1375"/>
      <c r="C14" s="932">
        <f>C11</f>
        <v>95</v>
      </c>
      <c r="D14" s="932">
        <f>D11+D12</f>
        <v>97</v>
      </c>
    </row>
    <row r="15" spans="3:4" ht="16.5" customHeight="1">
      <c r="C15" s="933"/>
      <c r="D15" s="933"/>
    </row>
    <row r="16" spans="3:4" ht="16.5" customHeight="1">
      <c r="C16" s="931"/>
      <c r="D16" s="931"/>
    </row>
    <row r="17" spans="3:4" ht="16.5" customHeight="1">
      <c r="C17" s="931"/>
      <c r="D17" s="931"/>
    </row>
    <row r="18" ht="16.5" customHeight="1"/>
    <row r="19" ht="16.5" customHeight="1"/>
    <row r="20" ht="16.5" customHeight="1"/>
    <row r="21" ht="16.5" customHeight="1"/>
    <row r="22" ht="16.5" customHeight="1"/>
    <row r="23" ht="18" customHeight="1"/>
    <row r="24" spans="2:4" ht="16.5" customHeight="1">
      <c r="B24" s="934"/>
      <c r="C24" s="935"/>
      <c r="D24" s="931"/>
    </row>
    <row r="25" spans="2:4" ht="16.5" customHeight="1">
      <c r="B25" s="934"/>
      <c r="C25" s="935"/>
      <c r="D25" s="931"/>
    </row>
    <row r="26" spans="2:4" ht="16.5" customHeight="1">
      <c r="B26" s="936"/>
      <c r="C26" s="935"/>
      <c r="D26" s="931"/>
    </row>
    <row r="27" spans="2:4" ht="16.5" customHeight="1">
      <c r="B27" s="934"/>
      <c r="C27" s="935"/>
      <c r="D27" s="931"/>
    </row>
    <row r="28" spans="2:4" ht="16.5" customHeight="1">
      <c r="B28" s="934"/>
      <c r="C28" s="935"/>
      <c r="D28" s="931"/>
    </row>
    <row r="29" spans="2:4" ht="16.5" customHeight="1">
      <c r="B29" s="934"/>
      <c r="C29" s="935"/>
      <c r="D29" s="931"/>
    </row>
    <row r="30" spans="2:4" ht="16.5" customHeight="1">
      <c r="B30" s="934"/>
      <c r="C30" s="935"/>
      <c r="D30" s="931"/>
    </row>
    <row r="31" spans="2:4" ht="16.5" customHeight="1">
      <c r="B31" s="934"/>
      <c r="C31" s="935"/>
      <c r="D31" s="931"/>
    </row>
    <row r="32" spans="2:4" s="937" customFormat="1" ht="16.5" customHeight="1">
      <c r="B32" s="938"/>
      <c r="C32" s="939"/>
      <c r="D32" s="940"/>
    </row>
    <row r="33" spans="2:4" ht="17.25" customHeight="1">
      <c r="B33" s="936"/>
      <c r="C33" s="935"/>
      <c r="D33" s="931"/>
    </row>
    <row r="34" spans="2:4" ht="16.5" customHeight="1">
      <c r="B34" s="941"/>
      <c r="C34" s="935"/>
      <c r="D34" s="931"/>
    </row>
    <row r="35" spans="2:4" ht="16.5" customHeight="1">
      <c r="B35" s="936"/>
      <c r="C35" s="935"/>
      <c r="D35" s="931"/>
    </row>
    <row r="36" spans="2:4" ht="16.5" customHeight="1">
      <c r="B36" s="936"/>
      <c r="C36" s="935"/>
      <c r="D36" s="931"/>
    </row>
    <row r="37" spans="2:4" ht="16.5" customHeight="1">
      <c r="B37" s="936"/>
      <c r="C37" s="942"/>
      <c r="D37" s="931"/>
    </row>
    <row r="38" spans="2:4" ht="16.5" customHeight="1">
      <c r="B38" s="934"/>
      <c r="C38" s="935"/>
      <c r="D38" s="931"/>
    </row>
    <row r="39" spans="2:4" ht="16.5" customHeight="1">
      <c r="B39" s="934"/>
      <c r="C39" s="935"/>
      <c r="D39" s="931"/>
    </row>
    <row r="40" spans="2:4" s="937" customFormat="1" ht="16.5" customHeight="1">
      <c r="B40" s="938"/>
      <c r="C40" s="939"/>
      <c r="D40" s="940"/>
    </row>
    <row r="41" spans="2:4" ht="7.5" customHeight="1">
      <c r="B41" s="938"/>
      <c r="C41" s="931"/>
      <c r="D41" s="931"/>
    </row>
    <row r="42" spans="2:4" s="943" customFormat="1" ht="16.5" customHeight="1">
      <c r="B42" s="944"/>
      <c r="C42" s="935"/>
      <c r="D42" s="931"/>
    </row>
    <row r="43" spans="2:4" s="943" customFormat="1" ht="16.5" customHeight="1">
      <c r="B43" s="944"/>
      <c r="C43" s="935"/>
      <c r="D43" s="931"/>
    </row>
    <row r="44" spans="2:4" s="943" customFormat="1" ht="16.5" customHeight="1">
      <c r="B44" s="936"/>
      <c r="C44" s="935"/>
      <c r="D44" s="931"/>
    </row>
    <row r="45" spans="2:4" s="943" customFormat="1" ht="16.5" customHeight="1">
      <c r="B45" s="936"/>
      <c r="C45" s="942"/>
      <c r="D45" s="931"/>
    </row>
    <row r="46" spans="2:4" s="937" customFormat="1" ht="16.5" customHeight="1">
      <c r="B46" s="936"/>
      <c r="C46" s="935"/>
      <c r="D46" s="935"/>
    </row>
    <row r="47" spans="2:4" ht="17.25" customHeight="1">
      <c r="B47" s="936"/>
      <c r="C47" s="935"/>
      <c r="D47" s="935"/>
    </row>
    <row r="48" spans="2:4" ht="15.75">
      <c r="B48" s="936"/>
      <c r="C48" s="935"/>
      <c r="D48" s="935"/>
    </row>
    <row r="49" spans="2:4" ht="15.75">
      <c r="B49" s="936"/>
      <c r="C49" s="935"/>
      <c r="D49" s="935"/>
    </row>
    <row r="50" spans="2:4" ht="15.75">
      <c r="B50" s="945"/>
      <c r="C50" s="940"/>
      <c r="D50" s="940"/>
    </row>
    <row r="51" spans="2:4" ht="15.75">
      <c r="B51" s="936"/>
      <c r="C51" s="935"/>
      <c r="D51" s="935"/>
    </row>
    <row r="52" spans="2:4" ht="15.75">
      <c r="B52" s="936"/>
      <c r="C52" s="942"/>
      <c r="D52" s="935"/>
    </row>
    <row r="53" spans="2:4" ht="15.75">
      <c r="B53" s="936"/>
      <c r="C53" s="942"/>
      <c r="D53" s="935"/>
    </row>
    <row r="54" spans="2:4" ht="15.75">
      <c r="B54" s="936"/>
      <c r="C54" s="942"/>
      <c r="D54" s="935"/>
    </row>
    <row r="55" spans="2:4" ht="15.75">
      <c r="B55" s="936"/>
      <c r="C55" s="942"/>
      <c r="D55" s="935"/>
    </row>
    <row r="56" spans="2:4" ht="15.75">
      <c r="B56" s="936"/>
      <c r="C56" s="942"/>
      <c r="D56" s="935"/>
    </row>
    <row r="57" spans="2:4" ht="15.75">
      <c r="B57" s="936"/>
      <c r="C57" s="942"/>
      <c r="D57" s="935"/>
    </row>
    <row r="58" spans="2:4" ht="15.75">
      <c r="B58" s="946"/>
      <c r="C58" s="940"/>
      <c r="D58" s="940"/>
    </row>
    <row r="59" spans="2:4" ht="15.75">
      <c r="B59" s="946"/>
      <c r="C59" s="935"/>
      <c r="D59" s="935"/>
    </row>
    <row r="60" spans="2:4" ht="15.75">
      <c r="B60" s="941"/>
      <c r="C60" s="935"/>
      <c r="D60" s="935"/>
    </row>
    <row r="61" spans="2:4" ht="15.75">
      <c r="B61" s="941"/>
      <c r="C61" s="935"/>
      <c r="D61" s="935"/>
    </row>
    <row r="62" spans="2:4" ht="15.75">
      <c r="B62" s="936"/>
      <c r="C62" s="935"/>
      <c r="D62" s="935"/>
    </row>
    <row r="63" spans="2:4" ht="15.75">
      <c r="B63" s="936"/>
      <c r="C63" s="935"/>
      <c r="D63" s="935"/>
    </row>
    <row r="64" spans="2:4" ht="15.75">
      <c r="B64" s="946"/>
      <c r="C64" s="939"/>
      <c r="D64" s="939"/>
    </row>
  </sheetData>
  <sheetProtection/>
  <mergeCells count="5">
    <mergeCell ref="B1:D1"/>
    <mergeCell ref="A3:D3"/>
    <mergeCell ref="A4:D4"/>
    <mergeCell ref="C9:D9"/>
    <mergeCell ref="A14:B1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42"/>
  <sheetViews>
    <sheetView zoomScale="120" zoomScaleNormal="120" zoomScaleSheetLayoutView="130" zoomScalePageLayoutView="0" workbookViewId="0" topLeftCell="A1">
      <selection activeCell="I21" sqref="I21"/>
    </sheetView>
  </sheetViews>
  <sheetFormatPr defaultColWidth="9.00390625" defaultRowHeight="12.75"/>
  <cols>
    <col min="1" max="1" width="9.00390625" style="554" customWidth="1"/>
    <col min="2" max="2" width="75.875" style="554" customWidth="1"/>
    <col min="3" max="3" width="15.50390625" style="555" customWidth="1"/>
    <col min="4" max="5" width="15.50390625" style="554" customWidth="1"/>
    <col min="6" max="6" width="9.00390625" style="48" customWidth="1"/>
    <col min="7" max="16384" width="9.375" style="48" customWidth="1"/>
  </cols>
  <sheetData>
    <row r="1" spans="1:5" ht="15.75" customHeight="1">
      <c r="A1" s="1286" t="s">
        <v>71</v>
      </c>
      <c r="B1" s="1286"/>
      <c r="C1" s="1286"/>
      <c r="D1" s="1286"/>
      <c r="E1" s="1286"/>
    </row>
    <row r="2" spans="1:5" ht="15.75" customHeight="1" thickBot="1">
      <c r="A2" s="1288" t="s">
        <v>232</v>
      </c>
      <c r="B2" s="1288"/>
      <c r="D2" s="164"/>
      <c r="E2" s="424" t="s">
        <v>436</v>
      </c>
    </row>
    <row r="3" spans="1:5" ht="37.5" customHeight="1" thickBot="1">
      <c r="A3" s="28" t="s">
        <v>132</v>
      </c>
      <c r="B3" s="29" t="s">
        <v>73</v>
      </c>
      <c r="C3" s="29" t="s">
        <v>48</v>
      </c>
      <c r="D3" s="602" t="s">
        <v>49</v>
      </c>
      <c r="E3" s="196" t="s">
        <v>415</v>
      </c>
    </row>
    <row r="4" spans="1:5" s="50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3">
        <v>5</v>
      </c>
    </row>
    <row r="5" spans="1:5" s="1" customFormat="1" ht="12" customHeight="1" thickBot="1">
      <c r="A5" s="25" t="s">
        <v>74</v>
      </c>
      <c r="B5" s="24" t="s">
        <v>258</v>
      </c>
      <c r="C5" s="572">
        <f>+C6+C11+C20</f>
        <v>0</v>
      </c>
      <c r="D5" s="572">
        <f>+D6+D11+D20</f>
        <v>0</v>
      </c>
      <c r="E5" s="403">
        <f>+E6+E11+E20</f>
        <v>0</v>
      </c>
    </row>
    <row r="6" spans="1:5" s="1" customFormat="1" ht="12" customHeight="1" thickBot="1">
      <c r="A6" s="23" t="s">
        <v>75</v>
      </c>
      <c r="B6" s="381" t="s">
        <v>497</v>
      </c>
      <c r="C6" s="573">
        <f>+C7+C8+C9+C10</f>
        <v>0</v>
      </c>
      <c r="D6" s="573">
        <f>+D7+D8+D9+D10</f>
        <v>0</v>
      </c>
      <c r="E6" s="404">
        <f>+E7+E8+E9+E10</f>
        <v>0</v>
      </c>
    </row>
    <row r="7" spans="1:5" s="1" customFormat="1" ht="12" customHeight="1">
      <c r="A7" s="16" t="s">
        <v>178</v>
      </c>
      <c r="B7" s="536" t="s">
        <v>117</v>
      </c>
      <c r="C7" s="574"/>
      <c r="D7" s="574"/>
      <c r="E7" s="406"/>
    </row>
    <row r="8" spans="1:5" s="1" customFormat="1" ht="12" customHeight="1">
      <c r="A8" s="16" t="s">
        <v>179</v>
      </c>
      <c r="B8" s="395" t="s">
        <v>148</v>
      </c>
      <c r="C8" s="574"/>
      <c r="D8" s="574"/>
      <c r="E8" s="406"/>
    </row>
    <row r="9" spans="1:5" s="1" customFormat="1" ht="12" customHeight="1">
      <c r="A9" s="16" t="s">
        <v>180</v>
      </c>
      <c r="B9" s="395" t="s">
        <v>259</v>
      </c>
      <c r="C9" s="574"/>
      <c r="D9" s="574"/>
      <c r="E9" s="406"/>
    </row>
    <row r="10" spans="1:5" s="1" customFormat="1" ht="12" customHeight="1" thickBot="1">
      <c r="A10" s="16" t="s">
        <v>181</v>
      </c>
      <c r="B10" s="537" t="s">
        <v>260</v>
      </c>
      <c r="C10" s="574"/>
      <c r="D10" s="574"/>
      <c r="E10" s="406"/>
    </row>
    <row r="11" spans="1:5" s="1" customFormat="1" ht="12" customHeight="1" thickBot="1">
      <c r="A11" s="23" t="s">
        <v>76</v>
      </c>
      <c r="B11" s="24" t="s">
        <v>261</v>
      </c>
      <c r="C11" s="573">
        <f>+C12+C13+C14+C15+C16+C17+C18+C19</f>
        <v>0</v>
      </c>
      <c r="D11" s="573">
        <f>+D12+D13+D14+D15+D16+D17+D18+D19</f>
        <v>0</v>
      </c>
      <c r="E11" s="404">
        <f>+E12+E13+E14+E15+E16+E17+E18+E19</f>
        <v>0</v>
      </c>
    </row>
    <row r="12" spans="1:5" s="1" customFormat="1" ht="12" customHeight="1">
      <c r="A12" s="20" t="s">
        <v>152</v>
      </c>
      <c r="B12" s="12" t="s">
        <v>266</v>
      </c>
      <c r="C12" s="575"/>
      <c r="D12" s="575"/>
      <c r="E12" s="405"/>
    </row>
    <row r="13" spans="1:5" s="1" customFormat="1" ht="12" customHeight="1">
      <c r="A13" s="16" t="s">
        <v>153</v>
      </c>
      <c r="B13" s="9" t="s">
        <v>267</v>
      </c>
      <c r="C13" s="574"/>
      <c r="D13" s="574"/>
      <c r="E13" s="406"/>
    </row>
    <row r="14" spans="1:5" s="1" customFormat="1" ht="12" customHeight="1">
      <c r="A14" s="16" t="s">
        <v>154</v>
      </c>
      <c r="B14" s="9" t="s">
        <v>268</v>
      </c>
      <c r="C14" s="574"/>
      <c r="D14" s="574"/>
      <c r="E14" s="406"/>
    </row>
    <row r="15" spans="1:5" s="1" customFormat="1" ht="12" customHeight="1">
      <c r="A15" s="16" t="s">
        <v>155</v>
      </c>
      <c r="B15" s="9" t="s">
        <v>269</v>
      </c>
      <c r="C15" s="574"/>
      <c r="D15" s="574"/>
      <c r="E15" s="406"/>
    </row>
    <row r="16" spans="1:5" s="1" customFormat="1" ht="12" customHeight="1">
      <c r="A16" s="15" t="s">
        <v>262</v>
      </c>
      <c r="B16" s="8" t="s">
        <v>270</v>
      </c>
      <c r="C16" s="576"/>
      <c r="D16" s="576"/>
      <c r="E16" s="407"/>
    </row>
    <row r="17" spans="1:5" s="1" customFormat="1" ht="12" customHeight="1">
      <c r="A17" s="16" t="s">
        <v>263</v>
      </c>
      <c r="B17" s="9" t="s">
        <v>376</v>
      </c>
      <c r="C17" s="574"/>
      <c r="D17" s="574"/>
      <c r="E17" s="406"/>
    </row>
    <row r="18" spans="1:5" s="1" customFormat="1" ht="12" customHeight="1">
      <c r="A18" s="16" t="s">
        <v>264</v>
      </c>
      <c r="B18" s="9" t="s">
        <v>272</v>
      </c>
      <c r="C18" s="574"/>
      <c r="D18" s="574"/>
      <c r="E18" s="406"/>
    </row>
    <row r="19" spans="1:5" s="1" customFormat="1" ht="12" customHeight="1" thickBot="1">
      <c r="A19" s="17" t="s">
        <v>265</v>
      </c>
      <c r="B19" s="10" t="s">
        <v>273</v>
      </c>
      <c r="C19" s="577"/>
      <c r="D19" s="577"/>
      <c r="E19" s="408"/>
    </row>
    <row r="20" spans="1:5" s="1" customFormat="1" ht="12" customHeight="1" thickBot="1">
      <c r="A20" s="23" t="s">
        <v>274</v>
      </c>
      <c r="B20" s="24" t="s">
        <v>377</v>
      </c>
      <c r="C20" s="578"/>
      <c r="D20" s="578"/>
      <c r="E20" s="409"/>
    </row>
    <row r="21" spans="1:5" s="1" customFormat="1" ht="12" customHeight="1" thickBot="1">
      <c r="A21" s="23" t="s">
        <v>78</v>
      </c>
      <c r="B21" s="24" t="s">
        <v>276</v>
      </c>
      <c r="C21" s="573">
        <f>+C22+C23+C24+C25+C26+C27+C28+C29</f>
        <v>0</v>
      </c>
      <c r="D21" s="573">
        <f>+D22+D23+D24+D25+D26+D27+D28+D29</f>
        <v>0</v>
      </c>
      <c r="E21" s="404">
        <f>+E22+E23+E24+E25+E26+E27+E28+E29</f>
        <v>0</v>
      </c>
    </row>
    <row r="22" spans="1:5" s="1" customFormat="1" ht="12" customHeight="1">
      <c r="A22" s="18" t="s">
        <v>156</v>
      </c>
      <c r="B22" s="11" t="s">
        <v>282</v>
      </c>
      <c r="C22" s="579"/>
      <c r="D22" s="579"/>
      <c r="E22" s="410"/>
    </row>
    <row r="23" spans="1:5" s="1" customFormat="1" ht="12" customHeight="1">
      <c r="A23" s="16" t="s">
        <v>157</v>
      </c>
      <c r="B23" s="9" t="s">
        <v>283</v>
      </c>
      <c r="C23" s="574"/>
      <c r="D23" s="574"/>
      <c r="E23" s="406"/>
    </row>
    <row r="24" spans="1:5" s="1" customFormat="1" ht="12" customHeight="1">
      <c r="A24" s="16" t="s">
        <v>158</v>
      </c>
      <c r="B24" s="9" t="s">
        <v>284</v>
      </c>
      <c r="C24" s="574"/>
      <c r="D24" s="574"/>
      <c r="E24" s="406"/>
    </row>
    <row r="25" spans="1:5" s="1" customFormat="1" ht="12" customHeight="1">
      <c r="A25" s="19" t="s">
        <v>277</v>
      </c>
      <c r="B25" s="9" t="s">
        <v>161</v>
      </c>
      <c r="C25" s="580"/>
      <c r="D25" s="580"/>
      <c r="E25" s="411"/>
    </row>
    <row r="26" spans="1:5" s="1" customFormat="1" ht="12" customHeight="1">
      <c r="A26" s="19" t="s">
        <v>278</v>
      </c>
      <c r="B26" s="9" t="s">
        <v>285</v>
      </c>
      <c r="C26" s="580"/>
      <c r="D26" s="580"/>
      <c r="E26" s="411"/>
    </row>
    <row r="27" spans="1:5" s="1" customFormat="1" ht="12" customHeight="1">
      <c r="A27" s="16" t="s">
        <v>279</v>
      </c>
      <c r="B27" s="9" t="s">
        <v>286</v>
      </c>
      <c r="C27" s="574"/>
      <c r="D27" s="574"/>
      <c r="E27" s="406"/>
    </row>
    <row r="28" spans="1:5" s="1" customFormat="1" ht="12" customHeight="1">
      <c r="A28" s="16" t="s">
        <v>280</v>
      </c>
      <c r="B28" s="9" t="s">
        <v>378</v>
      </c>
      <c r="C28" s="581"/>
      <c r="D28" s="581"/>
      <c r="E28" s="412"/>
    </row>
    <row r="29" spans="1:5" s="1" customFormat="1" ht="12" customHeight="1" thickBot="1">
      <c r="A29" s="16" t="s">
        <v>281</v>
      </c>
      <c r="B29" s="14" t="s">
        <v>287</v>
      </c>
      <c r="C29" s="581"/>
      <c r="D29" s="581"/>
      <c r="E29" s="412"/>
    </row>
    <row r="30" spans="1:5" s="1" customFormat="1" ht="12" customHeight="1" thickBot="1">
      <c r="A30" s="374" t="s">
        <v>79</v>
      </c>
      <c r="B30" s="24" t="s">
        <v>498</v>
      </c>
      <c r="C30" s="573">
        <f>+C31+C37</f>
        <v>0</v>
      </c>
      <c r="D30" s="573">
        <f>+D31+D37</f>
        <v>0</v>
      </c>
      <c r="E30" s="404">
        <f>+E31+E37</f>
        <v>0</v>
      </c>
    </row>
    <row r="31" spans="1:5" s="1" customFormat="1" ht="12" customHeight="1">
      <c r="A31" s="375" t="s">
        <v>159</v>
      </c>
      <c r="B31" s="538" t="s">
        <v>499</v>
      </c>
      <c r="C31" s="582">
        <f>+C32+C33+C34+C35+C36</f>
        <v>0</v>
      </c>
      <c r="D31" s="582">
        <f>+D32+D33+D34+D35+D36</f>
        <v>0</v>
      </c>
      <c r="E31" s="416">
        <f>+E32+E33+E34+E35+E36</f>
        <v>0</v>
      </c>
    </row>
    <row r="32" spans="1:5" s="1" customFormat="1" ht="12" customHeight="1">
      <c r="A32" s="376" t="s">
        <v>162</v>
      </c>
      <c r="B32" s="382" t="s">
        <v>379</v>
      </c>
      <c r="C32" s="581"/>
      <c r="D32" s="581"/>
      <c r="E32" s="412"/>
    </row>
    <row r="33" spans="1:5" s="1" customFormat="1" ht="12" customHeight="1">
      <c r="A33" s="376" t="s">
        <v>163</v>
      </c>
      <c r="B33" s="382" t="s">
        <v>380</v>
      </c>
      <c r="C33" s="581"/>
      <c r="D33" s="581"/>
      <c r="E33" s="412"/>
    </row>
    <row r="34" spans="1:5" s="1" customFormat="1" ht="12" customHeight="1">
      <c r="A34" s="376" t="s">
        <v>164</v>
      </c>
      <c r="B34" s="382" t="s">
        <v>381</v>
      </c>
      <c r="C34" s="581"/>
      <c r="D34" s="581"/>
      <c r="E34" s="412"/>
    </row>
    <row r="35" spans="1:5" s="1" customFormat="1" ht="12" customHeight="1">
      <c r="A35" s="376" t="s">
        <v>165</v>
      </c>
      <c r="B35" s="382" t="s">
        <v>382</v>
      </c>
      <c r="C35" s="581"/>
      <c r="D35" s="581"/>
      <c r="E35" s="412"/>
    </row>
    <row r="36" spans="1:5" s="1" customFormat="1" ht="12" customHeight="1">
      <c r="A36" s="376" t="s">
        <v>288</v>
      </c>
      <c r="B36" s="382" t="s">
        <v>500</v>
      </c>
      <c r="C36" s="581"/>
      <c r="D36" s="581"/>
      <c r="E36" s="412"/>
    </row>
    <row r="37" spans="1:5" s="1" customFormat="1" ht="12" customHeight="1">
      <c r="A37" s="376" t="s">
        <v>160</v>
      </c>
      <c r="B37" s="383" t="s">
        <v>501</v>
      </c>
      <c r="C37" s="583">
        <f>+C38+C39+C40+C41+C42</f>
        <v>0</v>
      </c>
      <c r="D37" s="583">
        <f>+D38+D39+D40+D41+D42</f>
        <v>0</v>
      </c>
      <c r="E37" s="417">
        <f>+E38+E39+E40+E41+E42</f>
        <v>0</v>
      </c>
    </row>
    <row r="38" spans="1:5" s="1" customFormat="1" ht="12" customHeight="1">
      <c r="A38" s="376" t="s">
        <v>168</v>
      </c>
      <c r="B38" s="382" t="s">
        <v>379</v>
      </c>
      <c r="C38" s="581"/>
      <c r="D38" s="581"/>
      <c r="E38" s="412"/>
    </row>
    <row r="39" spans="1:5" s="1" customFormat="1" ht="12" customHeight="1">
      <c r="A39" s="376" t="s">
        <v>169</v>
      </c>
      <c r="B39" s="382" t="s">
        <v>380</v>
      </c>
      <c r="C39" s="581"/>
      <c r="D39" s="581"/>
      <c r="E39" s="412"/>
    </row>
    <row r="40" spans="1:5" s="1" customFormat="1" ht="12" customHeight="1">
      <c r="A40" s="376" t="s">
        <v>170</v>
      </c>
      <c r="B40" s="382" t="s">
        <v>381</v>
      </c>
      <c r="C40" s="581"/>
      <c r="D40" s="581"/>
      <c r="E40" s="412"/>
    </row>
    <row r="41" spans="1:5" s="1" customFormat="1" ht="12" customHeight="1">
      <c r="A41" s="376" t="s">
        <v>171</v>
      </c>
      <c r="B41" s="384" t="s">
        <v>382</v>
      </c>
      <c r="C41" s="581"/>
      <c r="D41" s="581"/>
      <c r="E41" s="412"/>
    </row>
    <row r="42" spans="1:5" s="1" customFormat="1" ht="12" customHeight="1" thickBot="1">
      <c r="A42" s="377" t="s">
        <v>289</v>
      </c>
      <c r="B42" s="385" t="s">
        <v>502</v>
      </c>
      <c r="C42" s="584"/>
      <c r="D42" s="584"/>
      <c r="E42" s="585"/>
    </row>
    <row r="43" spans="1:5" s="1" customFormat="1" ht="12" customHeight="1" thickBot="1">
      <c r="A43" s="23" t="s">
        <v>290</v>
      </c>
      <c r="B43" s="539" t="s">
        <v>383</v>
      </c>
      <c r="C43" s="573">
        <f>+C44+C45</f>
        <v>0</v>
      </c>
      <c r="D43" s="573">
        <f>+D44+D45</f>
        <v>0</v>
      </c>
      <c r="E43" s="404">
        <f>+E44+E45</f>
        <v>0</v>
      </c>
    </row>
    <row r="44" spans="1:5" s="1" customFormat="1" ht="12" customHeight="1">
      <c r="A44" s="18" t="s">
        <v>166</v>
      </c>
      <c r="B44" s="395" t="s">
        <v>384</v>
      </c>
      <c r="C44" s="579"/>
      <c r="D44" s="579"/>
      <c r="E44" s="410"/>
    </row>
    <row r="45" spans="1:5" s="1" customFormat="1" ht="12" customHeight="1" thickBot="1">
      <c r="A45" s="15" t="s">
        <v>167</v>
      </c>
      <c r="B45" s="390" t="s">
        <v>388</v>
      </c>
      <c r="C45" s="576"/>
      <c r="D45" s="576"/>
      <c r="E45" s="407"/>
    </row>
    <row r="46" spans="1:5" s="1" customFormat="1" ht="12" customHeight="1" thickBot="1">
      <c r="A46" s="23" t="s">
        <v>81</v>
      </c>
      <c r="B46" s="539" t="s">
        <v>387</v>
      </c>
      <c r="C46" s="573">
        <f>+C47+C48+C49</f>
        <v>0</v>
      </c>
      <c r="D46" s="573">
        <f>+D47+D48+D49</f>
        <v>0</v>
      </c>
      <c r="E46" s="404">
        <f>+E47+E48+E49</f>
        <v>0</v>
      </c>
    </row>
    <row r="47" spans="1:5" s="1" customFormat="1" ht="12" customHeight="1">
      <c r="A47" s="18" t="s">
        <v>293</v>
      </c>
      <c r="B47" s="395" t="s">
        <v>291</v>
      </c>
      <c r="C47" s="586"/>
      <c r="D47" s="586"/>
      <c r="E47" s="587"/>
    </row>
    <row r="48" spans="1:5" s="1" customFormat="1" ht="12" customHeight="1">
      <c r="A48" s="16" t="s">
        <v>294</v>
      </c>
      <c r="B48" s="382" t="s">
        <v>292</v>
      </c>
      <c r="C48" s="581"/>
      <c r="D48" s="581"/>
      <c r="E48" s="412"/>
    </row>
    <row r="49" spans="1:5" s="1" customFormat="1" ht="12" customHeight="1" thickBot="1">
      <c r="A49" s="15" t="s">
        <v>439</v>
      </c>
      <c r="B49" s="390" t="s">
        <v>385</v>
      </c>
      <c r="C49" s="588"/>
      <c r="D49" s="588"/>
      <c r="E49" s="589"/>
    </row>
    <row r="50" spans="1:5" s="1" customFormat="1" ht="12" customHeight="1" thickBot="1">
      <c r="A50" s="23" t="s">
        <v>295</v>
      </c>
      <c r="B50" s="540" t="s">
        <v>386</v>
      </c>
      <c r="C50" s="590"/>
      <c r="D50" s="590"/>
      <c r="E50" s="413"/>
    </row>
    <row r="51" spans="1:5" s="1" customFormat="1" ht="12" customHeight="1" thickBot="1">
      <c r="A51" s="23" t="s">
        <v>83</v>
      </c>
      <c r="B51" s="27" t="s">
        <v>296</v>
      </c>
      <c r="C51" s="591">
        <f>+C6+C11+C20+C21+C30+C43+C46+C50</f>
        <v>0</v>
      </c>
      <c r="D51" s="591">
        <f>+D6+D11+D20+D21+D30+D43+D46+D50</f>
        <v>0</v>
      </c>
      <c r="E51" s="414">
        <f>+E6+E11+E20+E21+E30+E43+E46+E50</f>
        <v>0</v>
      </c>
    </row>
    <row r="52" spans="1:7" s="1" customFormat="1" ht="17.25" customHeight="1" thickBot="1">
      <c r="A52" s="386" t="s">
        <v>84</v>
      </c>
      <c r="B52" s="381" t="s">
        <v>389</v>
      </c>
      <c r="C52" s="592">
        <f>+C53+C59</f>
        <v>0</v>
      </c>
      <c r="D52" s="592">
        <f>+D53+D59</f>
        <v>0</v>
      </c>
      <c r="E52" s="415">
        <f>+E53+E59</f>
        <v>0</v>
      </c>
      <c r="G52" s="51"/>
    </row>
    <row r="53" spans="1:5" s="1" customFormat="1" ht="12" customHeight="1">
      <c r="A53" s="541" t="s">
        <v>225</v>
      </c>
      <c r="B53" s="538" t="s">
        <v>463</v>
      </c>
      <c r="C53" s="582">
        <f>+C54+C55+C56+C57+C58</f>
        <v>0</v>
      </c>
      <c r="D53" s="582">
        <f>+D54+D55+D56+D57+D58</f>
        <v>0</v>
      </c>
      <c r="E53" s="416">
        <f>+E54+E55+E56+E57+E58</f>
        <v>0</v>
      </c>
    </row>
    <row r="54" spans="1:5" s="1" customFormat="1" ht="12" customHeight="1">
      <c r="A54" s="387" t="s">
        <v>405</v>
      </c>
      <c r="B54" s="382" t="s">
        <v>391</v>
      </c>
      <c r="C54" s="581"/>
      <c r="D54" s="581"/>
      <c r="E54" s="412"/>
    </row>
    <row r="55" spans="1:5" s="1" customFormat="1" ht="12" customHeight="1">
      <c r="A55" s="387" t="s">
        <v>406</v>
      </c>
      <c r="B55" s="382" t="s">
        <v>392</v>
      </c>
      <c r="C55" s="581"/>
      <c r="D55" s="581"/>
      <c r="E55" s="412"/>
    </row>
    <row r="56" spans="1:5" s="1" customFormat="1" ht="12" customHeight="1">
      <c r="A56" s="387" t="s">
        <v>407</v>
      </c>
      <c r="B56" s="382" t="s">
        <v>393</v>
      </c>
      <c r="C56" s="581"/>
      <c r="D56" s="581"/>
      <c r="E56" s="412"/>
    </row>
    <row r="57" spans="1:5" s="1" customFormat="1" ht="12" customHeight="1">
      <c r="A57" s="387" t="s">
        <v>408</v>
      </c>
      <c r="B57" s="382" t="s">
        <v>394</v>
      </c>
      <c r="C57" s="581"/>
      <c r="D57" s="581"/>
      <c r="E57" s="412"/>
    </row>
    <row r="58" spans="1:5" s="1" customFormat="1" ht="12" customHeight="1">
      <c r="A58" s="387" t="s">
        <v>409</v>
      </c>
      <c r="B58" s="382" t="s">
        <v>395</v>
      </c>
      <c r="C58" s="581"/>
      <c r="D58" s="581"/>
      <c r="E58" s="412"/>
    </row>
    <row r="59" spans="1:5" s="1" customFormat="1" ht="12" customHeight="1">
      <c r="A59" s="388" t="s">
        <v>226</v>
      </c>
      <c r="B59" s="383" t="s">
        <v>462</v>
      </c>
      <c r="C59" s="583">
        <f>+C60+C61+C62+C63+C64</f>
        <v>0</v>
      </c>
      <c r="D59" s="583">
        <f>+D60+D61+D62+D63+D64</f>
        <v>0</v>
      </c>
      <c r="E59" s="417">
        <f>+E60+E61+E62+E63+E64</f>
        <v>0</v>
      </c>
    </row>
    <row r="60" spans="1:5" s="1" customFormat="1" ht="12" customHeight="1">
      <c r="A60" s="387" t="s">
        <v>410</v>
      </c>
      <c r="B60" s="382" t="s">
        <v>397</v>
      </c>
      <c r="C60" s="581"/>
      <c r="D60" s="581"/>
      <c r="E60" s="412"/>
    </row>
    <row r="61" spans="1:5" s="1" customFormat="1" ht="12" customHeight="1">
      <c r="A61" s="387" t="s">
        <v>411</v>
      </c>
      <c r="B61" s="382" t="s">
        <v>398</v>
      </c>
      <c r="C61" s="581"/>
      <c r="D61" s="581"/>
      <c r="E61" s="412"/>
    </row>
    <row r="62" spans="1:5" s="1" customFormat="1" ht="12" customHeight="1">
      <c r="A62" s="387" t="s">
        <v>412</v>
      </c>
      <c r="B62" s="382" t="s">
        <v>399</v>
      </c>
      <c r="C62" s="581"/>
      <c r="D62" s="581"/>
      <c r="E62" s="412"/>
    </row>
    <row r="63" spans="1:5" s="1" customFormat="1" ht="12" customHeight="1">
      <c r="A63" s="387" t="s">
        <v>413</v>
      </c>
      <c r="B63" s="382" t="s">
        <v>400</v>
      </c>
      <c r="C63" s="581"/>
      <c r="D63" s="581"/>
      <c r="E63" s="412"/>
    </row>
    <row r="64" spans="1:5" s="1" customFormat="1" ht="12" customHeight="1" thickBot="1">
      <c r="A64" s="389" t="s">
        <v>414</v>
      </c>
      <c r="B64" s="390" t="s">
        <v>401</v>
      </c>
      <c r="C64" s="593"/>
      <c r="D64" s="593"/>
      <c r="E64" s="418"/>
    </row>
    <row r="65" spans="1:5" s="1" customFormat="1" ht="12" customHeight="1" thickBot="1">
      <c r="A65" s="391" t="s">
        <v>85</v>
      </c>
      <c r="B65" s="542" t="s">
        <v>460</v>
      </c>
      <c r="C65" s="592">
        <f>+C51+C52</f>
        <v>0</v>
      </c>
      <c r="D65" s="592">
        <f>+D51+D52</f>
        <v>0</v>
      </c>
      <c r="E65" s="415">
        <f>+E51+E52</f>
        <v>0</v>
      </c>
    </row>
    <row r="66" spans="1:5" s="1" customFormat="1" ht="12" customHeight="1" thickBot="1">
      <c r="A66" s="392" t="s">
        <v>86</v>
      </c>
      <c r="B66" s="543" t="s">
        <v>403</v>
      </c>
      <c r="C66" s="594"/>
      <c r="D66" s="594"/>
      <c r="E66" s="425"/>
    </row>
    <row r="67" spans="1:5" s="1" customFormat="1" ht="12" customHeight="1" thickBot="1">
      <c r="A67" s="391" t="s">
        <v>87</v>
      </c>
      <c r="B67" s="542" t="s">
        <v>461</v>
      </c>
      <c r="C67" s="595">
        <f>+C65+C66</f>
        <v>0</v>
      </c>
      <c r="D67" s="595">
        <f>+D65+D66</f>
        <v>0</v>
      </c>
      <c r="E67" s="426">
        <f>+E65+E66</f>
        <v>0</v>
      </c>
    </row>
    <row r="68" spans="1:5" s="1" customFormat="1" ht="12" customHeight="1">
      <c r="A68" s="524"/>
      <c r="B68" s="525"/>
      <c r="C68" s="526"/>
      <c r="D68" s="527"/>
      <c r="E68" s="528"/>
    </row>
    <row r="69" spans="1:5" s="1" customFormat="1" ht="12" customHeight="1">
      <c r="A69" s="1286" t="s">
        <v>103</v>
      </c>
      <c r="B69" s="1286"/>
      <c r="C69" s="1286"/>
      <c r="D69" s="1286"/>
      <c r="E69" s="1286"/>
    </row>
    <row r="70" spans="1:5" s="1" customFormat="1" ht="12" customHeight="1" thickBot="1">
      <c r="A70" s="1289" t="s">
        <v>233</v>
      </c>
      <c r="B70" s="1289"/>
      <c r="C70" s="555"/>
      <c r="D70" s="164"/>
      <c r="E70" s="424" t="s">
        <v>436</v>
      </c>
    </row>
    <row r="71" spans="1:6" s="1" customFormat="1" ht="24" customHeight="1" thickBot="1">
      <c r="A71" s="28" t="s">
        <v>72</v>
      </c>
      <c r="B71" s="29" t="s">
        <v>104</v>
      </c>
      <c r="C71" s="29" t="s">
        <v>48</v>
      </c>
      <c r="D71" s="29" t="s">
        <v>49</v>
      </c>
      <c r="E71" s="49" t="s">
        <v>415</v>
      </c>
      <c r="F71" s="173"/>
    </row>
    <row r="72" spans="1:6" s="1" customFormat="1" ht="12" customHeight="1" thickBot="1">
      <c r="A72" s="41">
        <v>1</v>
      </c>
      <c r="B72" s="42">
        <v>2</v>
      </c>
      <c r="C72" s="42">
        <v>3</v>
      </c>
      <c r="D72" s="42">
        <v>4</v>
      </c>
      <c r="E72" s="43">
        <v>5</v>
      </c>
      <c r="F72" s="173"/>
    </row>
    <row r="73" spans="1:6" s="1" customFormat="1" ht="15" customHeight="1" thickBot="1">
      <c r="A73" s="25" t="s">
        <v>74</v>
      </c>
      <c r="B73" s="35" t="s">
        <v>297</v>
      </c>
      <c r="C73" s="572">
        <f>+C74+C75+C76+C77+C78</f>
        <v>0</v>
      </c>
      <c r="D73" s="572">
        <f>+D74+D75+D76+D77+D78</f>
        <v>0</v>
      </c>
      <c r="E73" s="403">
        <f>+E74+E75+E76+E77+E78</f>
        <v>0</v>
      </c>
      <c r="F73" s="173"/>
    </row>
    <row r="74" spans="1:5" s="1" customFormat="1" ht="12.75" customHeight="1">
      <c r="A74" s="20" t="s">
        <v>172</v>
      </c>
      <c r="B74" s="12" t="s">
        <v>105</v>
      </c>
      <c r="C74" s="575"/>
      <c r="D74" s="575"/>
      <c r="E74" s="405"/>
    </row>
    <row r="75" spans="1:5" ht="16.5" customHeight="1">
      <c r="A75" s="16" t="s">
        <v>173</v>
      </c>
      <c r="B75" s="9" t="s">
        <v>298</v>
      </c>
      <c r="C75" s="574"/>
      <c r="D75" s="574"/>
      <c r="E75" s="406"/>
    </row>
    <row r="76" spans="1:5" ht="15.75">
      <c r="A76" s="16" t="s">
        <v>174</v>
      </c>
      <c r="B76" s="9" t="s">
        <v>215</v>
      </c>
      <c r="C76" s="580"/>
      <c r="D76" s="580"/>
      <c r="E76" s="411"/>
    </row>
    <row r="77" spans="1:5" s="50" customFormat="1" ht="12" customHeight="1">
      <c r="A77" s="16" t="s">
        <v>175</v>
      </c>
      <c r="B77" s="13" t="s">
        <v>299</v>
      </c>
      <c r="C77" s="580"/>
      <c r="D77" s="580"/>
      <c r="E77" s="411"/>
    </row>
    <row r="78" spans="1:5" ht="12" customHeight="1">
      <c r="A78" s="16" t="s">
        <v>186</v>
      </c>
      <c r="B78" s="22" t="s">
        <v>300</v>
      </c>
      <c r="C78" s="580"/>
      <c r="D78" s="580"/>
      <c r="E78" s="411"/>
    </row>
    <row r="79" spans="1:5" ht="12" customHeight="1">
      <c r="A79" s="16" t="s">
        <v>176</v>
      </c>
      <c r="B79" s="9" t="s">
        <v>321</v>
      </c>
      <c r="C79" s="580"/>
      <c r="D79" s="580"/>
      <c r="E79" s="411"/>
    </row>
    <row r="80" spans="1:5" ht="12" customHeight="1">
      <c r="A80" s="16" t="s">
        <v>177</v>
      </c>
      <c r="B80" s="167" t="s">
        <v>322</v>
      </c>
      <c r="C80" s="580"/>
      <c r="D80" s="580"/>
      <c r="E80" s="411"/>
    </row>
    <row r="81" spans="1:5" ht="12" customHeight="1">
      <c r="A81" s="16" t="s">
        <v>187</v>
      </c>
      <c r="B81" s="167" t="s">
        <v>416</v>
      </c>
      <c r="C81" s="580"/>
      <c r="D81" s="580"/>
      <c r="E81" s="411"/>
    </row>
    <row r="82" spans="1:5" ht="12" customHeight="1">
      <c r="A82" s="16" t="s">
        <v>188</v>
      </c>
      <c r="B82" s="168" t="s">
        <v>323</v>
      </c>
      <c r="C82" s="580"/>
      <c r="D82" s="580"/>
      <c r="E82" s="411"/>
    </row>
    <row r="83" spans="1:5" ht="12" customHeight="1">
      <c r="A83" s="15" t="s">
        <v>189</v>
      </c>
      <c r="B83" s="169" t="s">
        <v>324</v>
      </c>
      <c r="C83" s="580"/>
      <c r="D83" s="580"/>
      <c r="E83" s="411"/>
    </row>
    <row r="84" spans="1:5" ht="12" customHeight="1">
      <c r="A84" s="16" t="s">
        <v>190</v>
      </c>
      <c r="B84" s="169" t="s">
        <v>325</v>
      </c>
      <c r="C84" s="580"/>
      <c r="D84" s="580"/>
      <c r="E84" s="411"/>
    </row>
    <row r="85" spans="1:5" ht="12" customHeight="1" thickBot="1">
      <c r="A85" s="21" t="s">
        <v>192</v>
      </c>
      <c r="B85" s="170" t="s">
        <v>326</v>
      </c>
      <c r="C85" s="596"/>
      <c r="D85" s="596"/>
      <c r="E85" s="420"/>
    </row>
    <row r="86" spans="1:5" ht="12" customHeight="1" thickBot="1">
      <c r="A86" s="23" t="s">
        <v>75</v>
      </c>
      <c r="B86" s="34" t="s">
        <v>440</v>
      </c>
      <c r="C86" s="573">
        <f>+C87+C88+C89</f>
        <v>0</v>
      </c>
      <c r="D86" s="573">
        <f>+D87+D88+D89</f>
        <v>0</v>
      </c>
      <c r="E86" s="404">
        <f>+E87+E88+E89</f>
        <v>0</v>
      </c>
    </row>
    <row r="87" spans="1:5" ht="12" customHeight="1">
      <c r="A87" s="18" t="s">
        <v>178</v>
      </c>
      <c r="B87" s="9" t="s">
        <v>417</v>
      </c>
      <c r="C87" s="579"/>
      <c r="D87" s="579"/>
      <c r="E87" s="410"/>
    </row>
    <row r="88" spans="1:5" ht="12" customHeight="1">
      <c r="A88" s="18" t="s">
        <v>179</v>
      </c>
      <c r="B88" s="14" t="s">
        <v>302</v>
      </c>
      <c r="C88" s="574"/>
      <c r="D88" s="574"/>
      <c r="E88" s="406"/>
    </row>
    <row r="89" spans="1:5" ht="12" customHeight="1">
      <c r="A89" s="18" t="s">
        <v>180</v>
      </c>
      <c r="B89" s="382" t="s">
        <v>441</v>
      </c>
      <c r="C89" s="574"/>
      <c r="D89" s="574"/>
      <c r="E89" s="406"/>
    </row>
    <row r="90" spans="1:5" ht="12" customHeight="1">
      <c r="A90" s="18" t="s">
        <v>181</v>
      </c>
      <c r="B90" s="382" t="s">
        <v>503</v>
      </c>
      <c r="C90" s="574"/>
      <c r="D90" s="574"/>
      <c r="E90" s="406"/>
    </row>
    <row r="91" spans="1:5" ht="12" customHeight="1">
      <c r="A91" s="18" t="s">
        <v>182</v>
      </c>
      <c r="B91" s="382" t="s">
        <v>442</v>
      </c>
      <c r="C91" s="574"/>
      <c r="D91" s="574"/>
      <c r="E91" s="406"/>
    </row>
    <row r="92" spans="1:5" ht="12" customHeight="1">
      <c r="A92" s="18" t="s">
        <v>191</v>
      </c>
      <c r="B92" s="382" t="s">
        <v>443</v>
      </c>
      <c r="C92" s="574"/>
      <c r="D92" s="574"/>
      <c r="E92" s="406"/>
    </row>
    <row r="93" spans="1:5" ht="12" customHeight="1">
      <c r="A93" s="18" t="s">
        <v>193</v>
      </c>
      <c r="B93" s="544" t="s">
        <v>420</v>
      </c>
      <c r="C93" s="574"/>
      <c r="D93" s="574"/>
      <c r="E93" s="406"/>
    </row>
    <row r="94" spans="1:5" ht="12" customHeight="1">
      <c r="A94" s="18" t="s">
        <v>303</v>
      </c>
      <c r="B94" s="544" t="s">
        <v>421</v>
      </c>
      <c r="C94" s="574"/>
      <c r="D94" s="574"/>
      <c r="E94" s="406"/>
    </row>
    <row r="95" spans="1:5" ht="12" customHeight="1">
      <c r="A95" s="18" t="s">
        <v>304</v>
      </c>
      <c r="B95" s="544" t="s">
        <v>419</v>
      </c>
      <c r="C95" s="574"/>
      <c r="D95" s="574"/>
      <c r="E95" s="406"/>
    </row>
    <row r="96" spans="1:5" ht="34.5" thickBot="1">
      <c r="A96" s="15" t="s">
        <v>305</v>
      </c>
      <c r="B96" s="545" t="s">
        <v>418</v>
      </c>
      <c r="C96" s="580"/>
      <c r="D96" s="580"/>
      <c r="E96" s="411"/>
    </row>
    <row r="97" spans="1:5" ht="12" customHeight="1" thickBot="1">
      <c r="A97" s="23" t="s">
        <v>76</v>
      </c>
      <c r="B97" s="147" t="s">
        <v>444</v>
      </c>
      <c r="C97" s="573">
        <f>+C98+C99</f>
        <v>0</v>
      </c>
      <c r="D97" s="573">
        <f>+D98+D99</f>
        <v>0</v>
      </c>
      <c r="E97" s="404">
        <f>+E98+E99</f>
        <v>0</v>
      </c>
    </row>
    <row r="98" spans="1:5" ht="12" customHeight="1">
      <c r="A98" s="18" t="s">
        <v>152</v>
      </c>
      <c r="B98" s="11" t="s">
        <v>121</v>
      </c>
      <c r="C98" s="579"/>
      <c r="D98" s="579"/>
      <c r="E98" s="410"/>
    </row>
    <row r="99" spans="1:5" ht="12" customHeight="1" thickBot="1">
      <c r="A99" s="19" t="s">
        <v>153</v>
      </c>
      <c r="B99" s="14" t="s">
        <v>122</v>
      </c>
      <c r="C99" s="580"/>
      <c r="D99" s="580"/>
      <c r="E99" s="411"/>
    </row>
    <row r="100" spans="1:5" ht="12" customHeight="1" thickBot="1">
      <c r="A100" s="386" t="s">
        <v>77</v>
      </c>
      <c r="B100" s="381" t="s">
        <v>422</v>
      </c>
      <c r="C100" s="590"/>
      <c r="D100" s="590"/>
      <c r="E100" s="413"/>
    </row>
    <row r="101" spans="1:5" ht="12" customHeight="1" thickBot="1">
      <c r="A101" s="378" t="s">
        <v>78</v>
      </c>
      <c r="B101" s="379" t="s">
        <v>238</v>
      </c>
      <c r="C101" s="572">
        <f>+C73+C86+C97+C100</f>
        <v>0</v>
      </c>
      <c r="D101" s="572">
        <f>+D73+D86+D97+D100</f>
        <v>0</v>
      </c>
      <c r="E101" s="403">
        <f>+E73+E86+E97+E100</f>
        <v>0</v>
      </c>
    </row>
    <row r="102" spans="1:5" ht="12" customHeight="1" thickBot="1">
      <c r="A102" s="386" t="s">
        <v>79</v>
      </c>
      <c r="B102" s="381" t="s">
        <v>504</v>
      </c>
      <c r="C102" s="573">
        <f>+C103+C111</f>
        <v>0</v>
      </c>
      <c r="D102" s="573">
        <f>+D103+D111</f>
        <v>0</v>
      </c>
      <c r="E102" s="404">
        <f>+E103+E111</f>
        <v>0</v>
      </c>
    </row>
    <row r="103" spans="1:5" ht="12" customHeight="1" thickBot="1">
      <c r="A103" s="393" t="s">
        <v>159</v>
      </c>
      <c r="B103" s="546" t="s">
        <v>505</v>
      </c>
      <c r="C103" s="573">
        <f>+C104+C105+C106+C107+C108+C109+C110</f>
        <v>0</v>
      </c>
      <c r="D103" s="573">
        <f>+D104+D105+D106+D107+D108+D109+D110</f>
        <v>0</v>
      </c>
      <c r="E103" s="404">
        <f>+E104+E105+E106+E107+E108+E109+E110</f>
        <v>0</v>
      </c>
    </row>
    <row r="104" spans="1:5" ht="12" customHeight="1">
      <c r="A104" s="394" t="s">
        <v>162</v>
      </c>
      <c r="B104" s="395" t="s">
        <v>423</v>
      </c>
      <c r="C104" s="597"/>
      <c r="D104" s="597"/>
      <c r="E104" s="427"/>
    </row>
    <row r="105" spans="1:5" ht="12" customHeight="1">
      <c r="A105" s="387" t="s">
        <v>163</v>
      </c>
      <c r="B105" s="382" t="s">
        <v>424</v>
      </c>
      <c r="C105" s="598"/>
      <c r="D105" s="598"/>
      <c r="E105" s="428"/>
    </row>
    <row r="106" spans="1:5" ht="12" customHeight="1">
      <c r="A106" s="387" t="s">
        <v>164</v>
      </c>
      <c r="B106" s="382" t="s">
        <v>425</v>
      </c>
      <c r="C106" s="598"/>
      <c r="D106" s="598"/>
      <c r="E106" s="428"/>
    </row>
    <row r="107" spans="1:5" ht="12" customHeight="1">
      <c r="A107" s="387" t="s">
        <v>165</v>
      </c>
      <c r="B107" s="382" t="s">
        <v>426</v>
      </c>
      <c r="C107" s="598"/>
      <c r="D107" s="598"/>
      <c r="E107" s="428"/>
    </row>
    <row r="108" spans="1:5" ht="12" customHeight="1">
      <c r="A108" s="387" t="s">
        <v>288</v>
      </c>
      <c r="B108" s="382" t="s">
        <v>427</v>
      </c>
      <c r="C108" s="598"/>
      <c r="D108" s="598"/>
      <c r="E108" s="428"/>
    </row>
    <row r="109" spans="1:5" ht="12" customHeight="1">
      <c r="A109" s="387" t="s">
        <v>306</v>
      </c>
      <c r="B109" s="382" t="s">
        <v>428</v>
      </c>
      <c r="C109" s="598"/>
      <c r="D109" s="598"/>
      <c r="E109" s="428"/>
    </row>
    <row r="110" spans="1:5" ht="12" customHeight="1" thickBot="1">
      <c r="A110" s="396" t="s">
        <v>307</v>
      </c>
      <c r="B110" s="397" t="s">
        <v>429</v>
      </c>
      <c r="C110" s="599"/>
      <c r="D110" s="599"/>
      <c r="E110" s="429"/>
    </row>
    <row r="111" spans="1:5" ht="12" customHeight="1" thickBot="1">
      <c r="A111" s="393" t="s">
        <v>160</v>
      </c>
      <c r="B111" s="546" t="s">
        <v>506</v>
      </c>
      <c r="C111" s="573">
        <f>+C112+C113+C114+C115+C116+C117+C118+C119</f>
        <v>0</v>
      </c>
      <c r="D111" s="573">
        <f>+D112+D113+D114+D115+D116+D117+D118+D119</f>
        <v>0</v>
      </c>
      <c r="E111" s="404">
        <f>+E112+E113+E114+E115+E116+E117+E118+E119</f>
        <v>0</v>
      </c>
    </row>
    <row r="112" spans="1:5" ht="12" customHeight="1">
      <c r="A112" s="394" t="s">
        <v>168</v>
      </c>
      <c r="B112" s="395" t="s">
        <v>423</v>
      </c>
      <c r="C112" s="597"/>
      <c r="D112" s="597"/>
      <c r="E112" s="427"/>
    </row>
    <row r="113" spans="1:5" ht="12" customHeight="1">
      <c r="A113" s="387" t="s">
        <v>169</v>
      </c>
      <c r="B113" s="382" t="s">
        <v>430</v>
      </c>
      <c r="C113" s="598"/>
      <c r="D113" s="598"/>
      <c r="E113" s="428"/>
    </row>
    <row r="114" spans="1:5" ht="12" customHeight="1">
      <c r="A114" s="387" t="s">
        <v>170</v>
      </c>
      <c r="B114" s="382" t="s">
        <v>425</v>
      </c>
      <c r="C114" s="598"/>
      <c r="D114" s="598"/>
      <c r="E114" s="428"/>
    </row>
    <row r="115" spans="1:5" ht="12" customHeight="1">
      <c r="A115" s="387" t="s">
        <v>171</v>
      </c>
      <c r="B115" s="382" t="s">
        <v>426</v>
      </c>
      <c r="C115" s="598"/>
      <c r="D115" s="598"/>
      <c r="E115" s="428"/>
    </row>
    <row r="116" spans="1:5" ht="12" customHeight="1">
      <c r="A116" s="387" t="s">
        <v>289</v>
      </c>
      <c r="B116" s="382" t="s">
        <v>427</v>
      </c>
      <c r="C116" s="598"/>
      <c r="D116" s="598"/>
      <c r="E116" s="428"/>
    </row>
    <row r="117" spans="1:5" ht="12" customHeight="1">
      <c r="A117" s="387" t="s">
        <v>308</v>
      </c>
      <c r="B117" s="382" t="s">
        <v>431</v>
      </c>
      <c r="C117" s="598"/>
      <c r="D117" s="598"/>
      <c r="E117" s="428"/>
    </row>
    <row r="118" spans="1:5" ht="12" customHeight="1">
      <c r="A118" s="387" t="s">
        <v>309</v>
      </c>
      <c r="B118" s="382" t="s">
        <v>429</v>
      </c>
      <c r="C118" s="598"/>
      <c r="D118" s="598"/>
      <c r="E118" s="428"/>
    </row>
    <row r="119" spans="1:5" ht="12" customHeight="1" thickBot="1">
      <c r="A119" s="396" t="s">
        <v>310</v>
      </c>
      <c r="B119" s="397" t="s">
        <v>507</v>
      </c>
      <c r="C119" s="599"/>
      <c r="D119" s="599"/>
      <c r="E119" s="429"/>
    </row>
    <row r="120" spans="1:5" ht="12" customHeight="1" thickBot="1">
      <c r="A120" s="386" t="s">
        <v>80</v>
      </c>
      <c r="B120" s="542" t="s">
        <v>432</v>
      </c>
      <c r="C120" s="600">
        <f>+C101+C102</f>
        <v>0</v>
      </c>
      <c r="D120" s="600">
        <f>+D101+D102</f>
        <v>0</v>
      </c>
      <c r="E120" s="421">
        <f>+E101+E102</f>
        <v>0</v>
      </c>
    </row>
    <row r="121" spans="1:5" ht="12" customHeight="1" thickBot="1">
      <c r="A121" s="386" t="s">
        <v>81</v>
      </c>
      <c r="B121" s="542" t="s">
        <v>433</v>
      </c>
      <c r="C121" s="601"/>
      <c r="D121" s="601"/>
      <c r="E121" s="422"/>
    </row>
    <row r="122" spans="1:5" ht="12" customHeight="1" thickBot="1">
      <c r="A122" s="398" t="s">
        <v>82</v>
      </c>
      <c r="B122" s="543" t="s">
        <v>434</v>
      </c>
      <c r="C122" s="592">
        <f>+C120+C121</f>
        <v>0</v>
      </c>
      <c r="D122" s="592">
        <f>+D120+D121</f>
        <v>0</v>
      </c>
      <c r="E122" s="415">
        <f>+E120+E121</f>
        <v>0</v>
      </c>
    </row>
    <row r="123" ht="12" customHeight="1">
      <c r="C123" s="554"/>
    </row>
    <row r="124" ht="12" customHeight="1">
      <c r="C124" s="554"/>
    </row>
    <row r="125" ht="12" customHeight="1">
      <c r="C125" s="554"/>
    </row>
    <row r="126" ht="12" customHeight="1">
      <c r="C126" s="554"/>
    </row>
    <row r="127" ht="12" customHeight="1">
      <c r="C127" s="554"/>
    </row>
    <row r="128" spans="3:6" ht="15" customHeight="1">
      <c r="C128" s="148"/>
      <c r="D128" s="148"/>
      <c r="E128" s="148"/>
      <c r="F128" s="148"/>
    </row>
    <row r="129" s="1" customFormat="1" ht="12.75" customHeight="1"/>
    <row r="130" ht="15.75">
      <c r="C130" s="554"/>
    </row>
    <row r="131" ht="15.75">
      <c r="C131" s="554"/>
    </row>
    <row r="132" ht="15.75">
      <c r="C132" s="554"/>
    </row>
    <row r="133" ht="16.5" customHeight="1">
      <c r="C133" s="554"/>
    </row>
    <row r="134" ht="15.75">
      <c r="C134" s="554"/>
    </row>
    <row r="135" ht="15.75">
      <c r="C135" s="554"/>
    </row>
    <row r="136" ht="15.75">
      <c r="C136" s="554"/>
    </row>
    <row r="137" ht="15.75">
      <c r="C137" s="554"/>
    </row>
    <row r="138" ht="15.75">
      <c r="C138" s="554"/>
    </row>
    <row r="139" ht="15.75">
      <c r="C139" s="554"/>
    </row>
    <row r="140" ht="15.75">
      <c r="C140" s="554"/>
    </row>
    <row r="141" ht="15.75">
      <c r="C141" s="554"/>
    </row>
    <row r="142" ht="15.75">
      <c r="C142" s="554"/>
    </row>
  </sheetData>
  <sheetProtection sheet="1"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............................. Önkormányzat
2012. ÉVI KÖLTSÉGVETÉSÉNEK MÉRLEGE&amp;R&amp;"Times New Roman CE,Félkövér dőlt"&amp;11 1.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28">
      <selection activeCell="D62" sqref="D62"/>
    </sheetView>
  </sheetViews>
  <sheetFormatPr defaultColWidth="9.00390625" defaultRowHeight="12.75"/>
  <cols>
    <col min="1" max="1" width="85.625" style="622" customWidth="1"/>
    <col min="2" max="2" width="16.125" style="622" customWidth="1"/>
    <col min="3" max="3" width="10.625" style="622" customWidth="1"/>
    <col min="4" max="4" width="89.375" style="622" customWidth="1"/>
    <col min="5" max="5" width="16.375" style="622" customWidth="1"/>
    <col min="6" max="6" width="10.625" style="622" customWidth="1"/>
    <col min="7" max="16384" width="9.375" style="622" customWidth="1"/>
  </cols>
  <sheetData>
    <row r="1" ht="3.75" customHeight="1"/>
    <row r="2" spans="1:5" ht="18.75">
      <c r="A2" s="1376" t="s">
        <v>899</v>
      </c>
      <c r="B2" s="1377"/>
      <c r="C2" s="1377"/>
      <c r="D2" s="1377"/>
      <c r="E2" s="947" t="s">
        <v>900</v>
      </c>
    </row>
    <row r="3" ht="19.5" customHeight="1">
      <c r="E3" s="948" t="s">
        <v>872</v>
      </c>
    </row>
    <row r="4" spans="1:5" ht="15.75">
      <c r="A4" s="949" t="s">
        <v>901</v>
      </c>
      <c r="B4" s="949"/>
      <c r="C4" s="625"/>
      <c r="D4" s="949" t="s">
        <v>902</v>
      </c>
      <c r="E4" s="950"/>
    </row>
    <row r="5" spans="1:5" ht="12.75">
      <c r="A5" s="951" t="s">
        <v>128</v>
      </c>
      <c r="B5" s="952" t="s">
        <v>903</v>
      </c>
      <c r="C5" s="953"/>
      <c r="D5" s="951" t="s">
        <v>128</v>
      </c>
      <c r="E5" s="952" t="s">
        <v>903</v>
      </c>
    </row>
    <row r="6" spans="1:5" ht="12.75">
      <c r="A6" s="951" t="s">
        <v>904</v>
      </c>
      <c r="B6" s="954">
        <f>B56</f>
        <v>8265062</v>
      </c>
      <c r="C6" s="953"/>
      <c r="D6" s="951" t="s">
        <v>905</v>
      </c>
      <c r="E6" s="954">
        <f>E56</f>
        <v>8713824</v>
      </c>
    </row>
    <row r="7" spans="1:5" ht="12.75">
      <c r="A7" s="951" t="s">
        <v>906</v>
      </c>
      <c r="B7" s="955">
        <f>B27</f>
        <v>8211172</v>
      </c>
      <c r="D7" s="951" t="s">
        <v>907</v>
      </c>
      <c r="E7" s="955">
        <f>E27</f>
        <v>8316892</v>
      </c>
    </row>
    <row r="8" spans="1:5" ht="12.75">
      <c r="A8" s="951"/>
      <c r="B8" s="955"/>
      <c r="D8" s="951"/>
      <c r="E8" s="955"/>
    </row>
    <row r="9" spans="1:5" ht="12.75">
      <c r="A9" s="951" t="s">
        <v>908</v>
      </c>
      <c r="B9" s="954">
        <f>SUM(B10:B16)</f>
        <v>6468700</v>
      </c>
      <c r="D9" s="951" t="s">
        <v>908</v>
      </c>
      <c r="E9" s="954">
        <f>SUM(E10:E15)</f>
        <v>5479581</v>
      </c>
    </row>
    <row r="10" spans="1:5" ht="12.75">
      <c r="A10" s="950" t="s">
        <v>910</v>
      </c>
      <c r="B10" s="955">
        <f>4!C6</f>
        <v>2734000</v>
      </c>
      <c r="D10" s="950" t="s">
        <v>217</v>
      </c>
      <c r="E10" s="955">
        <f>4!C77</f>
        <v>1370533</v>
      </c>
    </row>
    <row r="11" spans="1:5" ht="12.75">
      <c r="A11" s="950" t="s">
        <v>116</v>
      </c>
      <c r="B11" s="955">
        <f>4!C11</f>
        <v>1403535</v>
      </c>
      <c r="D11" s="950" t="s">
        <v>909</v>
      </c>
      <c r="E11" s="955">
        <f>4!C78</f>
        <v>358617</v>
      </c>
    </row>
    <row r="12" spans="1:5" ht="12.75">
      <c r="A12" s="950" t="s">
        <v>118</v>
      </c>
      <c r="B12" s="955">
        <f>4!C20</f>
        <v>95000</v>
      </c>
      <c r="D12" s="950" t="s">
        <v>911</v>
      </c>
      <c r="E12" s="955">
        <f>4!C79</f>
        <v>3024155</v>
      </c>
    </row>
    <row r="13" spans="1:5" ht="12.75">
      <c r="A13" s="950" t="s">
        <v>779</v>
      </c>
      <c r="B13" s="955">
        <f>4!C21</f>
        <v>1658186</v>
      </c>
      <c r="D13" s="950" t="s">
        <v>912</v>
      </c>
      <c r="E13" s="955">
        <f>4!C80</f>
        <v>6000</v>
      </c>
    </row>
    <row r="14" spans="1:5" ht="12.75">
      <c r="A14" s="950" t="s">
        <v>23</v>
      </c>
      <c r="B14" s="955">
        <f>4!C33</f>
        <v>469698</v>
      </c>
      <c r="D14" s="950" t="s">
        <v>300</v>
      </c>
      <c r="E14" s="955">
        <f>4!C81</f>
        <v>720276</v>
      </c>
    </row>
    <row r="15" spans="1:5" ht="12.75">
      <c r="A15" s="950" t="s">
        <v>216</v>
      </c>
      <c r="B15" s="955">
        <f>4!C46</f>
        <v>108281</v>
      </c>
      <c r="D15" s="950"/>
      <c r="E15" s="955"/>
    </row>
    <row r="16" spans="1:5" ht="12.75">
      <c r="A16" s="950"/>
      <c r="B16" s="955"/>
      <c r="C16" s="953"/>
      <c r="D16" s="950"/>
      <c r="E16" s="950"/>
    </row>
    <row r="17" spans="1:5" ht="12.75">
      <c r="A17" s="951" t="s">
        <v>914</v>
      </c>
      <c r="B17" s="954">
        <f>B18+B22+B23+B24+B25</f>
        <v>1742472</v>
      </c>
      <c r="D17" s="951" t="s">
        <v>914</v>
      </c>
      <c r="E17" s="954">
        <f>SUM(E18:E26)</f>
        <v>2837311</v>
      </c>
    </row>
    <row r="18" spans="1:5" ht="12.75">
      <c r="A18" s="950" t="s">
        <v>61</v>
      </c>
      <c r="B18" s="955">
        <f>B19+B20+B21</f>
        <v>802109</v>
      </c>
      <c r="D18" s="950" t="s">
        <v>915</v>
      </c>
      <c r="E18" s="955">
        <f>4!C90</f>
        <v>1713624</v>
      </c>
    </row>
    <row r="19" spans="1:9" ht="12.75">
      <c r="A19" s="956" t="s">
        <v>916</v>
      </c>
      <c r="B19" s="955">
        <f>4!C49</f>
        <v>752000</v>
      </c>
      <c r="D19" s="950" t="s">
        <v>302</v>
      </c>
      <c r="E19" s="955">
        <f>4!C91</f>
        <v>458211</v>
      </c>
      <c r="I19" s="957"/>
    </row>
    <row r="20" spans="1:9" ht="12.75">
      <c r="A20" s="956" t="s">
        <v>917</v>
      </c>
      <c r="B20" s="955">
        <f>4!C50</f>
        <v>43750</v>
      </c>
      <c r="D20" s="950" t="s">
        <v>441</v>
      </c>
      <c r="E20" s="955">
        <f>4!C92</f>
        <v>0</v>
      </c>
      <c r="I20" s="957"/>
    </row>
    <row r="21" spans="1:9" ht="12.75">
      <c r="A21" s="956" t="s">
        <v>918</v>
      </c>
      <c r="B21" s="955">
        <f>4!C52</f>
        <v>6359</v>
      </c>
      <c r="D21" s="950" t="str">
        <f>4!B98</f>
        <v>- EU-s forrásból finanszírozott támogatással megvalósuló programok, projektek kiadásai</v>
      </c>
      <c r="E21" s="955">
        <f>4!C98</f>
        <v>610739</v>
      </c>
      <c r="I21" s="957"/>
    </row>
    <row r="22" spans="1:9" ht="25.5">
      <c r="A22" s="950" t="s">
        <v>25</v>
      </c>
      <c r="B22" s="955">
        <f>4!C39</f>
        <v>929863</v>
      </c>
      <c r="D22" s="1004" t="str">
        <f>4!B99</f>
        <v>- EU-s forrásból finanszírozott támogatással megvalósuló  programok,  projektek önkormányzati
  hozzájárulásának kiadásai</v>
      </c>
      <c r="E22" s="955">
        <f>4!C99</f>
        <v>54737</v>
      </c>
      <c r="I22" s="958"/>
    </row>
    <row r="23" spans="1:9" ht="12.75">
      <c r="A23" s="950" t="s">
        <v>4</v>
      </c>
      <c r="B23" s="955">
        <f>4!C47</f>
        <v>4500</v>
      </c>
      <c r="D23" s="950"/>
      <c r="E23" s="955"/>
      <c r="I23" s="958"/>
    </row>
    <row r="24" spans="1:5" ht="12.75">
      <c r="A24" s="950" t="s">
        <v>913</v>
      </c>
      <c r="B24" s="955">
        <f>4!C53</f>
        <v>6000</v>
      </c>
      <c r="D24" s="950"/>
      <c r="E24" s="955"/>
    </row>
    <row r="25" spans="1:5" ht="12.75">
      <c r="A25" s="959"/>
      <c r="B25" s="955"/>
      <c r="D25" s="950"/>
      <c r="E25" s="950"/>
    </row>
    <row r="26" spans="2:5" ht="12.75" hidden="1">
      <c r="B26" s="950"/>
      <c r="D26" s="950"/>
      <c r="E26" s="955"/>
    </row>
    <row r="27" spans="1:5" s="962" customFormat="1" ht="19.5" customHeight="1">
      <c r="A27" s="960" t="s">
        <v>919</v>
      </c>
      <c r="B27" s="961">
        <f>B17+B9</f>
        <v>8211172</v>
      </c>
      <c r="D27" s="960" t="s">
        <v>920</v>
      </c>
      <c r="E27" s="961">
        <f>E9+E17</f>
        <v>8316892</v>
      </c>
    </row>
    <row r="28" spans="1:5" ht="12.75" customHeight="1">
      <c r="A28" s="950"/>
      <c r="B28" s="955"/>
      <c r="D28" s="950"/>
      <c r="E28" s="950"/>
    </row>
    <row r="29" spans="1:5" ht="12.75">
      <c r="A29" s="951" t="s">
        <v>921</v>
      </c>
      <c r="B29" s="954">
        <v>0</v>
      </c>
      <c r="D29" s="951" t="s">
        <v>922</v>
      </c>
      <c r="E29" s="954">
        <f>E30+E33</f>
        <v>396932</v>
      </c>
    </row>
    <row r="30" spans="1:5" ht="12.75">
      <c r="A30" s="950"/>
      <c r="B30" s="950"/>
      <c r="D30" s="951" t="s">
        <v>923</v>
      </c>
      <c r="E30" s="954">
        <f>E31+E32</f>
        <v>396932</v>
      </c>
    </row>
    <row r="31" spans="1:5" ht="12.75">
      <c r="A31" s="950"/>
      <c r="B31" s="950"/>
      <c r="D31" s="950" t="s">
        <v>121</v>
      </c>
      <c r="E31" s="955">
        <f>'17'!C62</f>
        <v>396932</v>
      </c>
    </row>
    <row r="32" spans="1:5" ht="12.75">
      <c r="A32" s="950"/>
      <c r="B32" s="950"/>
      <c r="D32" s="950" t="s">
        <v>122</v>
      </c>
      <c r="E32" s="955">
        <f>'17'!G34</f>
        <v>0</v>
      </c>
    </row>
    <row r="33" spans="1:5" ht="12.75">
      <c r="A33" s="950"/>
      <c r="B33" s="950"/>
      <c r="D33" s="951" t="s">
        <v>924</v>
      </c>
      <c r="E33" s="954">
        <f>E34</f>
        <v>0</v>
      </c>
    </row>
    <row r="34" spans="1:5" ht="12.75">
      <c r="A34" s="950"/>
      <c r="B34" s="950"/>
      <c r="D34" s="950" t="s">
        <v>925</v>
      </c>
      <c r="E34" s="955">
        <f>'17'!G11</f>
        <v>0</v>
      </c>
    </row>
    <row r="35" spans="1:5" ht="12.75">
      <c r="A35" s="950"/>
      <c r="B35" s="950"/>
      <c r="D35" s="950"/>
      <c r="E35" s="955"/>
    </row>
    <row r="36" spans="1:5" s="962" customFormat="1" ht="21" customHeight="1">
      <c r="A36" s="960" t="s">
        <v>926</v>
      </c>
      <c r="B36" s="961">
        <f>B27+B29</f>
        <v>8211172</v>
      </c>
      <c r="D36" s="960" t="s">
        <v>927</v>
      </c>
      <c r="E36" s="961">
        <f>E27+E29</f>
        <v>8713824</v>
      </c>
    </row>
    <row r="37" spans="1:5" ht="12.75" customHeight="1">
      <c r="A37" s="950"/>
      <c r="B37" s="950"/>
      <c r="D37" s="950"/>
      <c r="E37" s="950"/>
    </row>
    <row r="38" spans="1:5" ht="12.75" customHeight="1">
      <c r="A38" s="951" t="s">
        <v>975</v>
      </c>
      <c r="B38" s="954">
        <f>B39+B46</f>
        <v>53890</v>
      </c>
      <c r="D38" s="951" t="s">
        <v>987</v>
      </c>
      <c r="E38" s="954">
        <f>E39+E47</f>
        <v>567619</v>
      </c>
    </row>
    <row r="39" spans="1:5" ht="12.75" customHeight="1">
      <c r="A39" s="951" t="s">
        <v>976</v>
      </c>
      <c r="B39" s="954">
        <f>B40+B41+B42+B43+B44</f>
        <v>53890</v>
      </c>
      <c r="D39" s="951" t="s">
        <v>19</v>
      </c>
      <c r="E39" s="954">
        <f>E40+E41+E42+E43+E44+E45+E46</f>
        <v>0</v>
      </c>
    </row>
    <row r="40" spans="1:5" ht="12.75" customHeight="1">
      <c r="A40" s="950" t="str">
        <f>4!B57</f>
        <v>   Költségvetési maradvány igénybevétele </v>
      </c>
      <c r="B40" s="950">
        <f>4!C57</f>
        <v>53890</v>
      </c>
      <c r="D40" s="950" t="str">
        <f>4!B107</f>
        <v>   Értékpapír vásárlása, visszavásárlása</v>
      </c>
      <c r="E40" s="955">
        <f>4!C107</f>
        <v>0</v>
      </c>
    </row>
    <row r="41" spans="1:5" ht="12" customHeight="1">
      <c r="A41" s="950" t="str">
        <f>4!B58</f>
        <v>   Vállalkozási maradvány igénybevétele </v>
      </c>
      <c r="B41" s="950">
        <f>4!C58</f>
        <v>0</v>
      </c>
      <c r="D41" s="950" t="str">
        <f>4!B108</f>
        <v>   Likviditási hitelek törlesztése</v>
      </c>
      <c r="E41" s="955">
        <f>4!C108</f>
        <v>0</v>
      </c>
    </row>
    <row r="42" spans="1:5" ht="12.75">
      <c r="A42" s="950" t="str">
        <f>4!B59</f>
        <v>   Betét visszavonásából származó bevétel</v>
      </c>
      <c r="B42" s="950">
        <f>4!C59</f>
        <v>0</v>
      </c>
      <c r="D42" s="950" t="str">
        <f>4!B109</f>
        <v>   Rövid lejáratú hitelek törlesztése</v>
      </c>
      <c r="E42" s="955">
        <f>4!C109</f>
        <v>0</v>
      </c>
    </row>
    <row r="43" spans="1:5" ht="12.75">
      <c r="A43" s="950" t="str">
        <f>4!B60</f>
        <v>   Értékpapír értékesítése</v>
      </c>
      <c r="B43" s="950">
        <f>4!C60</f>
        <v>0</v>
      </c>
      <c r="D43" s="950" t="str">
        <f>4!B110</f>
        <v>   Hosszú lejáratú hitelek törlesztése</v>
      </c>
      <c r="E43" s="955">
        <f>4!C110</f>
        <v>0</v>
      </c>
    </row>
    <row r="44" spans="1:5" ht="12.75">
      <c r="A44" s="950" t="str">
        <f>4!B61</f>
        <v>   Egyéb belső finanszírozási bevétek</v>
      </c>
      <c r="B44" s="950">
        <f>4!C61</f>
        <v>0</v>
      </c>
      <c r="D44" s="950" t="str">
        <f>4!B111</f>
        <v>   Kölcsön törlesztése</v>
      </c>
      <c r="E44" s="955">
        <f>4!C111</f>
        <v>0</v>
      </c>
    </row>
    <row r="45" spans="1:5" ht="12.75">
      <c r="A45" s="950"/>
      <c r="B45" s="950"/>
      <c r="C45" s="953"/>
      <c r="D45" s="950" t="str">
        <f>4!B112</f>
        <v>   Forgatási célú belföldi, külföldi értékpapírok vásárlása</v>
      </c>
      <c r="E45" s="955">
        <f>4!C112</f>
        <v>0</v>
      </c>
    </row>
    <row r="46" spans="1:5" ht="12.75">
      <c r="A46" s="951" t="s">
        <v>977</v>
      </c>
      <c r="B46" s="954">
        <f>B47+B48+B49+B50+B51</f>
        <v>0</v>
      </c>
      <c r="D46" s="950" t="str">
        <f>4!B113</f>
        <v>   Betét elhelyezése</v>
      </c>
      <c r="E46" s="955">
        <f>4!C113</f>
        <v>0</v>
      </c>
    </row>
    <row r="47" spans="1:5" ht="12.75">
      <c r="A47" s="950" t="str">
        <f>4!B63</f>
        <v>   Hosszú lejáratú hitelek, kölcsönök felvétele </v>
      </c>
      <c r="B47" s="955">
        <f>4!C63</f>
        <v>0</v>
      </c>
      <c r="D47" s="951" t="s">
        <v>988</v>
      </c>
      <c r="E47" s="954">
        <f>E48+E49+E50+E51+E52+E53+E54+E55</f>
        <v>567619</v>
      </c>
    </row>
    <row r="48" spans="1:5" ht="12.75">
      <c r="A48" s="950" t="str">
        <f>4!B64</f>
        <v>   Likviditási célú hitelek, kölcsönök felvétele </v>
      </c>
      <c r="B48" s="955">
        <f>4!C64</f>
        <v>0</v>
      </c>
      <c r="D48" s="950" t="str">
        <f>4!B115</f>
        <v>   Értékpapír vásárlása, visszavásárlása</v>
      </c>
      <c r="E48" s="955">
        <f>4!C115</f>
        <v>0</v>
      </c>
    </row>
    <row r="49" spans="1:5" ht="12.75">
      <c r="A49" s="950" t="str">
        <f>4!B65</f>
        <v>   Rövid lejáratú hitelek, kölcsönök felvétele</v>
      </c>
      <c r="B49" s="955">
        <f>4!C65</f>
        <v>0</v>
      </c>
      <c r="D49" s="950" t="str">
        <f>4!B116</f>
        <v>   Hitelek törlesztése (kötvény törlesztés)</v>
      </c>
      <c r="E49" s="955">
        <f>4!C116</f>
        <v>567619</v>
      </c>
    </row>
    <row r="50" spans="1:5" ht="12.75">
      <c r="A50" s="950" t="str">
        <f>4!B66</f>
        <v>   Értékpapírok kibocsátása </v>
      </c>
      <c r="B50" s="955">
        <f>4!C66</f>
        <v>0</v>
      </c>
      <c r="D50" s="950" t="str">
        <f>4!B117</f>
        <v>   Rövid lejáratú hitelek törlesztése</v>
      </c>
      <c r="E50" s="955">
        <f>4!C117</f>
        <v>0</v>
      </c>
    </row>
    <row r="51" spans="1:5" ht="12.75">
      <c r="A51" s="950" t="str">
        <f>4!B67</f>
        <v>   Egyéb külső finanszírozási bevételek</v>
      </c>
      <c r="B51" s="955">
        <f>4!C67</f>
        <v>0</v>
      </c>
      <c r="D51" s="950" t="str">
        <f>4!B118</f>
        <v>   Hosszú lejáratú hitelek törlesztése</v>
      </c>
      <c r="E51" s="955">
        <f>4!C118</f>
        <v>0</v>
      </c>
    </row>
    <row r="52" spans="1:5" ht="12.75">
      <c r="A52" s="950"/>
      <c r="B52" s="955"/>
      <c r="D52" s="950" t="str">
        <f>4!B119</f>
        <v>   Kölcsön törlesztése</v>
      </c>
      <c r="E52" s="955">
        <f>4!C119</f>
        <v>0</v>
      </c>
    </row>
    <row r="53" spans="1:5" ht="12.75">
      <c r="A53" s="950"/>
      <c r="B53" s="955"/>
      <c r="D53" s="950" t="str">
        <f>4!B120</f>
        <v>   Befektetési célú belföldi, külföldi értékpapírok vásárlása</v>
      </c>
      <c r="E53" s="955">
        <f>4!C120</f>
        <v>0</v>
      </c>
    </row>
    <row r="54" spans="1:5" ht="12.75">
      <c r="A54" s="950"/>
      <c r="B54" s="955"/>
      <c r="D54" s="950" t="str">
        <f>4!B121</f>
        <v>   Betét elhelyezése</v>
      </c>
      <c r="E54" s="955">
        <f>4!C121</f>
        <v>0</v>
      </c>
    </row>
    <row r="55" spans="1:5" ht="12.75">
      <c r="A55" s="950"/>
      <c r="B55" s="955"/>
      <c r="D55" s="950" t="str">
        <f>4!B122</f>
        <v>   Pénzügyi lízing tőkerész törlesztés kiadása</v>
      </c>
      <c r="E55" s="955">
        <f>4!C122</f>
        <v>0</v>
      </c>
    </row>
    <row r="56" spans="1:5" ht="12.75">
      <c r="A56" s="963" t="s">
        <v>928</v>
      </c>
      <c r="B56" s="964">
        <f>B36+B38</f>
        <v>8265062</v>
      </c>
      <c r="D56" s="963" t="s">
        <v>929</v>
      </c>
      <c r="E56" s="964">
        <f>E36+E42</f>
        <v>8713824</v>
      </c>
    </row>
    <row r="57" spans="1:5" ht="12.75">
      <c r="A57" s="950" t="s">
        <v>930</v>
      </c>
      <c r="B57" s="955">
        <f>B9+B43+B47</f>
        <v>6468700</v>
      </c>
      <c r="D57" s="950" t="s">
        <v>931</v>
      </c>
      <c r="E57" s="955">
        <f>E9+E30+E44</f>
        <v>5876513</v>
      </c>
    </row>
    <row r="58" spans="1:5" ht="12.75">
      <c r="A58" s="950" t="s">
        <v>932</v>
      </c>
      <c r="B58" s="955">
        <f>B17+B44+B48+B50</f>
        <v>1742472</v>
      </c>
      <c r="D58" s="950" t="s">
        <v>933</v>
      </c>
      <c r="E58" s="955">
        <f>E17+E33+E45</f>
        <v>2837311</v>
      </c>
    </row>
    <row r="66" spans="3:5" ht="12.75">
      <c r="C66" s="958"/>
      <c r="D66" s="958"/>
      <c r="E66" s="958"/>
    </row>
    <row r="67" ht="12.75">
      <c r="C67" s="958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8">
      <selection activeCell="F70" sqref="F70"/>
    </sheetView>
  </sheetViews>
  <sheetFormatPr defaultColWidth="9.00390625" defaultRowHeight="12.75"/>
  <cols>
    <col min="1" max="1" width="9.375" style="981" customWidth="1"/>
    <col min="2" max="2" width="48.00390625" style="972" customWidth="1"/>
    <col min="3" max="4" width="13.125" style="972" customWidth="1"/>
    <col min="5" max="5" width="11.125" style="972" customWidth="1"/>
    <col min="6" max="6" width="51.50390625" style="972" customWidth="1"/>
    <col min="7" max="7" width="13.50390625" style="972" customWidth="1"/>
    <col min="8" max="8" width="11.00390625" style="972" customWidth="1"/>
    <col min="9" max="16384" width="9.375" style="972" customWidth="1"/>
  </cols>
  <sheetData>
    <row r="1" spans="6:8" ht="12.75">
      <c r="F1" s="1370" t="s">
        <v>1178</v>
      </c>
      <c r="G1" s="1370"/>
      <c r="H1" s="1370"/>
    </row>
    <row r="2" ht="12" thickBot="1"/>
    <row r="3" spans="1:8" s="965" customFormat="1" ht="13.5" customHeight="1">
      <c r="A3" s="1378" t="s">
        <v>692</v>
      </c>
      <c r="B3" s="1379"/>
      <c r="C3" s="997" t="s">
        <v>934</v>
      </c>
      <c r="D3" s="998"/>
      <c r="E3" s="1380" t="s">
        <v>122</v>
      </c>
      <c r="F3" s="1381"/>
      <c r="G3" s="997" t="s">
        <v>934</v>
      </c>
      <c r="H3" s="998"/>
    </row>
    <row r="4" spans="1:8" s="971" customFormat="1" ht="12.75" customHeight="1">
      <c r="A4" s="966"/>
      <c r="B4" s="967"/>
      <c r="C4" s="968" t="s">
        <v>935</v>
      </c>
      <c r="D4" s="969" t="s">
        <v>936</v>
      </c>
      <c r="E4" s="966"/>
      <c r="F4" s="970"/>
      <c r="G4" s="968" t="s">
        <v>935</v>
      </c>
      <c r="H4" s="969" t="s">
        <v>936</v>
      </c>
    </row>
    <row r="5" spans="1:8" ht="12.75" customHeight="1">
      <c r="A5" s="1141"/>
      <c r="B5" s="1039"/>
      <c r="C5" s="1142">
        <v>249100</v>
      </c>
      <c r="D5" s="1143"/>
      <c r="E5" s="1150" t="s">
        <v>937</v>
      </c>
      <c r="F5" s="1151"/>
      <c r="G5" s="1152"/>
      <c r="H5" s="1153"/>
    </row>
    <row r="6" spans="1:8" ht="12.75" customHeight="1">
      <c r="A6" s="1141" t="s">
        <v>554</v>
      </c>
      <c r="B6" s="1039" t="s">
        <v>1214</v>
      </c>
      <c r="C6" s="1142">
        <v>251</v>
      </c>
      <c r="D6" s="1143"/>
      <c r="E6" s="1154"/>
      <c r="F6" s="652"/>
      <c r="G6" s="654"/>
      <c r="H6" s="1155"/>
    </row>
    <row r="7" spans="1:8" ht="12.75" customHeight="1">
      <c r="A7" s="1141"/>
      <c r="B7" s="1039" t="s">
        <v>1237</v>
      </c>
      <c r="C7" s="1142"/>
      <c r="D7" s="1143">
        <v>500</v>
      </c>
      <c r="E7" s="1144"/>
      <c r="F7" s="652"/>
      <c r="G7" s="654"/>
      <c r="H7" s="1016"/>
    </row>
    <row r="8" spans="1:8" ht="12.75" customHeight="1">
      <c r="A8" s="1141"/>
      <c r="B8" s="1052" t="s">
        <v>1215</v>
      </c>
      <c r="C8" s="1142">
        <v>15028</v>
      </c>
      <c r="D8" s="1143"/>
      <c r="E8" s="1141"/>
      <c r="F8" s="652"/>
      <c r="G8" s="654"/>
      <c r="H8" s="1143"/>
    </row>
    <row r="9" spans="1:8" ht="24">
      <c r="A9" s="1141"/>
      <c r="B9" s="1052" t="s">
        <v>1205</v>
      </c>
      <c r="C9" s="1142"/>
      <c r="D9" s="1143">
        <v>5936</v>
      </c>
      <c r="E9" s="1141"/>
      <c r="F9" s="652"/>
      <c r="G9" s="654"/>
      <c r="H9" s="1143"/>
    </row>
    <row r="10" spans="1:8" ht="24">
      <c r="A10" s="1141"/>
      <c r="B10" s="1052" t="s">
        <v>742</v>
      </c>
      <c r="C10" s="1142">
        <v>2845</v>
      </c>
      <c r="D10" s="1143"/>
      <c r="E10" s="1141"/>
      <c r="F10" s="1142"/>
      <c r="G10" s="1142"/>
      <c r="H10" s="1143"/>
    </row>
    <row r="11" spans="1:8" ht="12.75" customHeight="1">
      <c r="A11" s="1141"/>
      <c r="B11" s="652" t="s">
        <v>1216</v>
      </c>
      <c r="C11" s="1142"/>
      <c r="D11" s="1143">
        <v>2642</v>
      </c>
      <c r="E11" s="1141"/>
      <c r="F11" s="1149" t="s">
        <v>938</v>
      </c>
      <c r="G11" s="657">
        <f>SUM(G6:G10)-SUM(H6:H10)</f>
        <v>0</v>
      </c>
      <c r="H11" s="1156"/>
    </row>
    <row r="12" spans="1:8" ht="12.75" customHeight="1">
      <c r="A12" s="1144"/>
      <c r="B12" s="652" t="s">
        <v>1208</v>
      </c>
      <c r="C12" s="654"/>
      <c r="D12" s="1016">
        <v>1426</v>
      </c>
      <c r="E12" s="1150" t="s">
        <v>939</v>
      </c>
      <c r="F12" s="1152"/>
      <c r="G12" s="1152"/>
      <c r="H12" s="1153"/>
    </row>
    <row r="13" spans="1:8" ht="12.75" customHeight="1">
      <c r="A13" s="1144"/>
      <c r="B13" s="977" t="s">
        <v>1209</v>
      </c>
      <c r="C13" s="654"/>
      <c r="D13" s="1016">
        <v>804</v>
      </c>
      <c r="E13" s="1141"/>
      <c r="F13" s="652" t="s">
        <v>708</v>
      </c>
      <c r="G13" s="654">
        <v>10000</v>
      </c>
      <c r="H13" s="1016"/>
    </row>
    <row r="14" spans="1:8" ht="12.75" customHeight="1">
      <c r="A14" s="1141"/>
      <c r="B14" s="558" t="s">
        <v>1211</v>
      </c>
      <c r="C14" s="1142"/>
      <c r="D14" s="1143">
        <v>2000</v>
      </c>
      <c r="E14" s="1141"/>
      <c r="F14" s="652" t="s">
        <v>995</v>
      </c>
      <c r="G14" s="654">
        <v>11250</v>
      </c>
      <c r="H14" s="1016"/>
    </row>
    <row r="15" spans="1:8" ht="12.75" customHeight="1">
      <c r="A15" s="1141"/>
      <c r="B15" s="558" t="s">
        <v>1212</v>
      </c>
      <c r="C15" s="1142"/>
      <c r="D15" s="1143">
        <v>635</v>
      </c>
      <c r="E15" s="1141" t="s">
        <v>1255</v>
      </c>
      <c r="F15" s="1179" t="s">
        <v>1249</v>
      </c>
      <c r="G15" s="973"/>
      <c r="H15" s="653">
        <v>5000</v>
      </c>
    </row>
    <row r="16" spans="1:8" ht="12.75" customHeight="1">
      <c r="A16" s="1141"/>
      <c r="B16" s="558" t="s">
        <v>1217</v>
      </c>
      <c r="C16" s="1142"/>
      <c r="D16" s="1143">
        <v>891</v>
      </c>
      <c r="E16" s="1141" t="s">
        <v>1317</v>
      </c>
      <c r="F16" s="652" t="s">
        <v>995</v>
      </c>
      <c r="G16" s="654"/>
      <c r="H16" s="1016">
        <v>11250</v>
      </c>
    </row>
    <row r="17" spans="1:8" ht="12.75" customHeight="1">
      <c r="A17" s="1141"/>
      <c r="B17" s="558" t="s">
        <v>1231</v>
      </c>
      <c r="C17" s="1142"/>
      <c r="D17" s="1143">
        <v>3500</v>
      </c>
      <c r="E17" s="1141"/>
      <c r="F17" s="652" t="s">
        <v>1318</v>
      </c>
      <c r="G17" s="654">
        <v>5000</v>
      </c>
      <c r="H17" s="1016"/>
    </row>
    <row r="18" spans="1:8" s="624" customFormat="1" ht="12.75" customHeight="1">
      <c r="A18" s="1144"/>
      <c r="B18" s="976" t="s">
        <v>1236</v>
      </c>
      <c r="C18" s="654">
        <v>33578</v>
      </c>
      <c r="D18" s="1016"/>
      <c r="E18" s="1144"/>
      <c r="F18" s="652" t="s">
        <v>708</v>
      </c>
      <c r="G18" s="654"/>
      <c r="H18" s="1016">
        <v>10000</v>
      </c>
    </row>
    <row r="19" spans="1:8" s="624" customFormat="1" ht="12.75" customHeight="1">
      <c r="A19" s="974" t="s">
        <v>1238</v>
      </c>
      <c r="B19" s="978" t="s">
        <v>1239</v>
      </c>
      <c r="C19" s="973">
        <v>18014</v>
      </c>
      <c r="D19" s="1016"/>
      <c r="E19" s="1144"/>
      <c r="F19" s="652"/>
      <c r="G19" s="652"/>
      <c r="H19" s="1016"/>
    </row>
    <row r="20" spans="1:8" s="624" customFormat="1" ht="12.75" customHeight="1">
      <c r="A20" s="974"/>
      <c r="B20" s="976" t="s">
        <v>1240</v>
      </c>
      <c r="C20" s="973">
        <v>11117</v>
      </c>
      <c r="D20" s="1016"/>
      <c r="E20" s="1144"/>
      <c r="F20" s="652"/>
      <c r="G20" s="652"/>
      <c r="H20" s="1016"/>
    </row>
    <row r="21" spans="1:8" s="624" customFormat="1" ht="12.75" customHeight="1">
      <c r="A21" s="1144" t="s">
        <v>1255</v>
      </c>
      <c r="B21" s="1180" t="s">
        <v>1250</v>
      </c>
      <c r="C21" s="973">
        <v>601</v>
      </c>
      <c r="D21" s="653"/>
      <c r="E21" s="1144"/>
      <c r="F21" s="652"/>
      <c r="G21" s="652"/>
      <c r="H21" s="1016"/>
    </row>
    <row r="22" spans="1:8" s="624" customFormat="1" ht="12.75" customHeight="1">
      <c r="A22" s="1144"/>
      <c r="B22" s="1181" t="s">
        <v>1251</v>
      </c>
      <c r="C22" s="973"/>
      <c r="D22" s="653">
        <v>2578</v>
      </c>
      <c r="E22" s="1144"/>
      <c r="F22" s="652"/>
      <c r="G22" s="654"/>
      <c r="H22" s="1016"/>
    </row>
    <row r="23" spans="1:8" s="624" customFormat="1" ht="12.75" customHeight="1">
      <c r="A23" s="1144"/>
      <c r="B23" s="1181" t="s">
        <v>1252</v>
      </c>
      <c r="C23" s="973"/>
      <c r="D23" s="653">
        <v>69</v>
      </c>
      <c r="E23" s="1144"/>
      <c r="F23" s="652"/>
      <c r="G23" s="654"/>
      <c r="H23" s="1016"/>
    </row>
    <row r="24" spans="1:8" s="624" customFormat="1" ht="12.75" customHeight="1">
      <c r="A24" s="1144"/>
      <c r="B24" s="1181" t="s">
        <v>1253</v>
      </c>
      <c r="C24" s="973"/>
      <c r="D24" s="653">
        <v>3314</v>
      </c>
      <c r="E24" s="1144"/>
      <c r="F24" s="652"/>
      <c r="G24" s="654"/>
      <c r="H24" s="1016"/>
    </row>
    <row r="25" spans="1:8" s="624" customFormat="1" ht="12.75" customHeight="1">
      <c r="A25" s="1144"/>
      <c r="B25" s="1181" t="s">
        <v>1254</v>
      </c>
      <c r="C25" s="973">
        <v>1983</v>
      </c>
      <c r="D25" s="653"/>
      <c r="E25" s="1144"/>
      <c r="F25" s="652"/>
      <c r="G25" s="654"/>
      <c r="H25" s="1016"/>
    </row>
    <row r="26" spans="1:8" s="624" customFormat="1" ht="12.75" customHeight="1">
      <c r="A26" s="1144"/>
      <c r="B26" s="1182" t="s">
        <v>1256</v>
      </c>
      <c r="C26" s="973"/>
      <c r="D26" s="653">
        <v>1000</v>
      </c>
      <c r="E26" s="1144"/>
      <c r="F26" s="652"/>
      <c r="G26" s="654"/>
      <c r="H26" s="1016"/>
    </row>
    <row r="27" spans="1:8" s="624" customFormat="1" ht="12.75" customHeight="1">
      <c r="A27" s="1144"/>
      <c r="B27" s="1181" t="s">
        <v>1257</v>
      </c>
      <c r="C27" s="973">
        <v>119</v>
      </c>
      <c r="D27" s="653"/>
      <c r="E27" s="1144"/>
      <c r="F27" s="652"/>
      <c r="G27" s="654"/>
      <c r="H27" s="1016"/>
    </row>
    <row r="28" spans="1:8" s="624" customFormat="1" ht="12.75" customHeight="1">
      <c r="A28" s="974"/>
      <c r="B28" s="1181" t="s">
        <v>1258</v>
      </c>
      <c r="C28" s="973"/>
      <c r="D28" s="653">
        <v>15329</v>
      </c>
      <c r="E28" s="1144"/>
      <c r="F28" s="652"/>
      <c r="G28" s="654"/>
      <c r="H28" s="1016"/>
    </row>
    <row r="29" spans="1:8" s="624" customFormat="1" ht="12.75" customHeight="1">
      <c r="A29" s="974"/>
      <c r="B29" s="1183" t="s">
        <v>1259</v>
      </c>
      <c r="C29" s="973">
        <v>2654</v>
      </c>
      <c r="D29" s="653"/>
      <c r="E29" s="1144"/>
      <c r="F29" s="652"/>
      <c r="G29" s="654"/>
      <c r="H29" s="1016"/>
    </row>
    <row r="30" spans="1:8" s="624" customFormat="1" ht="12.75" customHeight="1">
      <c r="A30" s="1144"/>
      <c r="B30" s="1183" t="s">
        <v>1260</v>
      </c>
      <c r="C30" s="973"/>
      <c r="D30" s="653">
        <v>3641</v>
      </c>
      <c r="E30" s="1144"/>
      <c r="F30" s="652"/>
      <c r="G30" s="654"/>
      <c r="H30" s="1016"/>
    </row>
    <row r="31" spans="1:8" s="624" customFormat="1" ht="12.75" customHeight="1">
      <c r="A31" s="974" t="s">
        <v>1317</v>
      </c>
      <c r="B31" s="976" t="s">
        <v>1319</v>
      </c>
      <c r="C31" s="654">
        <v>38148</v>
      </c>
      <c r="D31" s="1016"/>
      <c r="E31" s="1144"/>
      <c r="F31" s="652"/>
      <c r="G31" s="654"/>
      <c r="H31" s="1016"/>
    </row>
    <row r="32" spans="1:8" s="624" customFormat="1" ht="12.75" customHeight="1">
      <c r="A32" s="974"/>
      <c r="B32" s="976" t="s">
        <v>1320</v>
      </c>
      <c r="C32" s="654"/>
      <c r="D32" s="1016">
        <v>13175</v>
      </c>
      <c r="E32" s="1144"/>
      <c r="F32" s="652"/>
      <c r="G32" s="654"/>
      <c r="H32" s="1016"/>
    </row>
    <row r="33" spans="1:8" s="624" customFormat="1" ht="12.75" customHeight="1">
      <c r="A33" s="974"/>
      <c r="B33" s="976" t="s">
        <v>1321</v>
      </c>
      <c r="C33" s="654">
        <v>17452</v>
      </c>
      <c r="D33" s="1016"/>
      <c r="E33" s="1144"/>
      <c r="F33" s="652"/>
      <c r="G33" s="654"/>
      <c r="H33" s="1016"/>
    </row>
    <row r="34" spans="1:8" s="624" customFormat="1" ht="12.75" customHeight="1">
      <c r="A34" s="974"/>
      <c r="B34" s="976" t="s">
        <v>1322</v>
      </c>
      <c r="C34" s="654"/>
      <c r="D34" s="1016">
        <v>10000</v>
      </c>
      <c r="E34" s="1144"/>
      <c r="F34" s="652"/>
      <c r="G34" s="654"/>
      <c r="H34" s="1016"/>
    </row>
    <row r="35" spans="1:8" s="624" customFormat="1" ht="12.75" customHeight="1">
      <c r="A35" s="974"/>
      <c r="B35" s="978" t="s">
        <v>1303</v>
      </c>
      <c r="C35" s="654"/>
      <c r="D35" s="1016">
        <v>9104</v>
      </c>
      <c r="E35" s="1144"/>
      <c r="F35" s="652" t="s">
        <v>938</v>
      </c>
      <c r="G35" s="657">
        <f>SUM(G13:G34)-SUM(H13:H34)</f>
        <v>0</v>
      </c>
      <c r="H35" s="1016"/>
    </row>
    <row r="36" spans="1:8" s="624" customFormat="1" ht="36">
      <c r="A36" s="974"/>
      <c r="B36" s="1054" t="s">
        <v>1302</v>
      </c>
      <c r="C36" s="654"/>
      <c r="D36" s="1238">
        <v>24563</v>
      </c>
      <c r="E36" s="1144"/>
      <c r="F36" s="652"/>
      <c r="G36" s="652"/>
      <c r="H36" s="1016"/>
    </row>
    <row r="37" spans="1:8" s="624" customFormat="1" ht="12.75" customHeight="1">
      <c r="A37" s="1239"/>
      <c r="B37" s="975" t="s">
        <v>1323</v>
      </c>
      <c r="C37" s="654">
        <v>250</v>
      </c>
      <c r="D37" s="1016"/>
      <c r="E37" s="1144"/>
      <c r="F37" s="652"/>
      <c r="G37" s="652"/>
      <c r="H37" s="1016"/>
    </row>
    <row r="38" spans="1:8" s="624" customFormat="1" ht="12.75" customHeight="1">
      <c r="A38" s="1239"/>
      <c r="B38" s="558" t="s">
        <v>1304</v>
      </c>
      <c r="C38" s="654"/>
      <c r="D38" s="1016">
        <v>10000</v>
      </c>
      <c r="E38" s="1144"/>
      <c r="F38" s="652"/>
      <c r="G38" s="632"/>
      <c r="H38" s="675"/>
    </row>
    <row r="39" spans="1:8" s="624" customFormat="1" ht="12.75" customHeight="1">
      <c r="A39" s="1239"/>
      <c r="B39" s="652" t="s">
        <v>1324</v>
      </c>
      <c r="C39" s="654"/>
      <c r="D39" s="1016">
        <v>18014</v>
      </c>
      <c r="E39" s="1144"/>
      <c r="F39" s="652"/>
      <c r="G39" s="652"/>
      <c r="H39" s="1016"/>
    </row>
    <row r="40" spans="1:8" s="624" customFormat="1" ht="12.75" customHeight="1">
      <c r="A40" s="1239"/>
      <c r="B40" s="652" t="s">
        <v>1325</v>
      </c>
      <c r="C40" s="654"/>
      <c r="D40" s="1016">
        <v>918</v>
      </c>
      <c r="E40" s="1144"/>
      <c r="F40" s="652"/>
      <c r="G40" s="652"/>
      <c r="H40" s="1016"/>
    </row>
    <row r="41" spans="1:8" s="624" customFormat="1" ht="12.75" customHeight="1">
      <c r="A41" s="1239"/>
      <c r="B41" s="652" t="s">
        <v>1326</v>
      </c>
      <c r="C41" s="654">
        <v>668</v>
      </c>
      <c r="D41" s="1016"/>
      <c r="E41" s="1144"/>
      <c r="F41" s="652"/>
      <c r="G41" s="652"/>
      <c r="H41" s="1016"/>
    </row>
    <row r="42" spans="1:8" s="624" customFormat="1" ht="12.75" customHeight="1">
      <c r="A42" s="1239"/>
      <c r="B42" s="652" t="s">
        <v>1327</v>
      </c>
      <c r="C42" s="654"/>
      <c r="D42" s="1016">
        <v>97</v>
      </c>
      <c r="E42" s="1144"/>
      <c r="F42" s="652"/>
      <c r="G42" s="652"/>
      <c r="H42" s="1016"/>
    </row>
    <row r="43" spans="1:8" s="624" customFormat="1" ht="12.75" customHeight="1">
      <c r="A43" s="1239"/>
      <c r="B43" s="652" t="s">
        <v>1328</v>
      </c>
      <c r="C43" s="654">
        <v>155</v>
      </c>
      <c r="D43" s="1016"/>
      <c r="E43" s="1144"/>
      <c r="F43" s="652"/>
      <c r="G43" s="652"/>
      <c r="H43" s="1016"/>
    </row>
    <row r="44" spans="1:8" s="624" customFormat="1" ht="12.75" customHeight="1">
      <c r="A44" s="1239"/>
      <c r="B44" s="652" t="s">
        <v>1257</v>
      </c>
      <c r="C44" s="654">
        <v>254</v>
      </c>
      <c r="D44" s="1016"/>
      <c r="E44" s="1144"/>
      <c r="F44" s="652"/>
      <c r="G44" s="652"/>
      <c r="H44" s="1016"/>
    </row>
    <row r="45" spans="1:8" s="624" customFormat="1" ht="12.75" customHeight="1">
      <c r="A45" s="1239"/>
      <c r="B45" s="652" t="s">
        <v>1313</v>
      </c>
      <c r="C45" s="654"/>
      <c r="D45" s="1016">
        <v>5460</v>
      </c>
      <c r="E45" s="1144"/>
      <c r="F45" s="652"/>
      <c r="G45" s="652"/>
      <c r="H45" s="1016"/>
    </row>
    <row r="46" spans="1:8" s="624" customFormat="1" ht="12.75" customHeight="1">
      <c r="A46" s="1239"/>
      <c r="B46" s="652" t="s">
        <v>1329</v>
      </c>
      <c r="C46" s="654"/>
      <c r="D46" s="1016">
        <v>158</v>
      </c>
      <c r="E46" s="1144"/>
      <c r="F46" s="652"/>
      <c r="G46" s="652"/>
      <c r="H46" s="1016"/>
    </row>
    <row r="47" spans="1:8" s="624" customFormat="1" ht="12.75" customHeight="1">
      <c r="A47" s="1239"/>
      <c r="B47" s="652" t="s">
        <v>1284</v>
      </c>
      <c r="C47" s="654">
        <v>4715</v>
      </c>
      <c r="D47" s="1016"/>
      <c r="E47" s="1144"/>
      <c r="F47" s="652"/>
      <c r="G47" s="652"/>
      <c r="H47" s="1016"/>
    </row>
    <row r="48" spans="1:8" s="624" customFormat="1" ht="12.75" customHeight="1">
      <c r="A48" s="1239"/>
      <c r="B48" s="652" t="s">
        <v>1330</v>
      </c>
      <c r="C48" s="654"/>
      <c r="D48" s="1145">
        <v>248</v>
      </c>
      <c r="E48" s="1144"/>
      <c r="F48" s="652"/>
      <c r="G48" s="652"/>
      <c r="H48" s="1016"/>
    </row>
    <row r="49" spans="1:8" s="624" customFormat="1" ht="24">
      <c r="A49" s="1239"/>
      <c r="B49" s="977" t="s">
        <v>1099</v>
      </c>
      <c r="C49" s="654"/>
      <c r="D49" s="1240">
        <v>717</v>
      </c>
      <c r="E49" s="1144"/>
      <c r="F49" s="652"/>
      <c r="G49" s="652"/>
      <c r="H49" s="1016"/>
    </row>
    <row r="50" spans="1:8" s="624" customFormat="1" ht="12.75" customHeight="1">
      <c r="A50" s="1241"/>
      <c r="B50" s="652" t="s">
        <v>1331</v>
      </c>
      <c r="C50" s="654"/>
      <c r="D50" s="1016">
        <v>1926</v>
      </c>
      <c r="E50" s="1144"/>
      <c r="F50" s="652"/>
      <c r="G50" s="654"/>
      <c r="H50" s="1016"/>
    </row>
    <row r="51" spans="1:8" s="624" customFormat="1" ht="12.75" customHeight="1">
      <c r="A51" s="1247" t="s">
        <v>1345</v>
      </c>
      <c r="B51" s="652" t="s">
        <v>1346</v>
      </c>
      <c r="C51" s="654"/>
      <c r="D51" s="1016">
        <v>6675</v>
      </c>
      <c r="E51" s="1144"/>
      <c r="F51" s="652"/>
      <c r="G51" s="1157"/>
      <c r="H51" s="1016"/>
    </row>
    <row r="52" spans="1:8" s="624" customFormat="1" ht="12">
      <c r="A52" s="1241"/>
      <c r="B52" s="558" t="s">
        <v>1304</v>
      </c>
      <c r="C52" s="654"/>
      <c r="D52" s="1016">
        <v>20000</v>
      </c>
      <c r="E52" s="1144"/>
      <c r="F52" s="652" t="s">
        <v>695</v>
      </c>
      <c r="G52" s="1157"/>
      <c r="H52" s="1016"/>
    </row>
    <row r="53" spans="1:8" s="624" customFormat="1" ht="12">
      <c r="A53" s="1241"/>
      <c r="B53" s="652" t="s">
        <v>1347</v>
      </c>
      <c r="C53" s="654"/>
      <c r="D53" s="1016">
        <v>48261</v>
      </c>
      <c r="E53" s="1144"/>
      <c r="F53" s="652"/>
      <c r="G53" s="1157"/>
      <c r="H53" s="1016"/>
    </row>
    <row r="54" spans="1:8" s="624" customFormat="1" ht="12">
      <c r="A54" s="1241"/>
      <c r="B54" s="652" t="s">
        <v>1348</v>
      </c>
      <c r="C54" s="654"/>
      <c r="D54" s="1016">
        <v>450</v>
      </c>
      <c r="E54" s="1144"/>
      <c r="F54" s="652"/>
      <c r="G54" s="1157"/>
      <c r="H54" s="1016"/>
    </row>
    <row r="55" spans="1:8" ht="12">
      <c r="A55" s="1248"/>
      <c r="B55" s="1039" t="s">
        <v>1298</v>
      </c>
      <c r="C55" s="654"/>
      <c r="D55" s="1145">
        <v>7825</v>
      </c>
      <c r="E55" s="1141"/>
      <c r="F55" s="1142"/>
      <c r="G55" s="1142"/>
      <c r="H55" s="1143"/>
    </row>
    <row r="56" spans="1:8" ht="12">
      <c r="A56" s="1248"/>
      <c r="B56" s="1039" t="s">
        <v>1349</v>
      </c>
      <c r="C56" s="654"/>
      <c r="D56" s="1145">
        <v>53115</v>
      </c>
      <c r="E56" s="1141"/>
      <c r="F56" s="1142"/>
      <c r="G56" s="1142"/>
      <c r="H56" s="1143"/>
    </row>
    <row r="57" spans="1:8" ht="24">
      <c r="A57" s="1248"/>
      <c r="B57" s="558" t="s">
        <v>1350</v>
      </c>
      <c r="C57" s="654"/>
      <c r="D57" s="1240">
        <v>243</v>
      </c>
      <c r="E57" s="1141"/>
      <c r="F57" s="1142"/>
      <c r="G57" s="1142"/>
      <c r="H57" s="1143"/>
    </row>
    <row r="58" spans="1:8" ht="12" hidden="1">
      <c r="A58" s="1146"/>
      <c r="B58" s="1039"/>
      <c r="C58" s="654"/>
      <c r="D58" s="1145"/>
      <c r="E58" s="1141"/>
      <c r="F58" s="1142"/>
      <c r="G58" s="1142"/>
      <c r="H58" s="1143"/>
    </row>
    <row r="59" spans="1:8" ht="12" hidden="1">
      <c r="A59" s="1146"/>
      <c r="B59" s="1039"/>
      <c r="C59" s="654"/>
      <c r="D59" s="1145"/>
      <c r="E59" s="1141"/>
      <c r="F59" s="1142"/>
      <c r="G59" s="1142"/>
      <c r="H59" s="1143"/>
    </row>
    <row r="60" spans="1:8" ht="12" hidden="1">
      <c r="A60" s="1146"/>
      <c r="B60" s="1039"/>
      <c r="C60" s="654"/>
      <c r="D60" s="1145"/>
      <c r="E60" s="1141"/>
      <c r="F60" s="1142"/>
      <c r="G60" s="1142"/>
      <c r="H60" s="1143"/>
    </row>
    <row r="61" spans="1:8" ht="12">
      <c r="A61" s="1146"/>
      <c r="B61" s="1039"/>
      <c r="C61" s="654"/>
      <c r="D61" s="1145"/>
      <c r="E61" s="1141"/>
      <c r="F61" s="1142"/>
      <c r="G61" s="1142"/>
      <c r="H61" s="1143"/>
    </row>
    <row r="62" spans="1:8" s="979" customFormat="1" ht="12">
      <c r="A62" s="1147"/>
      <c r="B62" s="1148"/>
      <c r="C62" s="1149">
        <f>SUM(C5:C61)</f>
        <v>396932</v>
      </c>
      <c r="D62" s="1149">
        <f>SUM(D5:D61)</f>
        <v>275214</v>
      </c>
      <c r="E62" s="1147"/>
      <c r="F62" s="1149" t="s">
        <v>938</v>
      </c>
      <c r="G62" s="1149">
        <f>SUM(G36:G61)-SUM(H36:H61)</f>
        <v>0</v>
      </c>
      <c r="H62" s="1156"/>
    </row>
    <row r="63" spans="1:8" s="624" customFormat="1" ht="12.75" customHeight="1">
      <c r="A63" s="1144"/>
      <c r="B63" s="652"/>
      <c r="C63" s="654"/>
      <c r="D63" s="1016"/>
      <c r="E63" s="974"/>
      <c r="F63" s="973"/>
      <c r="G63" s="973"/>
      <c r="H63" s="653"/>
    </row>
    <row r="64" spans="1:8" s="980" customFormat="1" ht="14.25" customHeight="1" thickBot="1">
      <c r="A64" s="999"/>
      <c r="B64" s="1000" t="s">
        <v>940</v>
      </c>
      <c r="C64" s="1382">
        <f>D3+C62-D62</f>
        <v>121718</v>
      </c>
      <c r="D64" s="1383"/>
      <c r="E64" s="999"/>
      <c r="F64" s="1001" t="str">
        <f>B64</f>
        <v>Alakulása</v>
      </c>
      <c r="G64" s="1384">
        <f>G11+G34+G62</f>
        <v>0</v>
      </c>
      <c r="H64" s="1385"/>
    </row>
    <row r="65" spans="2:7" ht="11.25" hidden="1">
      <c r="B65" s="972" t="s">
        <v>969</v>
      </c>
      <c r="D65" s="982">
        <f>'[4]1'!J36+'[4]1'!J37</f>
        <v>271250</v>
      </c>
      <c r="F65" s="983"/>
      <c r="G65" s="984"/>
    </row>
    <row r="66" spans="2:7" ht="11.25" hidden="1">
      <c r="B66" s="972" t="s">
        <v>970</v>
      </c>
      <c r="D66" s="982">
        <f>D65-C64-G64</f>
        <v>149532</v>
      </c>
      <c r="F66" s="983"/>
      <c r="G66" s="984"/>
    </row>
    <row r="67" spans="6:7" ht="11.25" customHeight="1">
      <c r="F67" s="985"/>
      <c r="G67" s="985"/>
    </row>
    <row r="68" spans="6:7" ht="11.25">
      <c r="F68" s="985"/>
      <c r="G68" s="985"/>
    </row>
    <row r="69" spans="6:7" ht="11.25">
      <c r="F69" s="985"/>
      <c r="G69" s="985"/>
    </row>
    <row r="70" spans="6:7" ht="11.25">
      <c r="F70" s="985"/>
      <c r="G70" s="985"/>
    </row>
  </sheetData>
  <sheetProtection/>
  <mergeCells count="5">
    <mergeCell ref="A3:B3"/>
    <mergeCell ref="E3:F3"/>
    <mergeCell ref="C64:D64"/>
    <mergeCell ref="G64:H64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workbookViewId="0" topLeftCell="A1">
      <selection activeCell="E26" sqref="E26"/>
    </sheetView>
  </sheetViews>
  <sheetFormatPr defaultColWidth="9.00390625" defaultRowHeight="12.75"/>
  <cols>
    <col min="1" max="1" width="88.625" style="57" customWidth="1"/>
    <col min="2" max="2" width="27.875" style="57" customWidth="1"/>
    <col min="3" max="16384" width="9.375" style="57" customWidth="1"/>
  </cols>
  <sheetData>
    <row r="1" spans="1:2" ht="47.25" customHeight="1">
      <c r="A1" s="1386" t="s">
        <v>67</v>
      </c>
      <c r="B1" s="1386"/>
    </row>
    <row r="2" spans="1:2" ht="22.5" customHeight="1" thickBot="1">
      <c r="A2" s="531"/>
      <c r="B2" s="532" t="s">
        <v>69</v>
      </c>
    </row>
    <row r="3" spans="1:2" s="58" customFormat="1" ht="24" customHeight="1" thickBot="1">
      <c r="A3" s="373" t="s">
        <v>108</v>
      </c>
      <c r="B3" s="1242" t="s">
        <v>68</v>
      </c>
    </row>
    <row r="4" spans="1:2" s="59" customFormat="1" ht="13.5" thickBot="1">
      <c r="A4" s="232">
        <v>1</v>
      </c>
      <c r="B4" s="233">
        <v>2</v>
      </c>
    </row>
    <row r="5" spans="1:2" ht="12.75">
      <c r="A5" s="140" t="s">
        <v>878</v>
      </c>
      <c r="B5" s="603">
        <f>218611358+11116860</f>
        <v>229728218</v>
      </c>
    </row>
    <row r="6" spans="1:2" ht="12.75" customHeight="1">
      <c r="A6" s="141" t="s">
        <v>879</v>
      </c>
      <c r="B6" s="603">
        <v>220529163</v>
      </c>
    </row>
    <row r="7" spans="1:2" ht="12.75">
      <c r="A7" s="141" t="s">
        <v>880</v>
      </c>
      <c r="B7" s="603">
        <v>-328656555</v>
      </c>
    </row>
    <row r="8" spans="1:2" ht="12.75">
      <c r="A8" s="141" t="s">
        <v>881</v>
      </c>
      <c r="B8" s="603">
        <v>67243500</v>
      </c>
    </row>
    <row r="9" spans="1:2" ht="12.75">
      <c r="A9" s="141" t="s">
        <v>882</v>
      </c>
      <c r="B9" s="603">
        <f>258880000+19469400</f>
        <v>278349400</v>
      </c>
    </row>
    <row r="10" spans="1:2" ht="12.75">
      <c r="A10" s="141" t="s">
        <v>883</v>
      </c>
      <c r="B10" s="603">
        <v>45450000</v>
      </c>
    </row>
    <row r="11" spans="1:2" ht="12.75">
      <c r="A11" s="141" t="s">
        <v>884</v>
      </c>
      <c r="B11" s="603">
        <v>1326000</v>
      </c>
    </row>
    <row r="12" spans="1:2" ht="12.75">
      <c r="A12" s="141" t="s">
        <v>885</v>
      </c>
      <c r="B12" s="603">
        <f>126990000+39576000-1428000</f>
        <v>165138000</v>
      </c>
    </row>
    <row r="13" spans="1:2" ht="12.75">
      <c r="A13" s="141" t="s">
        <v>886</v>
      </c>
      <c r="B13" s="603">
        <v>58905572</v>
      </c>
    </row>
    <row r="14" spans="1:2" ht="12.75">
      <c r="A14" s="141" t="s">
        <v>887</v>
      </c>
      <c r="B14" s="603">
        <v>90903750</v>
      </c>
    </row>
    <row r="15" spans="1:2" ht="22.5">
      <c r="A15" s="141" t="s">
        <v>888</v>
      </c>
      <c r="B15" s="603">
        <f>113530040-13175000</f>
        <v>100355040</v>
      </c>
    </row>
    <row r="16" spans="1:2" ht="12.75">
      <c r="A16" s="141" t="s">
        <v>1245</v>
      </c>
      <c r="B16" s="603">
        <v>28391700</v>
      </c>
    </row>
    <row r="17" spans="1:2" ht="12.75">
      <c r="A17" s="141" t="s">
        <v>889</v>
      </c>
      <c r="B17" s="603">
        <v>343299279</v>
      </c>
    </row>
    <row r="18" spans="1:2" ht="12.75">
      <c r="A18" s="141" t="s">
        <v>1229</v>
      </c>
      <c r="B18" s="603">
        <v>251084</v>
      </c>
    </row>
    <row r="19" spans="1:2" ht="12.75">
      <c r="A19" s="141" t="s">
        <v>1297</v>
      </c>
      <c r="B19" s="603">
        <v>750000</v>
      </c>
    </row>
    <row r="20" spans="1:2" ht="12.75">
      <c r="A20" s="141" t="s">
        <v>1246</v>
      </c>
      <c r="B20" s="603">
        <f>18013994+19728815</f>
        <v>37742809</v>
      </c>
    </row>
    <row r="21" spans="1:2" ht="12.75">
      <c r="A21" s="141" t="s">
        <v>1243</v>
      </c>
      <c r="B21" s="603">
        <v>62331711</v>
      </c>
    </row>
    <row r="22" spans="1:2" ht="12.75">
      <c r="A22" s="141" t="s">
        <v>1247</v>
      </c>
      <c r="B22" s="603">
        <f>76305+23250</f>
        <v>99555</v>
      </c>
    </row>
    <row r="23" spans="1:2" ht="12.75">
      <c r="A23" s="141" t="s">
        <v>1332</v>
      </c>
      <c r="B23" s="603">
        <f>17452000+3692000</f>
        <v>21144000</v>
      </c>
    </row>
    <row r="24" spans="1:2" ht="12.75">
      <c r="A24" s="141" t="s">
        <v>1279</v>
      </c>
      <c r="B24" s="603">
        <v>233356138</v>
      </c>
    </row>
    <row r="25" spans="1:2" ht="13.5" thickBot="1">
      <c r="A25" s="142" t="s">
        <v>1344</v>
      </c>
      <c r="B25" s="603">
        <v>1547000</v>
      </c>
    </row>
    <row r="26" spans="1:2" s="61" customFormat="1" ht="19.5" customHeight="1" thickBot="1">
      <c r="A26" s="44" t="s">
        <v>109</v>
      </c>
      <c r="B26" s="60">
        <f>SUM(B5:B25)</f>
        <v>1658185364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18. számú melléklet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5.625" style="175" customWidth="1"/>
    <col min="2" max="2" width="68.625" style="175" customWidth="1"/>
    <col min="3" max="3" width="19.50390625" style="175" customWidth="1"/>
    <col min="4" max="16384" width="9.375" style="175" customWidth="1"/>
  </cols>
  <sheetData>
    <row r="1" spans="1:3" ht="33" customHeight="1">
      <c r="A1" s="1387" t="s">
        <v>1155</v>
      </c>
      <c r="B1" s="1387"/>
      <c r="C1" s="1387"/>
    </row>
    <row r="2" spans="1:4" ht="15.75" customHeight="1" thickBot="1">
      <c r="A2" s="176"/>
      <c r="B2" s="176"/>
      <c r="C2" s="190" t="s">
        <v>112</v>
      </c>
      <c r="D2" s="183"/>
    </row>
    <row r="3" spans="1:3" ht="26.25" customHeight="1" thickBot="1">
      <c r="A3" s="215" t="s">
        <v>72</v>
      </c>
      <c r="B3" s="216" t="s">
        <v>328</v>
      </c>
      <c r="C3" s="217" t="s">
        <v>415</v>
      </c>
    </row>
    <row r="4" spans="1:3" ht="15.75" thickBot="1">
      <c r="A4" s="218">
        <v>1</v>
      </c>
      <c r="B4" s="219">
        <v>2</v>
      </c>
      <c r="C4" s="220">
        <v>3</v>
      </c>
    </row>
    <row r="5" spans="1:3" ht="15">
      <c r="A5" s="221" t="s">
        <v>74</v>
      </c>
      <c r="B5" s="487" t="s">
        <v>117</v>
      </c>
      <c r="C5" s="485">
        <f>'Ö1'!H148</f>
        <v>2710000</v>
      </c>
    </row>
    <row r="6" spans="1:3" ht="24.75">
      <c r="A6" s="222" t="s">
        <v>75</v>
      </c>
      <c r="B6" s="557" t="s">
        <v>494</v>
      </c>
      <c r="C6" s="885">
        <f>'Ö1'!E85+'Ö1'!E94</f>
        <v>50109</v>
      </c>
    </row>
    <row r="7" spans="1:3" ht="15">
      <c r="A7" s="222" t="s">
        <v>76</v>
      </c>
      <c r="B7" s="558" t="s">
        <v>866</v>
      </c>
      <c r="C7" s="885">
        <f>'Ö1'!E114</f>
        <v>75691</v>
      </c>
    </row>
    <row r="8" spans="1:3" ht="24.75">
      <c r="A8" s="222" t="s">
        <v>77</v>
      </c>
      <c r="B8" s="558" t="s">
        <v>496</v>
      </c>
      <c r="C8" s="885">
        <f>'Ö1'!E104</f>
        <v>752000</v>
      </c>
    </row>
    <row r="9" spans="1:3" ht="15">
      <c r="A9" s="223" t="s">
        <v>78</v>
      </c>
      <c r="B9" s="558" t="s">
        <v>495</v>
      </c>
      <c r="C9" s="486">
        <f>'Ö1'!H182</f>
        <v>23000</v>
      </c>
    </row>
    <row r="10" spans="1:3" ht="15.75" thickBot="1">
      <c r="A10" s="222" t="s">
        <v>79</v>
      </c>
      <c r="B10" s="559" t="s">
        <v>329</v>
      </c>
      <c r="C10" s="986"/>
    </row>
    <row r="11" spans="1:3" ht="15.75" thickBot="1">
      <c r="A11" s="1388" t="s">
        <v>334</v>
      </c>
      <c r="B11" s="1389"/>
      <c r="C11" s="224">
        <f>SUM(C5:C10)</f>
        <v>3610800</v>
      </c>
    </row>
    <row r="12" spans="1:3" ht="23.25" customHeight="1">
      <c r="A12" s="1390" t="s">
        <v>865</v>
      </c>
      <c r="B12" s="1390"/>
      <c r="C12" s="139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19.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3.50390625" style="886" customWidth="1"/>
    <col min="2" max="2" width="20.875" style="886" customWidth="1"/>
    <col min="3" max="3" width="19.375" style="886" customWidth="1"/>
    <col min="4" max="16384" width="9.375" style="886" customWidth="1"/>
  </cols>
  <sheetData>
    <row r="1" ht="12.75">
      <c r="H1" s="887" t="s">
        <v>1189</v>
      </c>
    </row>
    <row r="3" ht="15">
      <c r="A3" s="902" t="s">
        <v>877</v>
      </c>
    </row>
    <row r="4" ht="12.75">
      <c r="A4" s="887"/>
    </row>
    <row r="5" ht="40.5" customHeight="1" thickBot="1">
      <c r="C5" s="890" t="s">
        <v>872</v>
      </c>
    </row>
    <row r="6" spans="1:3" ht="13.5" thickBot="1">
      <c r="A6" s="903"/>
      <c r="B6" s="904" t="s">
        <v>873</v>
      </c>
      <c r="C6" s="905" t="s">
        <v>875</v>
      </c>
    </row>
    <row r="7" spans="1:3" ht="13.5" thickBot="1">
      <c r="A7" s="906" t="s">
        <v>115</v>
      </c>
      <c r="B7" s="907"/>
      <c r="C7" s="908"/>
    </row>
    <row r="8" spans="1:3" ht="12.75">
      <c r="A8" s="894"/>
      <c r="B8" s="909"/>
      <c r="C8" s="910"/>
    </row>
    <row r="9" spans="1:3" ht="12.75">
      <c r="A9" s="895"/>
      <c r="B9" s="909"/>
      <c r="C9" s="911"/>
    </row>
    <row r="10" spans="1:3" ht="13.5" thickBot="1">
      <c r="A10" s="912" t="s">
        <v>107</v>
      </c>
      <c r="B10" s="913">
        <f>SUM(B8:B9)</f>
        <v>0</v>
      </c>
      <c r="C10" s="914">
        <f>SUM(C8:C9)</f>
        <v>0</v>
      </c>
    </row>
    <row r="11" spans="1:3" ht="27.75" customHeight="1" thickBot="1">
      <c r="A11" s="915"/>
      <c r="B11" s="916"/>
      <c r="C11" s="917"/>
    </row>
    <row r="12" spans="1:3" ht="13.5" thickBot="1">
      <c r="A12" s="918"/>
      <c r="B12" s="905" t="s">
        <v>873</v>
      </c>
      <c r="C12" s="905" t="s">
        <v>875</v>
      </c>
    </row>
    <row r="13" spans="1:3" ht="13.5" thickBot="1">
      <c r="A13" s="906" t="s">
        <v>119</v>
      </c>
      <c r="B13" s="919"/>
      <c r="C13" s="1111">
        <f>4!C134</f>
        <v>687835</v>
      </c>
    </row>
    <row r="14" spans="1:3" ht="12.75">
      <c r="A14" s="894"/>
      <c r="B14" s="920"/>
      <c r="C14" s="921"/>
    </row>
    <row r="15" spans="1:3" ht="12.75">
      <c r="A15" s="895"/>
      <c r="B15" s="920"/>
      <c r="C15" s="921"/>
    </row>
    <row r="16" spans="1:3" ht="13.5" thickBot="1">
      <c r="A16" s="912" t="s">
        <v>107</v>
      </c>
      <c r="B16" s="913">
        <f>SUM(B14:B15)</f>
        <v>0</v>
      </c>
      <c r="C16" s="914">
        <f>SUM(C13:C15)</f>
        <v>687835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="120" zoomScaleNormal="120" workbookViewId="0" topLeftCell="A1">
      <selection activeCell="F14" sqref="F14"/>
    </sheetView>
  </sheetViews>
  <sheetFormatPr defaultColWidth="9.00390625" defaultRowHeight="12.75"/>
  <cols>
    <col min="1" max="1" width="5.625" style="175" customWidth="1"/>
    <col min="2" max="2" width="38.625" style="175" customWidth="1"/>
    <col min="3" max="6" width="14.00390625" style="175" customWidth="1"/>
    <col min="7" max="16384" width="9.375" style="175" customWidth="1"/>
  </cols>
  <sheetData>
    <row r="1" spans="1:6" ht="33" customHeight="1">
      <c r="A1" s="1387" t="s">
        <v>1154</v>
      </c>
      <c r="B1" s="1387"/>
      <c r="C1" s="1387"/>
      <c r="D1" s="1387"/>
      <c r="E1" s="1387"/>
      <c r="F1" s="1387"/>
    </row>
    <row r="2" spans="1:7" ht="15.75" customHeight="1" thickBot="1">
      <c r="A2" s="176"/>
      <c r="B2" s="176"/>
      <c r="C2" s="1391"/>
      <c r="D2" s="1391"/>
      <c r="E2" s="1398" t="s">
        <v>112</v>
      </c>
      <c r="F2" s="1398"/>
      <c r="G2" s="183"/>
    </row>
    <row r="3" spans="1:6" ht="63" customHeight="1">
      <c r="A3" s="1394" t="s">
        <v>72</v>
      </c>
      <c r="B3" s="1396" t="s">
        <v>331</v>
      </c>
      <c r="C3" s="1396" t="s">
        <v>519</v>
      </c>
      <c r="D3" s="1396"/>
      <c r="E3" s="1396"/>
      <c r="F3" s="1392" t="s">
        <v>493</v>
      </c>
    </row>
    <row r="4" spans="1:6" ht="15.75" thickBot="1">
      <c r="A4" s="1395"/>
      <c r="B4" s="1397"/>
      <c r="C4" s="178" t="s">
        <v>332</v>
      </c>
      <c r="D4" s="178" t="s">
        <v>491</v>
      </c>
      <c r="E4" s="178" t="s">
        <v>492</v>
      </c>
      <c r="F4" s="1393"/>
    </row>
    <row r="5" spans="1:6" ht="15.75" thickBot="1">
      <c r="A5" s="180">
        <v>1</v>
      </c>
      <c r="B5" s="181">
        <v>2</v>
      </c>
      <c r="C5" s="181">
        <v>3</v>
      </c>
      <c r="D5" s="181">
        <v>4</v>
      </c>
      <c r="E5" s="181">
        <v>5</v>
      </c>
      <c r="F5" s="182">
        <v>6</v>
      </c>
    </row>
    <row r="6" spans="1:6" ht="15">
      <c r="A6" s="179" t="s">
        <v>74</v>
      </c>
      <c r="B6" s="209" t="s">
        <v>971</v>
      </c>
      <c r="C6" s="210">
        <v>58127</v>
      </c>
      <c r="D6" s="210">
        <v>58127</v>
      </c>
      <c r="E6" s="210">
        <v>58127</v>
      </c>
      <c r="F6" s="186">
        <f>SUM(C6:E6)</f>
        <v>174381</v>
      </c>
    </row>
    <row r="7" spans="1:6" ht="15">
      <c r="A7" s="177" t="s">
        <v>75</v>
      </c>
      <c r="B7" s="211" t="s">
        <v>972</v>
      </c>
      <c r="C7" s="212">
        <v>85094</v>
      </c>
      <c r="D7" s="212">
        <v>83817</v>
      </c>
      <c r="E7" s="212">
        <v>85094</v>
      </c>
      <c r="F7" s="187">
        <f>SUM(C7:E7)</f>
        <v>254005</v>
      </c>
    </row>
    <row r="8" spans="1:6" ht="15">
      <c r="A8" s="177" t="s">
        <v>76</v>
      </c>
      <c r="B8" s="211" t="s">
        <v>973</v>
      </c>
      <c r="C8" s="212">
        <v>15325</v>
      </c>
      <c r="D8" s="212">
        <v>14149</v>
      </c>
      <c r="E8" s="212">
        <v>12973</v>
      </c>
      <c r="F8" s="187">
        <f>SUM(C8:E8)</f>
        <v>42447</v>
      </c>
    </row>
    <row r="9" spans="1:6" ht="15">
      <c r="A9" s="177" t="s">
        <v>77</v>
      </c>
      <c r="B9" s="211" t="s">
        <v>974</v>
      </c>
      <c r="C9" s="212">
        <v>92549</v>
      </c>
      <c r="D9" s="212">
        <v>86797</v>
      </c>
      <c r="E9" s="212">
        <v>81044</v>
      </c>
      <c r="F9" s="187">
        <f>SUM(C9:E9)</f>
        <v>260390</v>
      </c>
    </row>
    <row r="10" spans="1:6" ht="15.75" thickBot="1">
      <c r="A10" s="184" t="s">
        <v>78</v>
      </c>
      <c r="B10" s="213"/>
      <c r="C10" s="214"/>
      <c r="D10" s="214"/>
      <c r="E10" s="214"/>
      <c r="F10" s="187">
        <f>SUM(C10:E10)</f>
        <v>0</v>
      </c>
    </row>
    <row r="11" spans="1:6" ht="15.75" thickBot="1">
      <c r="A11" s="180" t="s">
        <v>79</v>
      </c>
      <c r="B11" s="185" t="s">
        <v>333</v>
      </c>
      <c r="C11" s="188">
        <f>SUM(C6:C10)</f>
        <v>251095</v>
      </c>
      <c r="D11" s="188">
        <f>SUM(D6:D10)</f>
        <v>242890</v>
      </c>
      <c r="E11" s="188">
        <f>SUM(E6:E10)</f>
        <v>237238</v>
      </c>
      <c r="F11" s="189">
        <f>SUM(F6:F10)</f>
        <v>731223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20. számú melléklet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5.625" style="175" customWidth="1"/>
    <col min="2" max="2" width="66.875" style="175" customWidth="1"/>
    <col min="3" max="3" width="27.00390625" style="175" customWidth="1"/>
    <col min="4" max="16384" width="9.375" style="175" customWidth="1"/>
  </cols>
  <sheetData>
    <row r="1" spans="1:3" ht="33" customHeight="1">
      <c r="A1" s="1387" t="s">
        <v>890</v>
      </c>
      <c r="B1" s="1387"/>
      <c r="C1" s="1387"/>
    </row>
    <row r="2" spans="1:4" ht="15.75" customHeight="1" thickBot="1">
      <c r="A2" s="176"/>
      <c r="B2" s="176"/>
      <c r="C2" s="190" t="s">
        <v>112</v>
      </c>
      <c r="D2" s="183"/>
    </row>
    <row r="3" spans="1:3" ht="26.25" customHeight="1" thickBot="1">
      <c r="A3" s="215" t="s">
        <v>72</v>
      </c>
      <c r="B3" s="216" t="s">
        <v>335</v>
      </c>
      <c r="C3" s="217" t="s">
        <v>368</v>
      </c>
    </row>
    <row r="4" spans="1:3" ht="15.75" thickBot="1">
      <c r="A4" s="218">
        <v>1</v>
      </c>
      <c r="B4" s="219">
        <v>2</v>
      </c>
      <c r="C4" s="220">
        <v>3</v>
      </c>
    </row>
    <row r="5" spans="1:3" ht="15">
      <c r="A5" s="221" t="s">
        <v>74</v>
      </c>
      <c r="B5" s="229"/>
      <c r="C5" s="225"/>
    </row>
    <row r="6" spans="1:3" ht="15">
      <c r="A6" s="222" t="s">
        <v>75</v>
      </c>
      <c r="B6" s="230"/>
      <c r="C6" s="226"/>
    </row>
    <row r="7" spans="1:3" ht="15.75" thickBot="1">
      <c r="A7" s="223" t="s">
        <v>76</v>
      </c>
      <c r="B7" s="231"/>
      <c r="C7" s="227"/>
    </row>
    <row r="8" spans="1:3" ht="17.25" customHeight="1" thickBot="1">
      <c r="A8" s="218" t="s">
        <v>77</v>
      </c>
      <c r="B8" s="155" t="s">
        <v>336</v>
      </c>
      <c r="C8" s="22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 topLeftCell="A1">
      <selection activeCell="K14" sqref="K14"/>
    </sheetView>
  </sheetViews>
  <sheetFormatPr defaultColWidth="9.00390625" defaultRowHeight="12.75"/>
  <cols>
    <col min="1" max="1" width="6.875" style="53" customWidth="1"/>
    <col min="2" max="2" width="49.625" style="52" customWidth="1"/>
    <col min="3" max="8" width="12.875" style="52" customWidth="1"/>
    <col min="9" max="9" width="13.875" style="52" customWidth="1"/>
    <col min="10" max="16384" width="9.375" style="52" customWidth="1"/>
  </cols>
  <sheetData>
    <row r="1" spans="1:9" ht="27.75" customHeight="1">
      <c r="A1" s="1296" t="s">
        <v>52</v>
      </c>
      <c r="B1" s="1296"/>
      <c r="C1" s="1296"/>
      <c r="D1" s="1296"/>
      <c r="E1" s="1296"/>
      <c r="F1" s="1296"/>
      <c r="G1" s="1296"/>
      <c r="H1" s="1296"/>
      <c r="I1" s="1296"/>
    </row>
    <row r="2" ht="20.25" customHeight="1" thickBot="1">
      <c r="I2" s="68" t="s">
        <v>127</v>
      </c>
    </row>
    <row r="3" spans="1:9" s="69" customFormat="1" ht="26.25" customHeight="1">
      <c r="A3" s="1406" t="s">
        <v>132</v>
      </c>
      <c r="B3" s="1401" t="s">
        <v>149</v>
      </c>
      <c r="C3" s="1406" t="s">
        <v>150</v>
      </c>
      <c r="D3" s="1406" t="s">
        <v>50</v>
      </c>
      <c r="E3" s="1403" t="s">
        <v>131</v>
      </c>
      <c r="F3" s="1404"/>
      <c r="G3" s="1404"/>
      <c r="H3" s="1405"/>
      <c r="I3" s="1401" t="s">
        <v>107</v>
      </c>
    </row>
    <row r="4" spans="1:9" s="70" customFormat="1" ht="32.25" customHeight="1" thickBot="1">
      <c r="A4" s="1407"/>
      <c r="B4" s="1402"/>
      <c r="C4" s="1402"/>
      <c r="D4" s="1407"/>
      <c r="E4" s="349" t="s">
        <v>257</v>
      </c>
      <c r="F4" s="349" t="s">
        <v>332</v>
      </c>
      <c r="G4" s="349" t="s">
        <v>491</v>
      </c>
      <c r="H4" s="350" t="s">
        <v>51</v>
      </c>
      <c r="I4" s="1402"/>
    </row>
    <row r="5" spans="1:9" s="71" customFormat="1" ht="12.75" customHeight="1" thickBot="1">
      <c r="A5" s="351">
        <v>1</v>
      </c>
      <c r="B5" s="352">
        <v>2</v>
      </c>
      <c r="C5" s="353">
        <v>3</v>
      </c>
      <c r="D5" s="352">
        <v>4</v>
      </c>
      <c r="E5" s="351">
        <v>5</v>
      </c>
      <c r="F5" s="353">
        <v>6</v>
      </c>
      <c r="G5" s="353">
        <v>7</v>
      </c>
      <c r="H5" s="354">
        <v>8</v>
      </c>
      <c r="I5" s="355" t="s">
        <v>151</v>
      </c>
    </row>
    <row r="6" spans="1:9" ht="24.75" customHeight="1" thickBot="1">
      <c r="A6" s="356" t="s">
        <v>74</v>
      </c>
      <c r="B6" s="357" t="s">
        <v>53</v>
      </c>
      <c r="C6" s="363"/>
      <c r="D6" s="82"/>
      <c r="E6" s="83"/>
      <c r="F6" s="84"/>
      <c r="G6" s="84"/>
      <c r="H6" s="85"/>
      <c r="I6" s="72">
        <f aca="true" t="shared" si="0" ref="I6:I26">SUM(D6:H6)</f>
        <v>0</v>
      </c>
    </row>
    <row r="7" spans="1:9" ht="19.5" customHeight="1" thickBot="1">
      <c r="A7" s="358"/>
      <c r="B7" s="73" t="s">
        <v>133</v>
      </c>
      <c r="C7" s="74"/>
      <c r="D7" s="75"/>
      <c r="E7" s="76"/>
      <c r="F7" s="32"/>
      <c r="G7" s="32"/>
      <c r="H7" s="30"/>
      <c r="I7" s="359">
        <f t="shared" si="0"/>
        <v>0</v>
      </c>
    </row>
    <row r="8" spans="1:9" ht="25.5" customHeight="1" thickBot="1">
      <c r="A8" s="356" t="s">
        <v>75</v>
      </c>
      <c r="B8" s="357" t="s">
        <v>54</v>
      </c>
      <c r="C8" s="364"/>
      <c r="D8" s="988">
        <f>SUM(D9:D16)</f>
        <v>719061</v>
      </c>
      <c r="E8" s="989">
        <f>SUM(E9:E16)</f>
        <v>186108</v>
      </c>
      <c r="F8" s="990">
        <f>SUM(F9:F16)</f>
        <v>143221</v>
      </c>
      <c r="G8" s="990">
        <f>SUM(G9:G16)</f>
        <v>141944</v>
      </c>
      <c r="H8" s="991">
        <f>SUM(H9:H16)</f>
        <v>1849274</v>
      </c>
      <c r="I8" s="992">
        <f t="shared" si="0"/>
        <v>3039608</v>
      </c>
    </row>
    <row r="9" spans="1:9" ht="19.5" customHeight="1">
      <c r="A9" s="996" t="s">
        <v>942</v>
      </c>
      <c r="B9" s="73" t="s">
        <v>943</v>
      </c>
      <c r="C9" s="987">
        <v>2006</v>
      </c>
      <c r="D9" s="75">
        <v>58078</v>
      </c>
      <c r="E9" s="76">
        <v>8559</v>
      </c>
      <c r="F9" s="32">
        <v>6725</v>
      </c>
      <c r="G9" s="32">
        <v>6725</v>
      </c>
      <c r="H9" s="30">
        <v>62202</v>
      </c>
      <c r="I9" s="359">
        <f t="shared" si="0"/>
        <v>142289</v>
      </c>
    </row>
    <row r="10" spans="1:9" ht="19.5" customHeight="1">
      <c r="A10" s="996" t="s">
        <v>944</v>
      </c>
      <c r="B10" s="73" t="s">
        <v>945</v>
      </c>
      <c r="C10" s="987">
        <v>2006</v>
      </c>
      <c r="D10" s="75">
        <v>92158</v>
      </c>
      <c r="E10" s="76">
        <v>13581</v>
      </c>
      <c r="F10" s="32">
        <v>10671</v>
      </c>
      <c r="G10" s="32">
        <v>10671</v>
      </c>
      <c r="H10" s="30">
        <v>98706</v>
      </c>
      <c r="I10" s="359">
        <f t="shared" si="0"/>
        <v>225787</v>
      </c>
    </row>
    <row r="11" spans="1:9" ht="19.5" customHeight="1">
      <c r="A11" s="996" t="s">
        <v>946</v>
      </c>
      <c r="B11" s="73" t="s">
        <v>947</v>
      </c>
      <c r="C11" s="987" t="s">
        <v>948</v>
      </c>
      <c r="D11" s="75">
        <v>47222</v>
      </c>
      <c r="E11" s="76">
        <v>10556</v>
      </c>
      <c r="F11" s="32">
        <v>6111</v>
      </c>
      <c r="G11" s="32">
        <v>6111</v>
      </c>
      <c r="H11" s="30">
        <v>64166</v>
      </c>
      <c r="I11" s="359">
        <f t="shared" si="0"/>
        <v>134166</v>
      </c>
    </row>
    <row r="12" spans="1:9" ht="24.75" customHeight="1">
      <c r="A12" s="996" t="s">
        <v>949</v>
      </c>
      <c r="B12" s="73" t="s">
        <v>950</v>
      </c>
      <c r="C12" s="987" t="s">
        <v>951</v>
      </c>
      <c r="D12" s="75">
        <v>92058</v>
      </c>
      <c r="E12" s="76">
        <v>13627</v>
      </c>
      <c r="F12" s="32">
        <v>10707</v>
      </c>
      <c r="G12" s="32">
        <v>10707</v>
      </c>
      <c r="H12" s="30">
        <v>106335</v>
      </c>
      <c r="I12" s="359">
        <f t="shared" si="0"/>
        <v>233434</v>
      </c>
    </row>
    <row r="13" spans="1:9" ht="19.5" customHeight="1">
      <c r="A13" s="996" t="s">
        <v>952</v>
      </c>
      <c r="B13" s="73" t="s">
        <v>953</v>
      </c>
      <c r="C13" s="987" t="s">
        <v>954</v>
      </c>
      <c r="D13" s="75">
        <v>65217</v>
      </c>
      <c r="E13" s="76">
        <v>30435</v>
      </c>
      <c r="F13" s="32">
        <v>23913</v>
      </c>
      <c r="G13" s="32">
        <v>23913</v>
      </c>
      <c r="H13" s="30">
        <v>304891</v>
      </c>
      <c r="I13" s="359">
        <f t="shared" si="0"/>
        <v>448369</v>
      </c>
    </row>
    <row r="14" spans="1:9" ht="19.5" customHeight="1">
      <c r="A14" s="996" t="s">
        <v>955</v>
      </c>
      <c r="B14" s="73" t="s">
        <v>956</v>
      </c>
      <c r="C14" s="987">
        <v>2010</v>
      </c>
      <c r="D14" s="75">
        <v>5349</v>
      </c>
      <c r="E14" s="76">
        <v>0</v>
      </c>
      <c r="F14" s="32">
        <v>0</v>
      </c>
      <c r="G14" s="32">
        <v>0</v>
      </c>
      <c r="H14" s="30">
        <v>0</v>
      </c>
      <c r="I14" s="359">
        <f t="shared" si="0"/>
        <v>5349</v>
      </c>
    </row>
    <row r="15" spans="1:9" ht="19.5" customHeight="1">
      <c r="A15" s="996" t="s">
        <v>957</v>
      </c>
      <c r="B15" s="73" t="s">
        <v>958</v>
      </c>
      <c r="C15" s="987">
        <v>2009</v>
      </c>
      <c r="D15" s="75">
        <v>115064</v>
      </c>
      <c r="E15" s="76">
        <v>22005</v>
      </c>
      <c r="F15" s="32">
        <v>17379</v>
      </c>
      <c r="G15" s="32">
        <v>17379</v>
      </c>
      <c r="H15" s="30">
        <v>271346</v>
      </c>
      <c r="I15" s="359">
        <f t="shared" si="0"/>
        <v>443173</v>
      </c>
    </row>
    <row r="16" spans="1:9" ht="19.5" customHeight="1" thickBot="1">
      <c r="A16" s="996" t="s">
        <v>959</v>
      </c>
      <c r="B16" s="73" t="s">
        <v>960</v>
      </c>
      <c r="C16" s="987">
        <v>2010</v>
      </c>
      <c r="D16" s="75">
        <v>243915</v>
      </c>
      <c r="E16" s="76">
        <v>87345</v>
      </c>
      <c r="F16" s="32">
        <v>67715</v>
      </c>
      <c r="G16" s="32">
        <v>66438</v>
      </c>
      <c r="H16" s="30">
        <v>941628</v>
      </c>
      <c r="I16" s="359">
        <f t="shared" si="0"/>
        <v>1407041</v>
      </c>
    </row>
    <row r="17" spans="1:9" ht="19.5" customHeight="1" thickBot="1">
      <c r="A17" s="356" t="s">
        <v>76</v>
      </c>
      <c r="B17" s="357" t="s">
        <v>348</v>
      </c>
      <c r="C17" s="364"/>
      <c r="D17" s="988">
        <f aca="true" t="shared" si="1" ref="D17:I17">SUM(D18:D21)</f>
        <v>218624</v>
      </c>
      <c r="E17" s="989">
        <f t="shared" si="1"/>
        <v>488230</v>
      </c>
      <c r="F17" s="990">
        <f t="shared" si="1"/>
        <v>0</v>
      </c>
      <c r="G17" s="990">
        <f t="shared" si="1"/>
        <v>0</v>
      </c>
      <c r="H17" s="991">
        <f t="shared" si="1"/>
        <v>0</v>
      </c>
      <c r="I17" s="992">
        <f t="shared" si="1"/>
        <v>706854</v>
      </c>
    </row>
    <row r="18" spans="1:9" ht="19.5" customHeight="1">
      <c r="A18" s="996" t="s">
        <v>963</v>
      </c>
      <c r="B18" s="73" t="s">
        <v>984</v>
      </c>
      <c r="C18" s="987">
        <v>2012</v>
      </c>
      <c r="D18" s="75">
        <v>11270</v>
      </c>
      <c r="E18" s="76">
        <v>76230</v>
      </c>
      <c r="F18" s="32"/>
      <c r="G18" s="32"/>
      <c r="H18" s="30"/>
      <c r="I18" s="359">
        <f>SUM(D18:H18)</f>
        <v>87500</v>
      </c>
    </row>
    <row r="19" spans="1:9" ht="19.5" customHeight="1">
      <c r="A19" s="996" t="s">
        <v>964</v>
      </c>
      <c r="B19" s="73" t="s">
        <v>985</v>
      </c>
      <c r="C19" s="987">
        <v>2012</v>
      </c>
      <c r="D19" s="75">
        <v>196500</v>
      </c>
      <c r="E19" s="76">
        <v>202000</v>
      </c>
      <c r="F19" s="32"/>
      <c r="G19" s="32"/>
      <c r="H19" s="30"/>
      <c r="I19" s="359">
        <f>SUM(D19:H19)</f>
        <v>398500</v>
      </c>
    </row>
    <row r="20" spans="1:9" ht="19.5" customHeight="1">
      <c r="A20" s="996" t="s">
        <v>961</v>
      </c>
      <c r="B20" s="73" t="s">
        <v>649</v>
      </c>
      <c r="C20" s="987">
        <v>2012</v>
      </c>
      <c r="D20" s="75">
        <v>4894</v>
      </c>
      <c r="E20" s="76">
        <v>100000</v>
      </c>
      <c r="F20" s="32"/>
      <c r="G20" s="32"/>
      <c r="H20" s="30"/>
      <c r="I20" s="359">
        <f>SUM(D20:H20)</f>
        <v>104894</v>
      </c>
    </row>
    <row r="21" spans="1:9" ht="19.5" customHeight="1" thickBot="1">
      <c r="A21" s="996" t="s">
        <v>962</v>
      </c>
      <c r="B21" s="73" t="s">
        <v>651</v>
      </c>
      <c r="C21" s="987">
        <v>2012</v>
      </c>
      <c r="D21" s="75">
        <v>5960</v>
      </c>
      <c r="E21" s="76">
        <v>110000</v>
      </c>
      <c r="F21" s="32"/>
      <c r="G21" s="32"/>
      <c r="H21" s="30"/>
      <c r="I21" s="359">
        <f>SUM(D21:H21)</f>
        <v>115960</v>
      </c>
    </row>
    <row r="22" spans="1:10" ht="19.5" customHeight="1" thickBot="1">
      <c r="A22" s="356" t="s">
        <v>77</v>
      </c>
      <c r="B22" s="357" t="s">
        <v>349</v>
      </c>
      <c r="C22" s="364"/>
      <c r="D22" s="988"/>
      <c r="E22" s="989"/>
      <c r="F22" s="990"/>
      <c r="G22" s="990"/>
      <c r="H22" s="991"/>
      <c r="I22" s="992">
        <f t="shared" si="0"/>
        <v>0</v>
      </c>
      <c r="J22" s="77"/>
    </row>
    <row r="23" spans="1:9" ht="19.5" customHeight="1" thickBot="1">
      <c r="A23" s="360"/>
      <c r="B23" s="78" t="s">
        <v>133</v>
      </c>
      <c r="C23" s="79"/>
      <c r="D23" s="80"/>
      <c r="E23" s="81"/>
      <c r="F23" s="33"/>
      <c r="G23" s="33"/>
      <c r="H23" s="31"/>
      <c r="I23" s="361">
        <f t="shared" si="0"/>
        <v>0</v>
      </c>
    </row>
    <row r="24" spans="1:9" ht="19.5" customHeight="1" thickBot="1">
      <c r="A24" s="356" t="s">
        <v>78</v>
      </c>
      <c r="B24" s="362" t="s">
        <v>350</v>
      </c>
      <c r="C24" s="364"/>
      <c r="D24" s="988">
        <f>SUM(D25:D26)</f>
        <v>98500</v>
      </c>
      <c r="E24" s="989">
        <f>SUM(E25:E26)</f>
        <v>25700</v>
      </c>
      <c r="F24" s="990">
        <f>SUM(F25:F26)</f>
        <v>0</v>
      </c>
      <c r="G24" s="990">
        <f>SUM(G25:G26)</f>
        <v>0</v>
      </c>
      <c r="H24" s="991">
        <f>SUM(H25:H26)</f>
        <v>0</v>
      </c>
      <c r="I24" s="992">
        <f t="shared" si="0"/>
        <v>124200</v>
      </c>
    </row>
    <row r="25" spans="1:9" ht="19.5" customHeight="1">
      <c r="A25" s="996" t="s">
        <v>965</v>
      </c>
      <c r="B25" s="73" t="s">
        <v>967</v>
      </c>
      <c r="C25" s="987">
        <v>2008</v>
      </c>
      <c r="D25" s="75">
        <v>66000</v>
      </c>
      <c r="E25" s="76">
        <v>13200</v>
      </c>
      <c r="F25" s="32"/>
      <c r="G25" s="32"/>
      <c r="H25" s="30"/>
      <c r="I25" s="359">
        <f t="shared" si="0"/>
        <v>79200</v>
      </c>
    </row>
    <row r="26" spans="1:9" ht="19.5" customHeight="1" thickBot="1">
      <c r="A26" s="996" t="s">
        <v>966</v>
      </c>
      <c r="B26" s="73" t="s">
        <v>968</v>
      </c>
      <c r="C26" s="987">
        <v>2010</v>
      </c>
      <c r="D26" s="75">
        <v>32500</v>
      </c>
      <c r="E26" s="76">
        <v>12500</v>
      </c>
      <c r="F26" s="32"/>
      <c r="G26" s="32"/>
      <c r="H26" s="30"/>
      <c r="I26" s="359">
        <f t="shared" si="0"/>
        <v>45000</v>
      </c>
    </row>
    <row r="27" spans="1:9" ht="19.5" customHeight="1" thickBot="1">
      <c r="A27" s="1399" t="s">
        <v>941</v>
      </c>
      <c r="B27" s="1400"/>
      <c r="C27" s="143"/>
      <c r="D27" s="992">
        <f>D6+D8+D17+D22+D24</f>
        <v>1036185</v>
      </c>
      <c r="E27" s="993">
        <f>E6+E8+E17+E22+E24</f>
        <v>700038</v>
      </c>
      <c r="F27" s="994">
        <f>F6+F8+F17+F22+F24</f>
        <v>143221</v>
      </c>
      <c r="G27" s="994">
        <f>G6+G8+G17+G22+G24</f>
        <v>141944</v>
      </c>
      <c r="H27" s="995">
        <f>H6+H8+H17+H22+H24</f>
        <v>1849274</v>
      </c>
      <c r="I27" s="992">
        <f>SUM(D27:H27)</f>
        <v>3870662</v>
      </c>
    </row>
  </sheetData>
  <sheetProtection/>
  <mergeCells count="8">
    <mergeCell ref="A1:I1"/>
    <mergeCell ref="A27:B27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CE,Félkövér dőlt"21. számú melléklet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5.50390625" style="57" customWidth="1"/>
    <col min="2" max="2" width="33.125" style="57" customWidth="1"/>
    <col min="3" max="3" width="12.375" style="57" customWidth="1"/>
    <col min="4" max="4" width="11.50390625" style="57" customWidth="1"/>
    <col min="5" max="5" width="11.375" style="57" customWidth="1"/>
    <col min="6" max="6" width="11.00390625" style="57" customWidth="1"/>
    <col min="7" max="7" width="14.375" style="57" customWidth="1"/>
    <col min="8" max="16384" width="9.375" style="57" customWidth="1"/>
  </cols>
  <sheetData>
    <row r="1" spans="1:7" ht="43.5" customHeight="1">
      <c r="A1" s="1409" t="s">
        <v>47</v>
      </c>
      <c r="B1" s="1409"/>
      <c r="C1" s="1409"/>
      <c r="D1" s="1409"/>
      <c r="E1" s="1409"/>
      <c r="F1" s="1409"/>
      <c r="G1" s="1409"/>
    </row>
    <row r="3" spans="1:7" s="199" customFormat="1" ht="27" customHeight="1">
      <c r="A3" s="197" t="s">
        <v>351</v>
      </c>
      <c r="B3" s="198"/>
      <c r="C3" s="1408" t="s">
        <v>352</v>
      </c>
      <c r="D3" s="1408"/>
      <c r="E3" s="1408"/>
      <c r="F3" s="1408"/>
      <c r="G3" s="1408"/>
    </row>
    <row r="4" spans="1:7" s="199" customFormat="1" ht="15.75">
      <c r="A4" s="198"/>
      <c r="B4" s="198"/>
      <c r="C4" s="198"/>
      <c r="D4" s="198"/>
      <c r="E4" s="198"/>
      <c r="F4" s="198"/>
      <c r="G4" s="198"/>
    </row>
    <row r="5" spans="1:7" s="199" customFormat="1" ht="24.75" customHeight="1">
      <c r="A5" s="197" t="s">
        <v>353</v>
      </c>
      <c r="B5" s="198"/>
      <c r="C5" s="1408" t="s">
        <v>352</v>
      </c>
      <c r="D5" s="1408"/>
      <c r="E5" s="1408"/>
      <c r="F5" s="1408"/>
      <c r="G5" s="198"/>
    </row>
    <row r="6" spans="1:7" s="200" customFormat="1" ht="12.75">
      <c r="A6" s="258"/>
      <c r="B6" s="258"/>
      <c r="C6" s="258"/>
      <c r="D6" s="258"/>
      <c r="E6" s="258"/>
      <c r="F6" s="258"/>
      <c r="G6" s="258"/>
    </row>
    <row r="7" spans="1:7" s="201" customFormat="1" ht="15" customHeight="1">
      <c r="A7" s="340" t="s">
        <v>354</v>
      </c>
      <c r="B7" s="339"/>
      <c r="C7" s="339"/>
      <c r="D7" s="325"/>
      <c r="E7" s="325"/>
      <c r="F7" s="325"/>
      <c r="G7" s="325"/>
    </row>
    <row r="8" spans="1:7" s="201" customFormat="1" ht="15" customHeight="1" thickBot="1">
      <c r="A8" s="340" t="s">
        <v>355</v>
      </c>
      <c r="B8" s="325"/>
      <c r="C8" s="325"/>
      <c r="D8" s="325"/>
      <c r="E8" s="325"/>
      <c r="F8" s="325"/>
      <c r="G8" s="325"/>
    </row>
    <row r="9" spans="1:7" s="89" customFormat="1" ht="42" customHeight="1" thickBot="1">
      <c r="A9" s="237" t="s">
        <v>72</v>
      </c>
      <c r="B9" s="238" t="s">
        <v>356</v>
      </c>
      <c r="C9" s="238" t="s">
        <v>357</v>
      </c>
      <c r="D9" s="238" t="s">
        <v>358</v>
      </c>
      <c r="E9" s="238" t="s">
        <v>359</v>
      </c>
      <c r="F9" s="238" t="s">
        <v>360</v>
      </c>
      <c r="G9" s="239" t="s">
        <v>109</v>
      </c>
    </row>
    <row r="10" spans="1:7" ht="24" customHeight="1">
      <c r="A10" s="326" t="s">
        <v>74</v>
      </c>
      <c r="B10" s="246" t="s">
        <v>361</v>
      </c>
      <c r="C10" s="202"/>
      <c r="D10" s="202"/>
      <c r="E10" s="202"/>
      <c r="F10" s="202"/>
      <c r="G10" s="327">
        <f>SUM(C10:F10)</f>
        <v>0</v>
      </c>
    </row>
    <row r="11" spans="1:7" ht="24" customHeight="1">
      <c r="A11" s="328" t="s">
        <v>75</v>
      </c>
      <c r="B11" s="247" t="s">
        <v>362</v>
      </c>
      <c r="C11" s="203"/>
      <c r="D11" s="203"/>
      <c r="E11" s="203"/>
      <c r="F11" s="203"/>
      <c r="G11" s="329">
        <f aca="true" t="shared" si="0" ref="G11:G16">SUM(C11:F11)</f>
        <v>0</v>
      </c>
    </row>
    <row r="12" spans="1:7" ht="24" customHeight="1">
      <c r="A12" s="328" t="s">
        <v>76</v>
      </c>
      <c r="B12" s="247" t="s">
        <v>363</v>
      </c>
      <c r="C12" s="203"/>
      <c r="D12" s="203"/>
      <c r="E12" s="203"/>
      <c r="F12" s="203"/>
      <c r="G12" s="329">
        <f t="shared" si="0"/>
        <v>0</v>
      </c>
    </row>
    <row r="13" spans="1:7" ht="24" customHeight="1">
      <c r="A13" s="328" t="s">
        <v>77</v>
      </c>
      <c r="B13" s="247" t="s">
        <v>364</v>
      </c>
      <c r="C13" s="203"/>
      <c r="D13" s="203"/>
      <c r="E13" s="203"/>
      <c r="F13" s="203"/>
      <c r="G13" s="329">
        <f t="shared" si="0"/>
        <v>0</v>
      </c>
    </row>
    <row r="14" spans="1:7" ht="24" customHeight="1">
      <c r="A14" s="328" t="s">
        <v>78</v>
      </c>
      <c r="B14" s="247" t="s">
        <v>365</v>
      </c>
      <c r="C14" s="203"/>
      <c r="D14" s="203"/>
      <c r="E14" s="203"/>
      <c r="F14" s="203"/>
      <c r="G14" s="329">
        <f t="shared" si="0"/>
        <v>0</v>
      </c>
    </row>
    <row r="15" spans="1:7" ht="24" customHeight="1" thickBot="1">
      <c r="A15" s="330" t="s">
        <v>79</v>
      </c>
      <c r="B15" s="331" t="s">
        <v>366</v>
      </c>
      <c r="C15" s="204"/>
      <c r="D15" s="204"/>
      <c r="E15" s="204"/>
      <c r="F15" s="204"/>
      <c r="G15" s="332">
        <f t="shared" si="0"/>
        <v>0</v>
      </c>
    </row>
    <row r="16" spans="1:7" s="205" customFormat="1" ht="24" customHeight="1" thickBot="1">
      <c r="A16" s="333" t="s">
        <v>80</v>
      </c>
      <c r="B16" s="334" t="s">
        <v>109</v>
      </c>
      <c r="C16" s="335">
        <f>SUM(C10:C15)</f>
        <v>0</v>
      </c>
      <c r="D16" s="335">
        <f>SUM(D10:D15)</f>
        <v>0</v>
      </c>
      <c r="E16" s="335">
        <f>SUM(E10:E15)</f>
        <v>0</v>
      </c>
      <c r="F16" s="335">
        <f>SUM(F10:F15)</f>
        <v>0</v>
      </c>
      <c r="G16" s="336">
        <f t="shared" si="0"/>
        <v>0</v>
      </c>
    </row>
    <row r="17" spans="1:7" s="200" customFormat="1" ht="12.75">
      <c r="A17" s="258"/>
      <c r="B17" s="258"/>
      <c r="C17" s="258"/>
      <c r="D17" s="258"/>
      <c r="E17" s="258"/>
      <c r="F17" s="258"/>
      <c r="G17" s="258"/>
    </row>
    <row r="18" spans="1:7" s="200" customFormat="1" ht="12.75">
      <c r="A18" s="258"/>
      <c r="B18" s="258"/>
      <c r="C18" s="258"/>
      <c r="D18" s="258"/>
      <c r="E18" s="258"/>
      <c r="F18" s="258"/>
      <c r="G18" s="258"/>
    </row>
    <row r="19" spans="1:7" s="200" customFormat="1" ht="12.75">
      <c r="A19" s="258"/>
      <c r="B19" s="258"/>
      <c r="C19" s="258"/>
      <c r="D19" s="258"/>
      <c r="E19" s="258"/>
      <c r="F19" s="258"/>
      <c r="G19" s="258"/>
    </row>
    <row r="20" spans="1:7" s="200" customFormat="1" ht="15.75">
      <c r="A20" s="199" t="s">
        <v>520</v>
      </c>
      <c r="B20" s="258"/>
      <c r="C20" s="258"/>
      <c r="D20" s="258"/>
      <c r="E20" s="258"/>
      <c r="F20" s="258"/>
      <c r="G20" s="258"/>
    </row>
    <row r="21" spans="1:7" s="200" customFormat="1" ht="12.75">
      <c r="A21" s="258"/>
      <c r="B21" s="258"/>
      <c r="C21" s="258"/>
      <c r="D21" s="258"/>
      <c r="E21" s="258"/>
      <c r="F21" s="258"/>
      <c r="G21" s="258"/>
    </row>
    <row r="22" spans="1:7" ht="12.75">
      <c r="A22" s="258"/>
      <c r="B22" s="258"/>
      <c r="C22" s="258"/>
      <c r="D22" s="258"/>
      <c r="E22" s="258"/>
      <c r="F22" s="258"/>
      <c r="G22" s="258"/>
    </row>
    <row r="23" spans="1:7" ht="12.75">
      <c r="A23" s="258"/>
      <c r="B23" s="258"/>
      <c r="C23" s="200"/>
      <c r="D23" s="200"/>
      <c r="E23" s="200"/>
      <c r="F23" s="200"/>
      <c r="G23" s="258"/>
    </row>
    <row r="24" spans="1:7" ht="13.5">
      <c r="A24" s="258"/>
      <c r="B24" s="258"/>
      <c r="C24" s="337"/>
      <c r="D24" s="338" t="s">
        <v>367</v>
      </c>
      <c r="E24" s="338"/>
      <c r="F24" s="337"/>
      <c r="G24" s="258"/>
    </row>
    <row r="25" spans="3:6" ht="13.5">
      <c r="C25" s="206"/>
      <c r="D25" s="207"/>
      <c r="E25" s="207"/>
      <c r="F25" s="206"/>
    </row>
    <row r="26" spans="3:6" ht="13.5">
      <c r="C26" s="206"/>
      <c r="D26" s="207"/>
      <c r="E26" s="207"/>
      <c r="F26" s="20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……/2013. (….)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workbookViewId="0" topLeftCell="B7">
      <selection activeCell="B1" sqref="B1:D1"/>
    </sheetView>
  </sheetViews>
  <sheetFormatPr defaultColWidth="9.00390625" defaultRowHeight="12.75"/>
  <cols>
    <col min="1" max="1" width="5.875" style="99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1411" t="s">
        <v>55</v>
      </c>
      <c r="C1" s="1411"/>
      <c r="D1" s="1411"/>
    </row>
    <row r="2" spans="1:4" s="87" customFormat="1" ht="16.5" thickBot="1">
      <c r="A2" s="86"/>
      <c r="B2" s="529"/>
      <c r="D2" s="54" t="s">
        <v>127</v>
      </c>
    </row>
    <row r="3" spans="1:4" s="89" customFormat="1" ht="48" customHeight="1" thickBot="1">
      <c r="A3" s="88" t="s">
        <v>72</v>
      </c>
      <c r="B3" s="238" t="s">
        <v>73</v>
      </c>
      <c r="C3" s="238" t="s">
        <v>134</v>
      </c>
      <c r="D3" s="239" t="s">
        <v>135</v>
      </c>
    </row>
    <row r="4" spans="1:4" s="89" customFormat="1" ht="13.5" customHeight="1" thickBot="1">
      <c r="A4" s="45">
        <v>1</v>
      </c>
      <c r="B4" s="241">
        <v>2</v>
      </c>
      <c r="C4" s="241">
        <v>3</v>
      </c>
      <c r="D4" s="242">
        <v>4</v>
      </c>
    </row>
    <row r="5" spans="1:4" ht="18" customHeight="1">
      <c r="A5" s="158" t="s">
        <v>74</v>
      </c>
      <c r="B5" s="243" t="s">
        <v>252</v>
      </c>
      <c r="C5" s="156"/>
      <c r="D5" s="90"/>
    </row>
    <row r="6" spans="1:4" ht="18" customHeight="1">
      <c r="A6" s="91" t="s">
        <v>75</v>
      </c>
      <c r="B6" s="244" t="s">
        <v>253</v>
      </c>
      <c r="C6" s="157"/>
      <c r="D6" s="93"/>
    </row>
    <row r="7" spans="1:4" ht="18" customHeight="1">
      <c r="A7" s="91" t="s">
        <v>76</v>
      </c>
      <c r="B7" s="244" t="s">
        <v>194</v>
      </c>
      <c r="C7" s="157"/>
      <c r="D7" s="93"/>
    </row>
    <row r="8" spans="1:4" ht="18" customHeight="1">
      <c r="A8" s="91" t="s">
        <v>77</v>
      </c>
      <c r="B8" s="244" t="s">
        <v>195</v>
      </c>
      <c r="C8" s="157"/>
      <c r="D8" s="93"/>
    </row>
    <row r="9" spans="1:4" ht="18" customHeight="1">
      <c r="A9" s="91" t="s">
        <v>78</v>
      </c>
      <c r="B9" s="244" t="s">
        <v>244</v>
      </c>
      <c r="C9" s="1002">
        <f>SUM(C10:C16)</f>
        <v>1815856</v>
      </c>
      <c r="D9" s="1003">
        <f>SUM(D10:D16)</f>
        <v>582330</v>
      </c>
    </row>
    <row r="10" spans="1:4" ht="18" customHeight="1">
      <c r="A10" s="91" t="s">
        <v>79</v>
      </c>
      <c r="B10" s="244" t="s">
        <v>245</v>
      </c>
      <c r="C10" s="157">
        <v>1815856</v>
      </c>
      <c r="D10" s="93">
        <v>582330</v>
      </c>
    </row>
    <row r="11" spans="1:4" ht="18" customHeight="1">
      <c r="A11" s="91" t="s">
        <v>80</v>
      </c>
      <c r="B11" s="245" t="s">
        <v>246</v>
      </c>
      <c r="C11" s="157"/>
      <c r="D11" s="93"/>
    </row>
    <row r="12" spans="1:4" ht="18" customHeight="1">
      <c r="A12" s="91" t="s">
        <v>81</v>
      </c>
      <c r="B12" s="245" t="s">
        <v>247</v>
      </c>
      <c r="C12" s="157"/>
      <c r="D12" s="93"/>
    </row>
    <row r="13" spans="1:4" ht="18" customHeight="1">
      <c r="A13" s="91" t="s">
        <v>82</v>
      </c>
      <c r="B13" s="245" t="s">
        <v>248</v>
      </c>
      <c r="C13" s="157"/>
      <c r="D13" s="93"/>
    </row>
    <row r="14" spans="1:4" ht="18" customHeight="1">
      <c r="A14" s="91" t="s">
        <v>83</v>
      </c>
      <c r="B14" s="245" t="s">
        <v>249</v>
      </c>
      <c r="C14" s="157"/>
      <c r="D14" s="93"/>
    </row>
    <row r="15" spans="1:4" ht="18" customHeight="1">
      <c r="A15" s="91" t="s">
        <v>84</v>
      </c>
      <c r="B15" s="245" t="s">
        <v>250</v>
      </c>
      <c r="C15" s="157"/>
      <c r="D15" s="93"/>
    </row>
    <row r="16" spans="1:4" ht="22.5" customHeight="1">
      <c r="A16" s="91" t="s">
        <v>85</v>
      </c>
      <c r="B16" s="245" t="s">
        <v>251</v>
      </c>
      <c r="C16" s="157"/>
      <c r="D16" s="93"/>
    </row>
    <row r="17" spans="1:4" ht="18" customHeight="1">
      <c r="A17" s="91" t="s">
        <v>86</v>
      </c>
      <c r="B17" s="244" t="s">
        <v>196</v>
      </c>
      <c r="C17" s="157"/>
      <c r="D17" s="93"/>
    </row>
    <row r="18" spans="1:4" ht="18" customHeight="1">
      <c r="A18" s="91" t="s">
        <v>87</v>
      </c>
      <c r="B18" s="244" t="s">
        <v>57</v>
      </c>
      <c r="C18" s="1002">
        <v>2216</v>
      </c>
      <c r="D18" s="1003">
        <v>1859</v>
      </c>
    </row>
    <row r="19" spans="1:4" ht="18" customHeight="1">
      <c r="A19" s="91" t="s">
        <v>88</v>
      </c>
      <c r="B19" s="244" t="s">
        <v>56</v>
      </c>
      <c r="C19" s="157"/>
      <c r="D19" s="93"/>
    </row>
    <row r="20" spans="1:4" ht="18" customHeight="1">
      <c r="A20" s="91" t="s">
        <v>89</v>
      </c>
      <c r="B20" s="244" t="s">
        <v>197</v>
      </c>
      <c r="C20" s="157"/>
      <c r="D20" s="93"/>
    </row>
    <row r="21" spans="1:4" ht="18" customHeight="1">
      <c r="A21" s="91" t="s">
        <v>90</v>
      </c>
      <c r="B21" s="244" t="s">
        <v>198</v>
      </c>
      <c r="C21" s="157"/>
      <c r="D21" s="93"/>
    </row>
    <row r="22" spans="1:4" ht="18" customHeight="1">
      <c r="A22" s="91" t="s">
        <v>91</v>
      </c>
      <c r="B22" s="146"/>
      <c r="C22" s="92"/>
      <c r="D22" s="93"/>
    </row>
    <row r="23" spans="1:4" ht="18" customHeight="1">
      <c r="A23" s="91" t="s">
        <v>92</v>
      </c>
      <c r="B23" s="94"/>
      <c r="C23" s="92"/>
      <c r="D23" s="93"/>
    </row>
    <row r="24" spans="1:4" ht="18" customHeight="1">
      <c r="A24" s="91" t="s">
        <v>93</v>
      </c>
      <c r="B24" s="94"/>
      <c r="C24" s="92"/>
      <c r="D24" s="93"/>
    </row>
    <row r="25" spans="1:4" ht="18" customHeight="1">
      <c r="A25" s="91" t="s">
        <v>94</v>
      </c>
      <c r="B25" s="94"/>
      <c r="C25" s="92"/>
      <c r="D25" s="93"/>
    </row>
    <row r="26" spans="1:4" ht="18" customHeight="1">
      <c r="A26" s="91" t="s">
        <v>95</v>
      </c>
      <c r="B26" s="94"/>
      <c r="C26" s="92"/>
      <c r="D26" s="93"/>
    </row>
    <row r="27" spans="1:4" ht="18" customHeight="1">
      <c r="A27" s="91" t="s">
        <v>96</v>
      </c>
      <c r="B27" s="94"/>
      <c r="C27" s="92"/>
      <c r="D27" s="93"/>
    </row>
    <row r="28" spans="1:4" ht="18" customHeight="1">
      <c r="A28" s="91" t="s">
        <v>97</v>
      </c>
      <c r="B28" s="94"/>
      <c r="C28" s="92"/>
      <c r="D28" s="93"/>
    </row>
    <row r="29" spans="1:4" ht="18" customHeight="1">
      <c r="A29" s="91" t="s">
        <v>98</v>
      </c>
      <c r="B29" s="94"/>
      <c r="C29" s="92"/>
      <c r="D29" s="93"/>
    </row>
    <row r="30" spans="1:4" ht="18" customHeight="1" thickBot="1">
      <c r="A30" s="159" t="s">
        <v>99</v>
      </c>
      <c r="B30" s="95"/>
      <c r="C30" s="96"/>
      <c r="D30" s="97"/>
    </row>
    <row r="31" spans="1:4" ht="18" customHeight="1" thickBot="1">
      <c r="A31" s="46" t="s">
        <v>100</v>
      </c>
      <c r="B31" s="249" t="s">
        <v>109</v>
      </c>
      <c r="C31" s="250">
        <f>SUM(C5:C30)</f>
        <v>3633928</v>
      </c>
      <c r="D31" s="251">
        <f>SUM(D5:D30)</f>
        <v>1166519</v>
      </c>
    </row>
    <row r="32" spans="1:4" ht="8.25" customHeight="1">
      <c r="A32" s="98"/>
      <c r="B32" s="1410"/>
      <c r="C32" s="1410"/>
      <c r="D32" s="1410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CE,Dőlt"22. számú melléklet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3"/>
  <sheetViews>
    <sheetView workbookViewId="0" topLeftCell="A1">
      <selection activeCell="L19" sqref="L19"/>
    </sheetView>
  </sheetViews>
  <sheetFormatPr defaultColWidth="9.00390625" defaultRowHeight="12.75"/>
  <cols>
    <col min="1" max="1" width="4.875" style="117" customWidth="1"/>
    <col min="2" max="2" width="28.875" style="136" customWidth="1"/>
    <col min="3" max="4" width="9.00390625" style="136" customWidth="1"/>
    <col min="5" max="5" width="9.50390625" style="136" customWidth="1"/>
    <col min="6" max="6" width="8.875" style="136" customWidth="1"/>
    <col min="7" max="7" width="8.625" style="136" customWidth="1"/>
    <col min="8" max="8" width="8.875" style="136" customWidth="1"/>
    <col min="9" max="9" width="8.125" style="136" customWidth="1"/>
    <col min="10" max="14" width="9.50390625" style="136" customWidth="1"/>
    <col min="15" max="15" width="12.625" style="117" customWidth="1"/>
    <col min="16" max="16" width="15.50390625" style="1098" hidden="1" customWidth="1"/>
    <col min="17" max="19" width="15.50390625" style="1094" hidden="1" customWidth="1"/>
    <col min="20" max="29" width="15.50390625" style="1094" bestFit="1" customWidth="1"/>
    <col min="30" max="16384" width="9.375" style="136" customWidth="1"/>
  </cols>
  <sheetData>
    <row r="1" spans="1:15" ht="31.5" customHeight="1">
      <c r="A1" s="1415" t="s">
        <v>58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16"/>
      <c r="N1" s="1416"/>
      <c r="O1" s="1416"/>
    </row>
    <row r="2" ht="16.5" thickBot="1">
      <c r="O2" s="5" t="s">
        <v>112</v>
      </c>
    </row>
    <row r="3" spans="1:29" s="117" customFormat="1" ht="25.5" customHeight="1" thickBot="1">
      <c r="A3" s="114" t="s">
        <v>72</v>
      </c>
      <c r="B3" s="115" t="s">
        <v>128</v>
      </c>
      <c r="C3" s="115" t="s">
        <v>136</v>
      </c>
      <c r="D3" s="115" t="s">
        <v>137</v>
      </c>
      <c r="E3" s="115" t="s">
        <v>138</v>
      </c>
      <c r="F3" s="115" t="s">
        <v>139</v>
      </c>
      <c r="G3" s="115" t="s">
        <v>140</v>
      </c>
      <c r="H3" s="115" t="s">
        <v>141</v>
      </c>
      <c r="I3" s="115" t="s">
        <v>142</v>
      </c>
      <c r="J3" s="115" t="s">
        <v>143</v>
      </c>
      <c r="K3" s="115" t="s">
        <v>144</v>
      </c>
      <c r="L3" s="115" t="s">
        <v>145</v>
      </c>
      <c r="M3" s="115" t="s">
        <v>146</v>
      </c>
      <c r="N3" s="115" t="s">
        <v>147</v>
      </c>
      <c r="O3" s="116" t="s">
        <v>109</v>
      </c>
      <c r="P3" s="1099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</row>
    <row r="4" spans="1:29" s="119" customFormat="1" ht="15" customHeight="1" thickBot="1">
      <c r="A4" s="118" t="s">
        <v>74</v>
      </c>
      <c r="B4" s="1412" t="s">
        <v>115</v>
      </c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4"/>
      <c r="P4" s="1100"/>
      <c r="Q4" s="1096"/>
      <c r="R4" s="1096"/>
      <c r="S4" s="1096"/>
      <c r="T4" s="1096"/>
      <c r="U4" s="1096"/>
      <c r="V4" s="1096"/>
      <c r="W4" s="1096"/>
      <c r="X4" s="1096"/>
      <c r="Y4" s="1096"/>
      <c r="Z4" s="1096"/>
      <c r="AA4" s="1096"/>
      <c r="AB4" s="1096"/>
      <c r="AC4" s="1096"/>
    </row>
    <row r="5" spans="1:29" s="119" customFormat="1" ht="15" customHeight="1">
      <c r="A5" s="120" t="s">
        <v>75</v>
      </c>
      <c r="B5" s="121" t="s">
        <v>275</v>
      </c>
      <c r="C5" s="122">
        <v>39140</v>
      </c>
      <c r="D5" s="122">
        <v>35290</v>
      </c>
      <c r="E5" s="122">
        <v>975000</v>
      </c>
      <c r="F5" s="122">
        <v>98610</v>
      </c>
      <c r="G5" s="122">
        <v>86500</v>
      </c>
      <c r="H5" s="122">
        <v>84200</v>
      </c>
      <c r="I5" s="122">
        <v>56260</v>
      </c>
      <c r="J5" s="122">
        <v>93000</v>
      </c>
      <c r="K5" s="122">
        <v>985000</v>
      </c>
      <c r="L5" s="122">
        <v>74700</v>
      </c>
      <c r="M5" s="122">
        <v>96300</v>
      </c>
      <c r="N5" s="122">
        <v>109000</v>
      </c>
      <c r="O5" s="123">
        <f aca="true" t="shared" si="0" ref="O5:O27">SUM(C5:N5)</f>
        <v>2733000</v>
      </c>
      <c r="P5" s="1100">
        <f>Q5-O5</f>
        <v>1000</v>
      </c>
      <c r="Q5" s="1096">
        <f>4!C6</f>
        <v>2734000</v>
      </c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</row>
    <row r="6" spans="1:29" s="127" customFormat="1" ht="13.5" customHeight="1">
      <c r="A6" s="124" t="s">
        <v>76</v>
      </c>
      <c r="B6" s="365" t="s">
        <v>116</v>
      </c>
      <c r="C6" s="125">
        <v>80630</v>
      </c>
      <c r="D6" s="125">
        <v>81000</v>
      </c>
      <c r="E6" s="125">
        <v>65500</v>
      </c>
      <c r="F6" s="125">
        <v>81500</v>
      </c>
      <c r="G6" s="125">
        <v>83274</v>
      </c>
      <c r="H6" s="125">
        <v>81700</v>
      </c>
      <c r="I6" s="125">
        <v>82300</v>
      </c>
      <c r="J6" s="125">
        <v>80600</v>
      </c>
      <c r="K6" s="125">
        <v>70800</v>
      </c>
      <c r="L6" s="125">
        <v>85260</v>
      </c>
      <c r="M6" s="125">
        <v>86460</v>
      </c>
      <c r="N6" s="125">
        <v>88630</v>
      </c>
      <c r="O6" s="126">
        <f t="shared" si="0"/>
        <v>967654</v>
      </c>
      <c r="P6" s="1101">
        <f aca="true" t="shared" si="1" ref="P6:P28">Q6-O6</f>
        <v>435881</v>
      </c>
      <c r="Q6" s="1097">
        <f>4!C11</f>
        <v>1403535</v>
      </c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</row>
    <row r="7" spans="1:29" s="127" customFormat="1" ht="15.75">
      <c r="A7" s="124" t="s">
        <v>77</v>
      </c>
      <c r="B7" s="366" t="s">
        <v>118</v>
      </c>
      <c r="C7" s="128">
        <v>880</v>
      </c>
      <c r="D7" s="128">
        <v>3040</v>
      </c>
      <c r="E7" s="128">
        <v>38000</v>
      </c>
      <c r="F7" s="128">
        <v>4000</v>
      </c>
      <c r="G7" s="128">
        <v>1600</v>
      </c>
      <c r="H7" s="128">
        <v>1600</v>
      </c>
      <c r="I7" s="128">
        <v>1600</v>
      </c>
      <c r="J7" s="128">
        <v>3600</v>
      </c>
      <c r="K7" s="128">
        <v>32200</v>
      </c>
      <c r="L7" s="128">
        <v>3600</v>
      </c>
      <c r="M7" s="128">
        <v>3600</v>
      </c>
      <c r="N7" s="128">
        <v>1280</v>
      </c>
      <c r="O7" s="129">
        <f t="shared" si="0"/>
        <v>95000</v>
      </c>
      <c r="P7" s="1101">
        <f t="shared" si="1"/>
        <v>0</v>
      </c>
      <c r="Q7" s="1097">
        <f>4!C20</f>
        <v>95000</v>
      </c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</row>
    <row r="8" spans="1:29" s="127" customFormat="1" ht="13.5" customHeight="1">
      <c r="A8" s="124" t="s">
        <v>78</v>
      </c>
      <c r="B8" s="365" t="s">
        <v>779</v>
      </c>
      <c r="C8" s="125">
        <v>110814</v>
      </c>
      <c r="D8" s="125">
        <v>120000</v>
      </c>
      <c r="E8" s="125">
        <v>95000</v>
      </c>
      <c r="F8" s="125">
        <v>115840</v>
      </c>
      <c r="G8" s="125">
        <v>125500</v>
      </c>
      <c r="H8" s="125">
        <v>116000</v>
      </c>
      <c r="I8" s="125">
        <v>120000</v>
      </c>
      <c r="J8" s="125">
        <v>110000</v>
      </c>
      <c r="K8" s="125">
        <v>102000</v>
      </c>
      <c r="L8" s="125">
        <v>125000</v>
      </c>
      <c r="M8" s="125">
        <v>120000</v>
      </c>
      <c r="N8" s="125">
        <v>130000</v>
      </c>
      <c r="O8" s="126">
        <f t="shared" si="0"/>
        <v>1390154</v>
      </c>
      <c r="P8" s="1101">
        <f t="shared" si="1"/>
        <v>268032</v>
      </c>
      <c r="Q8" s="1097">
        <f>4!C21</f>
        <v>1658186</v>
      </c>
      <c r="R8" s="1097"/>
      <c r="S8" s="1097"/>
      <c r="T8" s="1097"/>
      <c r="U8" s="1097"/>
      <c r="V8" s="1097"/>
      <c r="W8" s="1097"/>
      <c r="X8" s="1097"/>
      <c r="Y8" s="1097"/>
      <c r="Z8" s="1097"/>
      <c r="AA8" s="1097"/>
      <c r="AB8" s="1097"/>
      <c r="AC8" s="1097"/>
    </row>
    <row r="9" spans="1:29" s="127" customFormat="1" ht="13.5" customHeight="1">
      <c r="A9" s="124" t="s">
        <v>79</v>
      </c>
      <c r="B9" s="365" t="s">
        <v>59</v>
      </c>
      <c r="C9" s="125"/>
      <c r="D9" s="125">
        <f>17009+44555</f>
        <v>61564</v>
      </c>
      <c r="E9" s="125">
        <f>11142</f>
        <v>11142</v>
      </c>
      <c r="F9" s="125">
        <f>77500+31600</f>
        <v>109100</v>
      </c>
      <c r="G9" s="125">
        <f>155466+31600</f>
        <v>187066</v>
      </c>
      <c r="H9" s="125">
        <v>31600</v>
      </c>
      <c r="I9" s="125">
        <v>32000</v>
      </c>
      <c r="J9" s="125">
        <f>100000+31500</f>
        <v>131500</v>
      </c>
      <c r="K9" s="125"/>
      <c r="L9" s="125">
        <f>143621+31600</f>
        <v>175221</v>
      </c>
      <c r="M9" s="125">
        <f>85000+31900</f>
        <v>116900</v>
      </c>
      <c r="N9" s="125">
        <v>31005</v>
      </c>
      <c r="O9" s="126">
        <f t="shared" si="0"/>
        <v>887098</v>
      </c>
      <c r="P9" s="1101">
        <f t="shared" si="1"/>
        <v>512463</v>
      </c>
      <c r="Q9" s="1097">
        <f>4!C32</f>
        <v>1399561</v>
      </c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</row>
    <row r="10" spans="1:29" s="127" customFormat="1" ht="13.5" customHeight="1">
      <c r="A10" s="124" t="s">
        <v>80</v>
      </c>
      <c r="B10" s="365" t="s">
        <v>60</v>
      </c>
      <c r="C10" s="125"/>
      <c r="D10" s="125"/>
      <c r="E10" s="125"/>
      <c r="F10" s="125">
        <v>1000</v>
      </c>
      <c r="G10" s="125">
        <v>1000</v>
      </c>
      <c r="H10" s="125">
        <v>2500</v>
      </c>
      <c r="I10" s="125">
        <v>1000</v>
      </c>
      <c r="J10" s="125"/>
      <c r="K10" s="125"/>
      <c r="L10" s="125"/>
      <c r="M10" s="125"/>
      <c r="N10" s="125">
        <v>94830</v>
      </c>
      <c r="O10" s="126">
        <f t="shared" si="0"/>
        <v>100330</v>
      </c>
      <c r="P10" s="1101">
        <f t="shared" si="1"/>
        <v>12451</v>
      </c>
      <c r="Q10" s="1097">
        <f>4!C45</f>
        <v>112781</v>
      </c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</row>
    <row r="11" spans="1:29" s="127" customFormat="1" ht="13.5" customHeight="1">
      <c r="A11" s="124" t="s">
        <v>81</v>
      </c>
      <c r="B11" s="365" t="s">
        <v>61</v>
      </c>
      <c r="C11" s="125">
        <v>135000</v>
      </c>
      <c r="D11" s="125">
        <v>110000</v>
      </c>
      <c r="E11" s="125"/>
      <c r="F11" s="125">
        <v>100000</v>
      </c>
      <c r="G11" s="125">
        <v>247000</v>
      </c>
      <c r="H11" s="125">
        <v>250000</v>
      </c>
      <c r="I11" s="125">
        <v>29191</v>
      </c>
      <c r="J11" s="125"/>
      <c r="K11" s="125"/>
      <c r="L11" s="125"/>
      <c r="M11" s="125"/>
      <c r="N11" s="125"/>
      <c r="O11" s="126">
        <f t="shared" si="0"/>
        <v>871191</v>
      </c>
      <c r="P11" s="1101">
        <f t="shared" si="1"/>
        <v>6609</v>
      </c>
      <c r="Q11" s="1097">
        <f>4!C48</f>
        <v>877800</v>
      </c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</row>
    <row r="12" spans="1:29" s="127" customFormat="1" ht="15.75">
      <c r="A12" s="124" t="s">
        <v>82</v>
      </c>
      <c r="B12" s="367" t="s">
        <v>62</v>
      </c>
      <c r="C12" s="125"/>
      <c r="D12" s="125"/>
      <c r="E12" s="125"/>
      <c r="F12" s="125">
        <v>6000</v>
      </c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6000</v>
      </c>
      <c r="P12" s="1101">
        <f t="shared" si="1"/>
        <v>0</v>
      </c>
      <c r="Q12" s="1097">
        <f>4!C53</f>
        <v>6000</v>
      </c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  <c r="AC12" s="1097"/>
    </row>
    <row r="13" spans="1:29" s="127" customFormat="1" ht="13.5" customHeight="1" thickBot="1">
      <c r="A13" s="124" t="s">
        <v>83</v>
      </c>
      <c r="B13" s="365" t="s">
        <v>63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0</v>
      </c>
      <c r="P13" s="1101">
        <f t="shared" si="1"/>
        <v>53890</v>
      </c>
      <c r="Q13" s="1097">
        <f>4!C55</f>
        <v>53890</v>
      </c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</row>
    <row r="14" spans="1:29" s="119" customFormat="1" ht="15.75" customHeight="1" thickBot="1">
      <c r="A14" s="118" t="s">
        <v>84</v>
      </c>
      <c r="B14" s="47" t="s">
        <v>183</v>
      </c>
      <c r="C14" s="130">
        <f aca="true" t="shared" si="2" ref="C14:N14">SUM(C5:C13)</f>
        <v>366464</v>
      </c>
      <c r="D14" s="130">
        <f t="shared" si="2"/>
        <v>410894</v>
      </c>
      <c r="E14" s="130">
        <f t="shared" si="2"/>
        <v>1184642</v>
      </c>
      <c r="F14" s="130">
        <f t="shared" si="2"/>
        <v>516050</v>
      </c>
      <c r="G14" s="130">
        <f t="shared" si="2"/>
        <v>731940</v>
      </c>
      <c r="H14" s="130">
        <f t="shared" si="2"/>
        <v>567600</v>
      </c>
      <c r="I14" s="130">
        <f t="shared" si="2"/>
        <v>322351</v>
      </c>
      <c r="J14" s="130">
        <f t="shared" si="2"/>
        <v>418700</v>
      </c>
      <c r="K14" s="130">
        <f t="shared" si="2"/>
        <v>1190000</v>
      </c>
      <c r="L14" s="130">
        <f t="shared" si="2"/>
        <v>463781</v>
      </c>
      <c r="M14" s="130">
        <f t="shared" si="2"/>
        <v>423260</v>
      </c>
      <c r="N14" s="130">
        <f t="shared" si="2"/>
        <v>454745</v>
      </c>
      <c r="O14" s="131">
        <f>SUM(C14:N14)</f>
        <v>7050427</v>
      </c>
      <c r="P14" s="1100">
        <f t="shared" si="1"/>
        <v>1290326</v>
      </c>
      <c r="Q14" s="1096">
        <f>SUM(Q5:Q13)</f>
        <v>8340753</v>
      </c>
      <c r="R14" s="1096"/>
      <c r="S14" s="1096"/>
      <c r="T14" s="1096"/>
      <c r="U14" s="1096"/>
      <c r="V14" s="1096"/>
      <c r="W14" s="1096"/>
      <c r="X14" s="1096"/>
      <c r="Y14" s="1096"/>
      <c r="Z14" s="1096"/>
      <c r="AA14" s="1096"/>
      <c r="AB14" s="1096"/>
      <c r="AC14" s="1096"/>
    </row>
    <row r="15" spans="1:29" s="119" customFormat="1" ht="15" customHeight="1" thickBot="1">
      <c r="A15" s="118" t="s">
        <v>85</v>
      </c>
      <c r="B15" s="1412" t="s">
        <v>119</v>
      </c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4"/>
      <c r="P15" s="1100">
        <f t="shared" si="1"/>
        <v>0</v>
      </c>
      <c r="Q15" s="1096"/>
      <c r="R15" s="1096"/>
      <c r="S15" s="1096"/>
      <c r="T15" s="1096"/>
      <c r="U15" s="1096"/>
      <c r="V15" s="1096"/>
      <c r="W15" s="1096"/>
      <c r="X15" s="1096"/>
      <c r="Y15" s="1096"/>
      <c r="Z15" s="1096"/>
      <c r="AA15" s="1096"/>
      <c r="AB15" s="1096"/>
      <c r="AC15" s="1096"/>
    </row>
    <row r="16" spans="1:29" s="127" customFormat="1" ht="13.5" customHeight="1">
      <c r="A16" s="132" t="s">
        <v>86</v>
      </c>
      <c r="B16" s="368" t="s">
        <v>129</v>
      </c>
      <c r="C16" s="128">
        <f>97500+431+3555</f>
        <v>101486</v>
      </c>
      <c r="D16" s="128">
        <f>97500+425+431+3555</f>
        <v>101911</v>
      </c>
      <c r="E16" s="128">
        <f>97500+849</f>
        <v>98349</v>
      </c>
      <c r="F16" s="128">
        <f>97500+849</f>
        <v>98349</v>
      </c>
      <c r="G16" s="128">
        <f>97510+9060+3775+2265</f>
        <v>112610</v>
      </c>
      <c r="H16" s="128">
        <f>97510+9060+3775+2265</f>
        <v>112610</v>
      </c>
      <c r="I16" s="128">
        <f>97510+9060+3775+1132+2265</f>
        <v>113742</v>
      </c>
      <c r="J16" s="128">
        <f>97510+9060+3775+1132</f>
        <v>111477</v>
      </c>
      <c r="K16" s="128">
        <f>97505+9060+3775+1132</f>
        <v>111472</v>
      </c>
      <c r="L16" s="128">
        <f>97505+1133</f>
        <v>98638</v>
      </c>
      <c r="M16" s="128">
        <f>97510+1133+3555</f>
        <v>102198</v>
      </c>
      <c r="N16" s="128">
        <f>97505+1133+3555</f>
        <v>102193</v>
      </c>
      <c r="O16" s="129">
        <f t="shared" si="0"/>
        <v>1265035</v>
      </c>
      <c r="P16" s="1101">
        <f t="shared" si="1"/>
        <v>105498</v>
      </c>
      <c r="Q16" s="1097">
        <f>4!C77</f>
        <v>1370533</v>
      </c>
      <c r="R16" s="1097">
        <f>45300+18875+6795+2123+6795+862+14220</f>
        <v>94970</v>
      </c>
      <c r="S16" s="1097">
        <f>Q16-R16</f>
        <v>1275563</v>
      </c>
      <c r="T16" s="1097"/>
      <c r="U16" s="1097"/>
      <c r="V16" s="1097"/>
      <c r="W16" s="1097"/>
      <c r="X16" s="1097"/>
      <c r="Y16" s="1097"/>
      <c r="Z16" s="1097"/>
      <c r="AA16" s="1097"/>
      <c r="AB16" s="1097"/>
      <c r="AC16" s="1097"/>
    </row>
    <row r="17" spans="1:29" s="127" customFormat="1" ht="27" customHeight="1">
      <c r="A17" s="124" t="s">
        <v>87</v>
      </c>
      <c r="B17" s="367" t="s">
        <v>298</v>
      </c>
      <c r="C17" s="125">
        <f>25795+58+480</f>
        <v>26333</v>
      </c>
      <c r="D17" s="125">
        <f>25795+109+58+480</f>
        <v>26442</v>
      </c>
      <c r="E17" s="125">
        <f>25795+219</f>
        <v>26014</v>
      </c>
      <c r="F17" s="125">
        <f>25795+219</f>
        <v>26014</v>
      </c>
      <c r="G17" s="125">
        <f>25795+1223+510+219</f>
        <v>27747</v>
      </c>
      <c r="H17" s="125">
        <f>25795+1223+510+219</f>
        <v>27747</v>
      </c>
      <c r="I17" s="125">
        <f>25790+1223+510+219+153</f>
        <v>27895</v>
      </c>
      <c r="J17" s="125">
        <f>25795+1223+510+153</f>
        <v>27681</v>
      </c>
      <c r="K17" s="125">
        <f>25795+1224+508+153</f>
        <v>27680</v>
      </c>
      <c r="L17" s="125">
        <f>25795+153</f>
        <v>25948</v>
      </c>
      <c r="M17" s="125">
        <f>25790+480+153</f>
        <v>26423</v>
      </c>
      <c r="N17" s="125">
        <f>25790+480+152</f>
        <v>26422</v>
      </c>
      <c r="O17" s="126">
        <f t="shared" si="0"/>
        <v>322346</v>
      </c>
      <c r="P17" s="1101">
        <f t="shared" si="1"/>
        <v>36271</v>
      </c>
      <c r="Q17" s="1097">
        <f>4!C78</f>
        <v>358617</v>
      </c>
      <c r="R17" s="1097">
        <f>6116+2548+917+1204+116+1920</f>
        <v>12821</v>
      </c>
      <c r="S17" s="1097">
        <f>Q17-R17</f>
        <v>345796</v>
      </c>
      <c r="T17" s="1097"/>
      <c r="U17" s="1097"/>
      <c r="V17" s="1097"/>
      <c r="W17" s="1097"/>
      <c r="X17" s="1097"/>
      <c r="Y17" s="1097"/>
      <c r="Z17" s="1097"/>
      <c r="AA17" s="1097"/>
      <c r="AB17" s="1097"/>
      <c r="AC17" s="1097"/>
    </row>
    <row r="18" spans="1:29" s="127" customFormat="1" ht="13.5" customHeight="1">
      <c r="A18" s="124" t="s">
        <v>88</v>
      </c>
      <c r="B18" s="365" t="s">
        <v>215</v>
      </c>
      <c r="C18" s="125">
        <f>960+110694+10000</f>
        <v>121654</v>
      </c>
      <c r="D18" s="125">
        <f>1600+960+36327+35000</f>
        <v>73887</v>
      </c>
      <c r="E18" s="125">
        <f>264510+15000</f>
        <v>279510</v>
      </c>
      <c r="F18" s="125">
        <v>265000</v>
      </c>
      <c r="G18" s="125">
        <f>14000+3461+1920+262000</f>
        <v>281381</v>
      </c>
      <c r="H18" s="125">
        <v>264500</v>
      </c>
      <c r="I18" s="125">
        <v>150000</v>
      </c>
      <c r="J18" s="125">
        <f>1720+255509</f>
        <v>257229</v>
      </c>
      <c r="K18" s="125">
        <f>264200+150000</f>
        <v>414200</v>
      </c>
      <c r="L18" s="125">
        <f>230000-4500+2000</f>
        <v>227500</v>
      </c>
      <c r="M18" s="125">
        <f>960+247140</f>
        <v>248100</v>
      </c>
      <c r="N18" s="125">
        <f>960+247000</f>
        <v>247960</v>
      </c>
      <c r="O18" s="126">
        <f t="shared" si="0"/>
        <v>2830921</v>
      </c>
      <c r="P18" s="1101">
        <f t="shared" si="1"/>
        <v>193234</v>
      </c>
      <c r="Q18" s="1097">
        <f>4!C79</f>
        <v>3024155</v>
      </c>
      <c r="R18" s="1097">
        <f>14000+3461+1720+3520+3840</f>
        <v>26541</v>
      </c>
      <c r="S18" s="1097">
        <f>Q18-R18</f>
        <v>2997614</v>
      </c>
      <c r="T18" s="1097"/>
      <c r="U18" s="1097"/>
      <c r="V18" s="1097"/>
      <c r="W18" s="1097"/>
      <c r="X18" s="1097"/>
      <c r="Y18" s="1097"/>
      <c r="Z18" s="1097"/>
      <c r="AA18" s="1097"/>
      <c r="AB18" s="1097"/>
      <c r="AC18" s="1097"/>
    </row>
    <row r="19" spans="1:29" s="127" customFormat="1" ht="13.5" customHeight="1">
      <c r="A19" s="124" t="s">
        <v>89</v>
      </c>
      <c r="B19" s="365" t="s">
        <v>299</v>
      </c>
      <c r="C19" s="125">
        <v>2520</v>
      </c>
      <c r="D19" s="125"/>
      <c r="E19" s="125"/>
      <c r="F19" s="125"/>
      <c r="G19" s="125"/>
      <c r="H19" s="125"/>
      <c r="I19" s="125"/>
      <c r="J19" s="125"/>
      <c r="K19" s="125">
        <v>3480</v>
      </c>
      <c r="L19" s="125"/>
      <c r="M19" s="125"/>
      <c r="N19" s="125"/>
      <c r="O19" s="126">
        <f t="shared" si="0"/>
        <v>6000</v>
      </c>
      <c r="P19" s="1101">
        <f t="shared" si="1"/>
        <v>0</v>
      </c>
      <c r="Q19" s="1097">
        <f>4!C80</f>
        <v>6000</v>
      </c>
      <c r="R19" s="1097"/>
      <c r="S19" s="1097"/>
      <c r="T19" s="1097"/>
      <c r="U19" s="1097"/>
      <c r="V19" s="1097"/>
      <c r="W19" s="1097"/>
      <c r="X19" s="1097"/>
      <c r="Y19" s="1097"/>
      <c r="Z19" s="1097"/>
      <c r="AA19" s="1097"/>
      <c r="AB19" s="1097"/>
      <c r="AC19" s="1097"/>
    </row>
    <row r="20" spans="1:29" s="127" customFormat="1" ht="13.5" customHeight="1">
      <c r="A20" s="124" t="s">
        <v>90</v>
      </c>
      <c r="B20" s="365" t="s">
        <v>300</v>
      </c>
      <c r="C20" s="125">
        <f>143107-26800-10000</f>
        <v>106307</v>
      </c>
      <c r="D20" s="125">
        <f>8324+25410</f>
        <v>33734</v>
      </c>
      <c r="E20" s="125">
        <f>25410-2000</f>
        <v>23410</v>
      </c>
      <c r="F20" s="125">
        <f>25410-2000</f>
        <v>23410</v>
      </c>
      <c r="G20" s="125">
        <f>25410-2000</f>
        <v>23410</v>
      </c>
      <c r="H20" s="125">
        <f>25410-1000</f>
        <v>24410</v>
      </c>
      <c r="I20" s="125">
        <f>25419-1000</f>
        <v>24419</v>
      </c>
      <c r="J20" s="125">
        <f>25410-1000</f>
        <v>24410</v>
      </c>
      <c r="K20" s="125">
        <f>25410+200000-2000</f>
        <v>223410</v>
      </c>
      <c r="L20" s="125">
        <f>25410-2000</f>
        <v>23410</v>
      </c>
      <c r="M20" s="125">
        <f>25410-1000</f>
        <v>24410</v>
      </c>
      <c r="N20" s="125">
        <f>25410-1000</f>
        <v>24410</v>
      </c>
      <c r="O20" s="126">
        <f t="shared" si="0"/>
        <v>579150</v>
      </c>
      <c r="P20" s="1101">
        <f t="shared" si="1"/>
        <v>141126</v>
      </c>
      <c r="Q20" s="1097">
        <f>4!C81</f>
        <v>720276</v>
      </c>
      <c r="R20" s="1102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</row>
    <row r="21" spans="1:29" s="127" customFormat="1" ht="13.5" customHeight="1">
      <c r="A21" s="124" t="s">
        <v>91</v>
      </c>
      <c r="B21" s="365" t="s">
        <v>417</v>
      </c>
      <c r="C21" s="125">
        <f>15910</f>
        <v>15910</v>
      </c>
      <c r="D21" s="125">
        <f>12996+25413</f>
        <v>38409</v>
      </c>
      <c r="E21" s="125">
        <f>10000+43+2500+15000+13000+8400+19000+7500</f>
        <v>75443</v>
      </c>
      <c r="F21" s="125">
        <f>10000+76230+10000</f>
        <v>96230</v>
      </c>
      <c r="G21" s="125">
        <f>15000+202000</f>
        <v>217000</v>
      </c>
      <c r="H21" s="125">
        <f>15000+50000</f>
        <v>65000</v>
      </c>
      <c r="I21" s="125">
        <f>20000+60000</f>
        <v>80000</v>
      </c>
      <c r="J21" s="125">
        <f>100000</f>
        <v>100000</v>
      </c>
      <c r="K21" s="125">
        <f>150000-39800-7100</f>
        <v>103100</v>
      </c>
      <c r="L21" s="125">
        <f>85000+6000</f>
        <v>91000</v>
      </c>
      <c r="M21" s="125">
        <f>100000</f>
        <v>100000</v>
      </c>
      <c r="N21" s="125">
        <v>10149</v>
      </c>
      <c r="O21" s="126">
        <f t="shared" si="0"/>
        <v>992241</v>
      </c>
      <c r="P21" s="1101">
        <f t="shared" si="1"/>
        <v>721383</v>
      </c>
      <c r="Q21" s="1097">
        <f>4!C90</f>
        <v>1713624</v>
      </c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</row>
    <row r="22" spans="1:29" s="127" customFormat="1" ht="14.25" customHeight="1">
      <c r="A22" s="124" t="s">
        <v>92</v>
      </c>
      <c r="B22" s="367" t="s">
        <v>302</v>
      </c>
      <c r="C22" s="125">
        <f>835</f>
        <v>835</v>
      </c>
      <c r="D22" s="125"/>
      <c r="E22" s="125">
        <v>190000</v>
      </c>
      <c r="F22" s="125">
        <f>3000+9165</f>
        <v>12165</v>
      </c>
      <c r="G22" s="125">
        <f>1021</f>
        <v>1021</v>
      </c>
      <c r="H22" s="125">
        <v>6300</v>
      </c>
      <c r="I22" s="125">
        <v>50000</v>
      </c>
      <c r="J22" s="125">
        <v>50000</v>
      </c>
      <c r="K22" s="125">
        <v>139800</v>
      </c>
      <c r="L22" s="125"/>
      <c r="M22" s="125"/>
      <c r="N22" s="125"/>
      <c r="O22" s="126">
        <f t="shared" si="0"/>
        <v>450121</v>
      </c>
      <c r="P22" s="1101">
        <f t="shared" si="1"/>
        <v>8090</v>
      </c>
      <c r="Q22" s="1097">
        <f>4!C91</f>
        <v>458211</v>
      </c>
      <c r="R22" s="1097"/>
      <c r="S22" s="1097"/>
      <c r="T22" s="1097"/>
      <c r="U22" s="1097"/>
      <c r="V22" s="1097"/>
      <c r="W22" s="1097"/>
      <c r="X22" s="1097"/>
      <c r="Y22" s="1097"/>
      <c r="Z22" s="1097"/>
      <c r="AA22" s="1097"/>
      <c r="AB22" s="1097"/>
      <c r="AC22" s="1097"/>
    </row>
    <row r="23" spans="1:29" s="127" customFormat="1" ht="13.5" customHeight="1">
      <c r="A23" s="124" t="s">
        <v>93</v>
      </c>
      <c r="B23" s="365" t="s">
        <v>441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>
        <f t="shared" si="0"/>
        <v>0</v>
      </c>
      <c r="P23" s="1101">
        <f t="shared" si="1"/>
        <v>0</v>
      </c>
      <c r="Q23" s="1097">
        <f>4!C92</f>
        <v>0</v>
      </c>
      <c r="R23" s="1097"/>
      <c r="S23" s="1097"/>
      <c r="T23" s="1097"/>
      <c r="U23" s="1097"/>
      <c r="V23" s="1097"/>
      <c r="W23" s="1097"/>
      <c r="X23" s="1097"/>
      <c r="Y23" s="1097"/>
      <c r="Z23" s="1097"/>
      <c r="AA23" s="1097"/>
      <c r="AB23" s="1097"/>
      <c r="AC23" s="1097"/>
    </row>
    <row r="24" spans="1:29" s="127" customFormat="1" ht="13.5" customHeight="1">
      <c r="A24" s="124" t="s">
        <v>94</v>
      </c>
      <c r="B24" s="365" t="s">
        <v>106</v>
      </c>
      <c r="C24" s="125"/>
      <c r="D24" s="125"/>
      <c r="E24" s="125"/>
      <c r="F24" s="125"/>
      <c r="G24" s="125"/>
      <c r="H24" s="125">
        <f>140000-6000</f>
        <v>134000</v>
      </c>
      <c r="I24" s="125"/>
      <c r="J24" s="125"/>
      <c r="K24" s="125"/>
      <c r="L24" s="125">
        <f>131250+7100-2000</f>
        <v>136350</v>
      </c>
      <c r="M24" s="125"/>
      <c r="N24" s="125"/>
      <c r="O24" s="126">
        <f t="shared" si="0"/>
        <v>270350</v>
      </c>
      <c r="P24" s="1101">
        <f t="shared" si="1"/>
        <v>-148632</v>
      </c>
      <c r="Q24" s="1097">
        <f>4!C100</f>
        <v>121718</v>
      </c>
      <c r="R24" s="1097"/>
      <c r="S24" s="1097"/>
      <c r="T24" s="1097"/>
      <c r="U24" s="1097"/>
      <c r="V24" s="1097"/>
      <c r="W24" s="1097"/>
      <c r="X24" s="1097"/>
      <c r="Y24" s="1097"/>
      <c r="Z24" s="1097"/>
      <c r="AA24" s="1097"/>
      <c r="AB24" s="1097"/>
      <c r="AC24" s="1097"/>
    </row>
    <row r="25" spans="1:29" s="127" customFormat="1" ht="13.5" customHeight="1">
      <c r="A25" s="124" t="s">
        <v>95</v>
      </c>
      <c r="B25" s="365" t="s">
        <v>64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>
        <f t="shared" si="0"/>
        <v>0</v>
      </c>
      <c r="P25" s="1101">
        <f t="shared" si="1"/>
        <v>0</v>
      </c>
      <c r="Q25" s="1097">
        <f>4!C103</f>
        <v>0</v>
      </c>
      <c r="R25" s="1097"/>
      <c r="S25" s="1097"/>
      <c r="T25" s="1097"/>
      <c r="U25" s="1097"/>
      <c r="V25" s="1097"/>
      <c r="W25" s="1097"/>
      <c r="X25" s="1097"/>
      <c r="Y25" s="1097"/>
      <c r="Z25" s="1097"/>
      <c r="AA25" s="1097"/>
      <c r="AB25" s="1097"/>
      <c r="AC25" s="1097"/>
    </row>
    <row r="26" spans="1:29" s="127" customFormat="1" ht="13.5" customHeight="1" thickBot="1">
      <c r="A26" s="124" t="s">
        <v>96</v>
      </c>
      <c r="B26" s="365" t="s">
        <v>65</v>
      </c>
      <c r="C26" s="125"/>
      <c r="D26" s="125">
        <f>117283-9500</f>
        <v>107783</v>
      </c>
      <c r="E26" s="125"/>
      <c r="F26" s="125"/>
      <c r="G26" s="125">
        <f>117280-9500</f>
        <v>107780</v>
      </c>
      <c r="H26" s="125"/>
      <c r="I26" s="125"/>
      <c r="J26" s="125"/>
      <c r="K26" s="125">
        <f>68850-9500</f>
        <v>59350</v>
      </c>
      <c r="L26" s="125"/>
      <c r="M26" s="125"/>
      <c r="N26" s="125">
        <f>68850-9500</f>
        <v>59350</v>
      </c>
      <c r="O26" s="126">
        <f t="shared" si="0"/>
        <v>334263</v>
      </c>
      <c r="P26" s="1101">
        <f t="shared" si="1"/>
        <v>233356</v>
      </c>
      <c r="Q26" s="1097">
        <f>4!C105</f>
        <v>567619</v>
      </c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1097"/>
    </row>
    <row r="27" spans="1:29" s="119" customFormat="1" ht="15.75" customHeight="1" thickBot="1">
      <c r="A27" s="133" t="s">
        <v>97</v>
      </c>
      <c r="B27" s="47" t="s">
        <v>184</v>
      </c>
      <c r="C27" s="130">
        <f aca="true" t="shared" si="3" ref="C27:N27">SUM(C16:C26)</f>
        <v>375045</v>
      </c>
      <c r="D27" s="130">
        <f t="shared" si="3"/>
        <v>382166</v>
      </c>
      <c r="E27" s="130">
        <f t="shared" si="3"/>
        <v>692726</v>
      </c>
      <c r="F27" s="130">
        <f t="shared" si="3"/>
        <v>521168</v>
      </c>
      <c r="G27" s="130">
        <f t="shared" si="3"/>
        <v>770949</v>
      </c>
      <c r="H27" s="130">
        <f t="shared" si="3"/>
        <v>634567</v>
      </c>
      <c r="I27" s="130">
        <f t="shared" si="3"/>
        <v>446056</v>
      </c>
      <c r="J27" s="130">
        <f t="shared" si="3"/>
        <v>570797</v>
      </c>
      <c r="K27" s="130">
        <f t="shared" si="3"/>
        <v>1082492</v>
      </c>
      <c r="L27" s="130">
        <f t="shared" si="3"/>
        <v>602846</v>
      </c>
      <c r="M27" s="130">
        <f t="shared" si="3"/>
        <v>501131</v>
      </c>
      <c r="N27" s="130">
        <f t="shared" si="3"/>
        <v>470484</v>
      </c>
      <c r="O27" s="131">
        <f t="shared" si="0"/>
        <v>7050427</v>
      </c>
      <c r="P27" s="1100">
        <f t="shared" si="1"/>
        <v>1290326</v>
      </c>
      <c r="Q27" s="1096">
        <f>SUM(Q16:Q26)</f>
        <v>8340753</v>
      </c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</row>
    <row r="28" spans="1:17" ht="16.5" thickBot="1">
      <c r="A28" s="133" t="s">
        <v>98</v>
      </c>
      <c r="B28" s="369" t="s">
        <v>185</v>
      </c>
      <c r="C28" s="134">
        <f aca="true" t="shared" si="4" ref="C28:O28">C14-C27</f>
        <v>-8581</v>
      </c>
      <c r="D28" s="134">
        <f t="shared" si="4"/>
        <v>28728</v>
      </c>
      <c r="E28" s="134">
        <f t="shared" si="4"/>
        <v>491916</v>
      </c>
      <c r="F28" s="134">
        <f t="shared" si="4"/>
        <v>-5118</v>
      </c>
      <c r="G28" s="134">
        <f t="shared" si="4"/>
        <v>-39009</v>
      </c>
      <c r="H28" s="134">
        <f t="shared" si="4"/>
        <v>-66967</v>
      </c>
      <c r="I28" s="134">
        <f t="shared" si="4"/>
        <v>-123705</v>
      </c>
      <c r="J28" s="134">
        <f t="shared" si="4"/>
        <v>-152097</v>
      </c>
      <c r="K28" s="134">
        <f t="shared" si="4"/>
        <v>107508</v>
      </c>
      <c r="L28" s="134">
        <f t="shared" si="4"/>
        <v>-139065</v>
      </c>
      <c r="M28" s="134">
        <f t="shared" si="4"/>
        <v>-77871</v>
      </c>
      <c r="N28" s="134">
        <f t="shared" si="4"/>
        <v>-15739</v>
      </c>
      <c r="O28" s="135">
        <f t="shared" si="4"/>
        <v>0</v>
      </c>
      <c r="P28" s="1098">
        <f t="shared" si="1"/>
        <v>0</v>
      </c>
      <c r="Q28" s="1094">
        <f>Q14-Q27</f>
        <v>0</v>
      </c>
    </row>
    <row r="29" ht="15.75">
      <c r="A29" s="137"/>
    </row>
    <row r="30" spans="2:15" ht="15.75">
      <c r="B30" s="138"/>
      <c r="C30" s="139"/>
      <c r="D30" s="139"/>
      <c r="O30" s="136"/>
    </row>
    <row r="31" ht="15.75">
      <c r="O31" s="136"/>
    </row>
    <row r="32" ht="15.75">
      <c r="O32" s="136"/>
    </row>
    <row r="33" ht="15.75">
      <c r="O33" s="136"/>
    </row>
    <row r="34" ht="15.75">
      <c r="O34" s="136"/>
    </row>
    <row r="35" ht="15.75">
      <c r="O35" s="136"/>
    </row>
    <row r="36" ht="15.75">
      <c r="O36" s="136"/>
    </row>
    <row r="37" ht="15.75">
      <c r="O37" s="136"/>
    </row>
    <row r="38" ht="15.75">
      <c r="O38" s="136"/>
    </row>
    <row r="39" ht="15.75">
      <c r="O39" s="136"/>
    </row>
    <row r="40" ht="15.75">
      <c r="O40" s="136"/>
    </row>
    <row r="41" ht="15.75">
      <c r="O41" s="136"/>
    </row>
    <row r="42" ht="15.75">
      <c r="O42" s="136"/>
    </row>
    <row r="43" ht="15.75">
      <c r="O43" s="136"/>
    </row>
    <row r="44" ht="15.75">
      <c r="O44" s="136"/>
    </row>
    <row r="45" ht="15.75">
      <c r="O45" s="136"/>
    </row>
    <row r="46" ht="15.75">
      <c r="O46" s="136"/>
    </row>
    <row r="47" ht="15.75">
      <c r="O47" s="136"/>
    </row>
    <row r="48" ht="15.75">
      <c r="O48" s="136"/>
    </row>
    <row r="49" ht="15.75">
      <c r="O49" s="136"/>
    </row>
    <row r="50" ht="15.75">
      <c r="O50" s="136"/>
    </row>
    <row r="51" ht="15.75">
      <c r="O51" s="136"/>
    </row>
    <row r="52" ht="15.75">
      <c r="O52" s="136"/>
    </row>
    <row r="53" ht="15.75">
      <c r="O53" s="136"/>
    </row>
    <row r="54" ht="15.75">
      <c r="O54" s="136"/>
    </row>
    <row r="55" ht="15.75">
      <c r="O55" s="136"/>
    </row>
    <row r="56" ht="15.75">
      <c r="O56" s="136"/>
    </row>
    <row r="57" ht="15.75">
      <c r="O57" s="136"/>
    </row>
    <row r="58" ht="15.75">
      <c r="O58" s="136"/>
    </row>
    <row r="59" ht="15.75">
      <c r="O59" s="136"/>
    </row>
    <row r="60" ht="15.75">
      <c r="O60" s="136"/>
    </row>
    <row r="61" ht="15.75">
      <c r="O61" s="136"/>
    </row>
    <row r="62" ht="15.75">
      <c r="O62" s="136"/>
    </row>
    <row r="63" ht="15.75">
      <c r="O63" s="136"/>
    </row>
    <row r="64" ht="15.75">
      <c r="O64" s="136"/>
    </row>
    <row r="65" ht="15.75">
      <c r="O65" s="136"/>
    </row>
    <row r="66" ht="15.75">
      <c r="O66" s="136"/>
    </row>
    <row r="67" ht="15.75">
      <c r="O67" s="136"/>
    </row>
    <row r="68" ht="15.75">
      <c r="O68" s="136"/>
    </row>
    <row r="69" ht="15.75">
      <c r="O69" s="136"/>
    </row>
    <row r="70" ht="15.75">
      <c r="O70" s="136"/>
    </row>
    <row r="71" ht="15.75">
      <c r="O71" s="136"/>
    </row>
    <row r="72" ht="15.75">
      <c r="O72" s="136"/>
    </row>
    <row r="73" ht="15.75">
      <c r="O73" s="136"/>
    </row>
    <row r="74" ht="15.75">
      <c r="O74" s="136"/>
    </row>
    <row r="75" ht="15.75">
      <c r="O75" s="136"/>
    </row>
    <row r="76" ht="15.75">
      <c r="O76" s="136"/>
    </row>
    <row r="77" ht="15.75">
      <c r="O77" s="136"/>
    </row>
    <row r="78" ht="15.75">
      <c r="O78" s="136"/>
    </row>
    <row r="79" ht="15.75">
      <c r="O79" s="136"/>
    </row>
    <row r="80" ht="15.75">
      <c r="O80" s="136"/>
    </row>
    <row r="81" ht="15.75">
      <c r="O81" s="136"/>
    </row>
    <row r="82" ht="15.75">
      <c r="O82" s="136"/>
    </row>
    <row r="83" ht="15.75">
      <c r="O83" s="13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23. számú melléklet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N57" sqref="N57"/>
    </sheetView>
  </sheetViews>
  <sheetFormatPr defaultColWidth="9.00390625" defaultRowHeight="12.75"/>
  <cols>
    <col min="1" max="1" width="6.625" style="0" customWidth="1"/>
    <col min="2" max="2" width="25.375" style="0" bestFit="1" customWidth="1"/>
    <col min="3" max="3" width="36.375" style="0" bestFit="1" customWidth="1"/>
    <col min="4" max="4" width="14.875" style="0" customWidth="1"/>
  </cols>
  <sheetData>
    <row r="1" spans="1:4" ht="45" customHeight="1">
      <c r="A1" s="1420" t="s">
        <v>66</v>
      </c>
      <c r="B1" s="1420"/>
      <c r="C1" s="1420"/>
      <c r="D1" s="1420"/>
    </row>
    <row r="2" spans="1:4" ht="17.25" customHeight="1">
      <c r="A2" s="530"/>
      <c r="B2" s="530"/>
      <c r="C2" s="530"/>
      <c r="D2" s="530"/>
    </row>
    <row r="3" spans="1:4" ht="13.5" thickBot="1">
      <c r="A3" s="252"/>
      <c r="B3" s="252"/>
      <c r="C3" s="1417" t="s">
        <v>112</v>
      </c>
      <c r="D3" s="1417"/>
    </row>
    <row r="4" spans="1:4" ht="42.75" customHeight="1" thickBot="1">
      <c r="A4" s="533" t="s">
        <v>132</v>
      </c>
      <c r="B4" s="534" t="s">
        <v>199</v>
      </c>
      <c r="C4" s="534" t="s">
        <v>200</v>
      </c>
      <c r="D4" s="535" t="s">
        <v>70</v>
      </c>
    </row>
    <row r="5" spans="1:4" ht="15.75" customHeight="1">
      <c r="A5" s="253" t="s">
        <v>74</v>
      </c>
      <c r="B5" s="36" t="s">
        <v>1193</v>
      </c>
      <c r="C5" s="36" t="s">
        <v>1194</v>
      </c>
      <c r="D5" s="37">
        <v>11250</v>
      </c>
    </row>
    <row r="6" spans="1:4" ht="15.75" customHeight="1" thickBot="1">
      <c r="A6" s="254" t="s">
        <v>75</v>
      </c>
      <c r="B6" s="38" t="s">
        <v>1193</v>
      </c>
      <c r="C6" s="38" t="s">
        <v>1195</v>
      </c>
      <c r="D6" s="39">
        <v>10000</v>
      </c>
    </row>
    <row r="7" spans="1:4" ht="15.75" customHeight="1" hidden="1">
      <c r="A7" s="254" t="s">
        <v>76</v>
      </c>
      <c r="B7" s="38"/>
      <c r="C7" s="38"/>
      <c r="D7" s="39"/>
    </row>
    <row r="8" spans="1:4" ht="15.75" customHeight="1" hidden="1">
      <c r="A8" s="254" t="s">
        <v>77</v>
      </c>
      <c r="B8" s="38"/>
      <c r="C8" s="38"/>
      <c r="D8" s="39"/>
    </row>
    <row r="9" spans="1:4" ht="15.75" customHeight="1" hidden="1">
      <c r="A9" s="254" t="s">
        <v>78</v>
      </c>
      <c r="B9" s="38"/>
      <c r="C9" s="38"/>
      <c r="D9" s="39"/>
    </row>
    <row r="10" spans="1:4" ht="15.75" customHeight="1" hidden="1">
      <c r="A10" s="254" t="s">
        <v>79</v>
      </c>
      <c r="B10" s="38"/>
      <c r="C10" s="38"/>
      <c r="D10" s="39"/>
    </row>
    <row r="11" spans="1:4" ht="15.75" customHeight="1" hidden="1">
      <c r="A11" s="254" t="s">
        <v>80</v>
      </c>
      <c r="B11" s="38"/>
      <c r="C11" s="38"/>
      <c r="D11" s="39"/>
    </row>
    <row r="12" spans="1:4" ht="15.75" customHeight="1" hidden="1">
      <c r="A12" s="254" t="s">
        <v>81</v>
      </c>
      <c r="B12" s="38"/>
      <c r="C12" s="38"/>
      <c r="D12" s="39"/>
    </row>
    <row r="13" spans="1:4" ht="15.75" customHeight="1" hidden="1">
      <c r="A13" s="254" t="s">
        <v>82</v>
      </c>
      <c r="B13" s="38"/>
      <c r="C13" s="38"/>
      <c r="D13" s="39"/>
    </row>
    <row r="14" spans="1:4" ht="15.75" customHeight="1" hidden="1">
      <c r="A14" s="254" t="s">
        <v>83</v>
      </c>
      <c r="B14" s="38"/>
      <c r="C14" s="38"/>
      <c r="D14" s="39"/>
    </row>
    <row r="15" spans="1:4" ht="15.75" customHeight="1" hidden="1">
      <c r="A15" s="254" t="s">
        <v>84</v>
      </c>
      <c r="B15" s="38"/>
      <c r="C15" s="38"/>
      <c r="D15" s="39"/>
    </row>
    <row r="16" spans="1:4" ht="15.75" customHeight="1" hidden="1">
      <c r="A16" s="254" t="s">
        <v>85</v>
      </c>
      <c r="B16" s="38"/>
      <c r="C16" s="38"/>
      <c r="D16" s="39"/>
    </row>
    <row r="17" spans="1:4" ht="15.75" customHeight="1" hidden="1">
      <c r="A17" s="254" t="s">
        <v>86</v>
      </c>
      <c r="B17" s="38"/>
      <c r="C17" s="38"/>
      <c r="D17" s="39"/>
    </row>
    <row r="18" spans="1:4" ht="15.75" customHeight="1" hidden="1">
      <c r="A18" s="254" t="s">
        <v>87</v>
      </c>
      <c r="B18" s="38"/>
      <c r="C18" s="38"/>
      <c r="D18" s="39"/>
    </row>
    <row r="19" spans="1:4" ht="15.75" customHeight="1" hidden="1">
      <c r="A19" s="254" t="s">
        <v>88</v>
      </c>
      <c r="B19" s="38"/>
      <c r="C19" s="38"/>
      <c r="D19" s="39"/>
    </row>
    <row r="20" spans="1:4" ht="15.75" customHeight="1" hidden="1">
      <c r="A20" s="254" t="s">
        <v>89</v>
      </c>
      <c r="B20" s="38"/>
      <c r="C20" s="38"/>
      <c r="D20" s="39"/>
    </row>
    <row r="21" spans="1:4" ht="15.75" customHeight="1" hidden="1">
      <c r="A21" s="254" t="s">
        <v>90</v>
      </c>
      <c r="B21" s="38"/>
      <c r="C21" s="38"/>
      <c r="D21" s="39"/>
    </row>
    <row r="22" spans="1:4" ht="15.75" customHeight="1" hidden="1">
      <c r="A22" s="254" t="s">
        <v>91</v>
      </c>
      <c r="B22" s="38"/>
      <c r="C22" s="38"/>
      <c r="D22" s="39"/>
    </row>
    <row r="23" spans="1:4" ht="15.75" customHeight="1" hidden="1">
      <c r="A23" s="254" t="s">
        <v>92</v>
      </c>
      <c r="B23" s="38"/>
      <c r="C23" s="38"/>
      <c r="D23" s="39"/>
    </row>
    <row r="24" spans="1:4" ht="15.75" customHeight="1" hidden="1">
      <c r="A24" s="254" t="s">
        <v>93</v>
      </c>
      <c r="B24" s="38"/>
      <c r="C24" s="38"/>
      <c r="D24" s="39"/>
    </row>
    <row r="25" spans="1:4" ht="15.75" customHeight="1" hidden="1">
      <c r="A25" s="254" t="s">
        <v>94</v>
      </c>
      <c r="B25" s="38"/>
      <c r="C25" s="38"/>
      <c r="D25" s="39"/>
    </row>
    <row r="26" spans="1:4" ht="15.75" customHeight="1" hidden="1">
      <c r="A26" s="254" t="s">
        <v>95</v>
      </c>
      <c r="B26" s="38"/>
      <c r="C26" s="38"/>
      <c r="D26" s="39"/>
    </row>
    <row r="27" spans="1:4" ht="15.75" customHeight="1" hidden="1">
      <c r="A27" s="254" t="s">
        <v>96</v>
      </c>
      <c r="B27" s="38"/>
      <c r="C27" s="38"/>
      <c r="D27" s="39"/>
    </row>
    <row r="28" spans="1:4" ht="15.75" customHeight="1" hidden="1">
      <c r="A28" s="254" t="s">
        <v>97</v>
      </c>
      <c r="B28" s="38"/>
      <c r="C28" s="38"/>
      <c r="D28" s="39"/>
    </row>
    <row r="29" spans="1:4" ht="15.75" customHeight="1" hidden="1">
      <c r="A29" s="254" t="s">
        <v>98</v>
      </c>
      <c r="B29" s="38"/>
      <c r="C29" s="38"/>
      <c r="D29" s="39"/>
    </row>
    <row r="30" spans="1:4" ht="15.75" customHeight="1" hidden="1">
      <c r="A30" s="254" t="s">
        <v>99</v>
      </c>
      <c r="B30" s="38"/>
      <c r="C30" s="38"/>
      <c r="D30" s="39"/>
    </row>
    <row r="31" spans="1:4" ht="15.75" customHeight="1" hidden="1">
      <c r="A31" s="254" t="s">
        <v>100</v>
      </c>
      <c r="B31" s="38"/>
      <c r="C31" s="38"/>
      <c r="D31" s="39"/>
    </row>
    <row r="32" spans="1:4" ht="15.75" customHeight="1" hidden="1">
      <c r="A32" s="254" t="s">
        <v>101</v>
      </c>
      <c r="B32" s="38"/>
      <c r="C32" s="38"/>
      <c r="D32" s="39"/>
    </row>
    <row r="33" spans="1:4" ht="15.75" customHeight="1" hidden="1">
      <c r="A33" s="254" t="s">
        <v>102</v>
      </c>
      <c r="B33" s="38"/>
      <c r="C33" s="38"/>
      <c r="D33" s="39"/>
    </row>
    <row r="34" spans="1:4" ht="15.75" customHeight="1" hidden="1">
      <c r="A34" s="254" t="s">
        <v>201</v>
      </c>
      <c r="B34" s="38"/>
      <c r="C34" s="38"/>
      <c r="D34" s="100"/>
    </row>
    <row r="35" spans="1:4" ht="15.75" customHeight="1" hidden="1">
      <c r="A35" s="254" t="s">
        <v>202</v>
      </c>
      <c r="B35" s="38"/>
      <c r="C35" s="38"/>
      <c r="D35" s="100"/>
    </row>
    <row r="36" spans="1:4" ht="15.75" customHeight="1" hidden="1">
      <c r="A36" s="254" t="s">
        <v>203</v>
      </c>
      <c r="B36" s="38"/>
      <c r="C36" s="38"/>
      <c r="D36" s="100"/>
    </row>
    <row r="37" spans="1:4" ht="15.75" customHeight="1" hidden="1" thickBot="1">
      <c r="A37" s="255" t="s">
        <v>204</v>
      </c>
      <c r="B37" s="40"/>
      <c r="C37" s="40"/>
      <c r="D37" s="101"/>
    </row>
    <row r="38" spans="1:4" ht="15.75" customHeight="1" thickBot="1">
      <c r="A38" s="1418" t="s">
        <v>109</v>
      </c>
      <c r="B38" s="1419"/>
      <c r="C38" s="256"/>
      <c r="D38" s="257">
        <f>SUM(D5:D37)</f>
        <v>21250</v>
      </c>
    </row>
    <row r="39" ht="12.75">
      <c r="A39" t="s">
        <v>337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="120" zoomScaleNormal="120" zoomScaleSheetLayoutView="100" workbookViewId="0" topLeftCell="A1">
      <selection activeCell="C85" sqref="C85"/>
    </sheetView>
  </sheetViews>
  <sheetFormatPr defaultColWidth="9.00390625" defaultRowHeight="12.75"/>
  <cols>
    <col min="1" max="1" width="9.50390625" style="554" customWidth="1"/>
    <col min="2" max="2" width="91.625" style="554" customWidth="1"/>
    <col min="3" max="3" width="21.625" style="555" customWidth="1"/>
    <col min="4" max="4" width="9.375" style="48" customWidth="1"/>
    <col min="5" max="16384" width="9.375" style="48" customWidth="1"/>
  </cols>
  <sheetData>
    <row r="1" spans="1:3" ht="15.75" customHeight="1">
      <c r="A1" s="1286" t="s">
        <v>71</v>
      </c>
      <c r="B1" s="1286"/>
      <c r="C1" s="1286"/>
    </row>
    <row r="2" spans="1:3" ht="15.75" customHeight="1" thickBot="1">
      <c r="A2" s="1288" t="s">
        <v>232</v>
      </c>
      <c r="B2" s="1288"/>
      <c r="C2" s="424" t="s">
        <v>436</v>
      </c>
    </row>
    <row r="3" spans="1:3" ht="37.5" customHeight="1" thickBot="1">
      <c r="A3" s="28" t="s">
        <v>132</v>
      </c>
      <c r="B3" s="29" t="s">
        <v>73</v>
      </c>
      <c r="C3" s="49" t="s">
        <v>1223</v>
      </c>
    </row>
    <row r="4" spans="1:3" s="50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5" t="s">
        <v>74</v>
      </c>
      <c r="B5" s="24" t="s">
        <v>258</v>
      </c>
      <c r="C5" s="403">
        <f>+C6+C11+C20</f>
        <v>4232535</v>
      </c>
    </row>
    <row r="6" spans="1:3" s="1" customFormat="1" ht="12" customHeight="1" thickBot="1">
      <c r="A6" s="23" t="s">
        <v>75</v>
      </c>
      <c r="B6" s="381" t="s">
        <v>497</v>
      </c>
      <c r="C6" s="341">
        <f>+C7+C8+C9+C10</f>
        <v>2734000</v>
      </c>
    </row>
    <row r="7" spans="1:3" s="1" customFormat="1" ht="12" customHeight="1">
      <c r="A7" s="16" t="s">
        <v>178</v>
      </c>
      <c r="B7" s="536" t="s">
        <v>117</v>
      </c>
      <c r="C7" s="342">
        <f>9!D10</f>
        <v>2710000</v>
      </c>
    </row>
    <row r="8" spans="1:3" s="1" customFormat="1" ht="12" customHeight="1">
      <c r="A8" s="16" t="s">
        <v>179</v>
      </c>
      <c r="B8" s="395" t="s">
        <v>148</v>
      </c>
      <c r="C8" s="342">
        <f>9!D11</f>
        <v>0</v>
      </c>
    </row>
    <row r="9" spans="1:3" s="1" customFormat="1" ht="12" customHeight="1">
      <c r="A9" s="16" t="s">
        <v>180</v>
      </c>
      <c r="B9" s="395" t="s">
        <v>259</v>
      </c>
      <c r="C9" s="342">
        <f>9!D12</f>
        <v>24000</v>
      </c>
    </row>
    <row r="10" spans="1:3" s="1" customFormat="1" ht="12" customHeight="1" thickBot="1">
      <c r="A10" s="16" t="s">
        <v>181</v>
      </c>
      <c r="B10" s="537" t="s">
        <v>260</v>
      </c>
      <c r="C10" s="342">
        <f>9!D13+'10'!D33+'11'!D33+'12'!D33+'13'!D33+'14'!D33+'10.1'!D33</f>
        <v>0</v>
      </c>
    </row>
    <row r="11" spans="1:3" s="1" customFormat="1" ht="12" customHeight="1" thickBot="1">
      <c r="A11" s="23" t="s">
        <v>76</v>
      </c>
      <c r="B11" s="24" t="s">
        <v>261</v>
      </c>
      <c r="C11" s="404">
        <f>+C12+C13+C14+C15+C16+C17+C18+C19</f>
        <v>1403535</v>
      </c>
    </row>
    <row r="12" spans="1:3" s="1" customFormat="1" ht="12" customHeight="1">
      <c r="A12" s="20" t="s">
        <v>152</v>
      </c>
      <c r="B12" s="12" t="s">
        <v>266</v>
      </c>
      <c r="C12" s="405">
        <f>9!D15+'10'!D9+'11'!D9+'12'!D9+'13'!D9+'14'!D9+'10.1'!D9</f>
        <v>0</v>
      </c>
    </row>
    <row r="13" spans="1:3" s="1" customFormat="1" ht="12" customHeight="1">
      <c r="A13" s="16" t="s">
        <v>153</v>
      </c>
      <c r="B13" s="9" t="s">
        <v>267</v>
      </c>
      <c r="C13" s="406">
        <f>9!D16+'10'!D10+'11'!D10+'12'!D10+'13'!D10+'14'!D10+'10.1'!D10</f>
        <v>225581</v>
      </c>
    </row>
    <row r="14" spans="1:3" s="1" customFormat="1" ht="12" customHeight="1">
      <c r="A14" s="16" t="s">
        <v>154</v>
      </c>
      <c r="B14" s="9" t="s">
        <v>268</v>
      </c>
      <c r="C14" s="406">
        <f>9!D17+'10'!D11+'11'!D11+'12'!D11+'13'!D11+'14'!D11+'10.1'!D11</f>
        <v>660600</v>
      </c>
    </row>
    <row r="15" spans="1:3" s="1" customFormat="1" ht="12" customHeight="1">
      <c r="A15" s="16" t="s">
        <v>155</v>
      </c>
      <c r="B15" s="9" t="s">
        <v>269</v>
      </c>
      <c r="C15" s="406">
        <f>9!D18+'10'!D12+'11'!D12+'12'!D12+'13'!D12+'14'!D12+'10.1'!D12</f>
        <v>167038</v>
      </c>
    </row>
    <row r="16" spans="1:3" s="1" customFormat="1" ht="12" customHeight="1">
      <c r="A16" s="15" t="s">
        <v>262</v>
      </c>
      <c r="B16" s="8" t="s">
        <v>270</v>
      </c>
      <c r="C16" s="406">
        <f>9!D19+'10'!D13+'11'!D13+'12'!D13+'13'!D13+'14'!D13+'10.1'!D13</f>
        <v>0</v>
      </c>
    </row>
    <row r="17" spans="1:3" s="1" customFormat="1" ht="12" customHeight="1">
      <c r="A17" s="16" t="s">
        <v>263</v>
      </c>
      <c r="B17" s="9" t="s">
        <v>376</v>
      </c>
      <c r="C17" s="406">
        <f>9!D20+'10'!D14+'11'!D14+'12'!D14+'13'!D14+'14'!D14+'10.1'!D14</f>
        <v>344066</v>
      </c>
    </row>
    <row r="18" spans="1:3" s="1" customFormat="1" ht="12" customHeight="1">
      <c r="A18" s="16" t="s">
        <v>264</v>
      </c>
      <c r="B18" s="9" t="s">
        <v>272</v>
      </c>
      <c r="C18" s="406">
        <f>9!D21+'10'!D15+'10'!D16+'11'!D15+'11'!D16+'12'!D15+'12'!D16+'13'!D15+'13'!D16+'14'!D15+'14'!D16+'10.1'!D15+'10.1'!D16</f>
        <v>6250</v>
      </c>
    </row>
    <row r="19" spans="1:3" s="1" customFormat="1" ht="12" customHeight="1" thickBot="1">
      <c r="A19" s="17" t="s">
        <v>265</v>
      </c>
      <c r="B19" s="10" t="s">
        <v>273</v>
      </c>
      <c r="C19" s="408">
        <f>9!D22</f>
        <v>0</v>
      </c>
    </row>
    <row r="20" spans="1:3" s="1" customFormat="1" ht="12" customHeight="1" thickBot="1">
      <c r="A20" s="23" t="s">
        <v>274</v>
      </c>
      <c r="B20" s="24" t="s">
        <v>377</v>
      </c>
      <c r="C20" s="409">
        <f>9!D23</f>
        <v>95000</v>
      </c>
    </row>
    <row r="21" spans="1:3" s="1" customFormat="1" ht="12" customHeight="1" thickBot="1">
      <c r="A21" s="23" t="s">
        <v>78</v>
      </c>
      <c r="B21" s="24" t="s">
        <v>541</v>
      </c>
      <c r="C21" s="404">
        <f>+C22+C23+C24+C25+C26+C27+C28+C29+C30+C31</f>
        <v>1658186</v>
      </c>
    </row>
    <row r="22" spans="1:3" s="1" customFormat="1" ht="12" customHeight="1">
      <c r="A22" s="18" t="s">
        <v>156</v>
      </c>
      <c r="B22" s="11" t="s">
        <v>282</v>
      </c>
      <c r="C22" s="410">
        <f>9!D27</f>
        <v>502001</v>
      </c>
    </row>
    <row r="23" spans="1:3" s="1" customFormat="1" ht="12" customHeight="1">
      <c r="A23" s="16" t="s">
        <v>157</v>
      </c>
      <c r="B23" s="9" t="s">
        <v>283</v>
      </c>
      <c r="C23" s="406">
        <f>9!D28</f>
        <v>266819</v>
      </c>
    </row>
    <row r="24" spans="1:3" s="1" customFormat="1" ht="12" customHeight="1">
      <c r="A24" s="16" t="s">
        <v>158</v>
      </c>
      <c r="B24" s="9" t="s">
        <v>284</v>
      </c>
      <c r="C24" s="406">
        <f>9!D26</f>
        <v>345947</v>
      </c>
    </row>
    <row r="25" spans="1:3" s="1" customFormat="1" ht="12" customHeight="1">
      <c r="A25" s="19" t="s">
        <v>277</v>
      </c>
      <c r="B25" s="9" t="str">
        <f>9!C25</f>
        <v>Ált. működéshez és ágazati feladathoz kapcsolódó támogatások</v>
      </c>
      <c r="C25" s="406">
        <f>9!D25</f>
        <v>188844</v>
      </c>
    </row>
    <row r="26" spans="1:3" s="1" customFormat="1" ht="12" customHeight="1">
      <c r="A26" s="19" t="s">
        <v>278</v>
      </c>
      <c r="B26" s="9" t="s">
        <v>1338</v>
      </c>
      <c r="C26" s="406">
        <f>9!D29</f>
        <v>21144</v>
      </c>
    </row>
    <row r="27" spans="1:3" s="1" customFormat="1" ht="12" customHeight="1">
      <c r="A27" s="16" t="s">
        <v>279</v>
      </c>
      <c r="B27" s="9" t="s">
        <v>285</v>
      </c>
      <c r="C27" s="406">
        <f>9!D30</f>
        <v>0</v>
      </c>
    </row>
    <row r="28" spans="1:3" s="1" customFormat="1" ht="12" customHeight="1">
      <c r="A28" s="16" t="s">
        <v>280</v>
      </c>
      <c r="B28" s="9" t="s">
        <v>286</v>
      </c>
      <c r="C28" s="406">
        <f>9!D31</f>
        <v>0</v>
      </c>
    </row>
    <row r="29" spans="1:3" s="1" customFormat="1" ht="12" customHeight="1">
      <c r="A29" s="16" t="s">
        <v>281</v>
      </c>
      <c r="B29" s="9" t="s">
        <v>378</v>
      </c>
      <c r="C29" s="406">
        <f>9!D32</f>
        <v>0</v>
      </c>
    </row>
    <row r="30" spans="1:3" s="1" customFormat="1" ht="12" customHeight="1">
      <c r="A30" s="16" t="s">
        <v>538</v>
      </c>
      <c r="B30" s="9" t="s">
        <v>1334</v>
      </c>
      <c r="C30" s="406">
        <f>9!D33</f>
        <v>271099</v>
      </c>
    </row>
    <row r="31" spans="1:3" s="1" customFormat="1" ht="12" customHeight="1" thickBot="1">
      <c r="A31" s="1159" t="s">
        <v>540</v>
      </c>
      <c r="B31" s="8" t="s">
        <v>1243</v>
      </c>
      <c r="C31" s="406">
        <f>9!D34</f>
        <v>62332</v>
      </c>
    </row>
    <row r="32" spans="1:3" s="1" customFormat="1" ht="12" customHeight="1" thickBot="1">
      <c r="A32" s="374" t="s">
        <v>79</v>
      </c>
      <c r="B32" s="24" t="s">
        <v>498</v>
      </c>
      <c r="C32" s="341">
        <f>+C33+C39</f>
        <v>1399561</v>
      </c>
    </row>
    <row r="33" spans="1:3" s="1" customFormat="1" ht="12" customHeight="1">
      <c r="A33" s="375" t="s">
        <v>159</v>
      </c>
      <c r="B33" s="538" t="s">
        <v>499</v>
      </c>
      <c r="C33" s="371">
        <f>+C34+C35+C36+C37+C38</f>
        <v>469698</v>
      </c>
    </row>
    <row r="34" spans="1:3" s="1" customFormat="1" ht="12" customHeight="1">
      <c r="A34" s="376" t="s">
        <v>162</v>
      </c>
      <c r="B34" s="382" t="s">
        <v>379</v>
      </c>
      <c r="C34" s="346">
        <f>9!D37+'10'!D20+'11'!D20+'12'!D20+'13'!D20+'14'!D20+'10.1'!D20</f>
        <v>77794</v>
      </c>
    </row>
    <row r="35" spans="1:3" s="1" customFormat="1" ht="12" customHeight="1">
      <c r="A35" s="376" t="s">
        <v>163</v>
      </c>
      <c r="B35" s="382" t="s">
        <v>380</v>
      </c>
      <c r="C35" s="346">
        <f>9!D38+'10'!D21+'11'!D21+'12'!D21+'13'!D21+'14'!D21+'10.1'!D21</f>
        <v>68782</v>
      </c>
    </row>
    <row r="36" spans="1:3" s="1" customFormat="1" ht="12" customHeight="1">
      <c r="A36" s="376" t="s">
        <v>164</v>
      </c>
      <c r="B36" s="382" t="s">
        <v>381</v>
      </c>
      <c r="C36" s="346">
        <f>9!D39+'10'!D22+'11'!D22+'12'!D22+'13'!D22+'14'!D22+'10.1'!D22</f>
        <v>13341</v>
      </c>
    </row>
    <row r="37" spans="1:3" s="1" customFormat="1" ht="12" customHeight="1">
      <c r="A37" s="376" t="s">
        <v>165</v>
      </c>
      <c r="B37" s="382" t="s">
        <v>382</v>
      </c>
      <c r="C37" s="346">
        <f>9!D40+'10'!D19+'11'!D19+'12'!D19+'13'!D19+'14'!D19+'10.1'!D19</f>
        <v>0</v>
      </c>
    </row>
    <row r="38" spans="1:3" s="1" customFormat="1" ht="12" customHeight="1">
      <c r="A38" s="376" t="s">
        <v>288</v>
      </c>
      <c r="B38" s="382" t="s">
        <v>500</v>
      </c>
      <c r="C38" s="346">
        <f>9!D41+'10'!D23+'11'!D23+'12'!D23+'13'!D23+'14'!D23+'10.1'!D23</f>
        <v>309781</v>
      </c>
    </row>
    <row r="39" spans="1:3" s="1" customFormat="1" ht="12" customHeight="1">
      <c r="A39" s="376" t="s">
        <v>160</v>
      </c>
      <c r="B39" s="383" t="s">
        <v>501</v>
      </c>
      <c r="C39" s="370">
        <f>+C40+C41+C42+C43+C44</f>
        <v>929863</v>
      </c>
    </row>
    <row r="40" spans="1:3" s="1" customFormat="1" ht="12" customHeight="1">
      <c r="A40" s="376" t="s">
        <v>168</v>
      </c>
      <c r="B40" s="382" t="s">
        <v>379</v>
      </c>
      <c r="C40" s="346">
        <f>9!D43+'10'!D26+'11'!D26+'12'!D26+'13'!D26+'14'!D26+'10.1'!D26</f>
        <v>0</v>
      </c>
    </row>
    <row r="41" spans="1:3" s="1" customFormat="1" ht="12" customHeight="1">
      <c r="A41" s="376" t="s">
        <v>169</v>
      </c>
      <c r="B41" s="382" t="s">
        <v>380</v>
      </c>
      <c r="C41" s="346">
        <f>9!D44+'10'!D27+'11'!D27+'12'!D27+'13'!D27+'14'!D27+'10.1'!D27</f>
        <v>0</v>
      </c>
    </row>
    <row r="42" spans="1:3" s="1" customFormat="1" ht="12" customHeight="1">
      <c r="A42" s="376" t="s">
        <v>170</v>
      </c>
      <c r="B42" s="382" t="s">
        <v>381</v>
      </c>
      <c r="C42" s="346">
        <f>9!D45+'10'!D28+'11'!D28+'12'!D28+'13'!D28+'14'!D28+'10.1'!D28</f>
        <v>0</v>
      </c>
    </row>
    <row r="43" spans="1:3" s="1" customFormat="1" ht="12" customHeight="1">
      <c r="A43" s="376" t="s">
        <v>171</v>
      </c>
      <c r="B43" s="384" t="s">
        <v>382</v>
      </c>
      <c r="C43" s="346">
        <f>9!D46+'10'!D25+'11'!D25+'12'!D25+'13'!D25+'14'!D25+'10.1'!D25</f>
        <v>0</v>
      </c>
    </row>
    <row r="44" spans="1:3" s="1" customFormat="1" ht="12" customHeight="1" thickBot="1">
      <c r="A44" s="377" t="s">
        <v>289</v>
      </c>
      <c r="B44" s="385" t="s">
        <v>502</v>
      </c>
      <c r="C44" s="346">
        <f>9!D47+'10'!D29+'11'!D29+'12'!D29+'13'!D29+'14'!D29+'10.1'!D29</f>
        <v>929863</v>
      </c>
    </row>
    <row r="45" spans="1:3" s="1" customFormat="1" ht="12" customHeight="1" thickBot="1">
      <c r="A45" s="23" t="s">
        <v>290</v>
      </c>
      <c r="B45" s="539" t="s">
        <v>383</v>
      </c>
      <c r="C45" s="341">
        <f>+C46+C47</f>
        <v>112781</v>
      </c>
    </row>
    <row r="46" spans="1:3" s="1" customFormat="1" ht="12" customHeight="1">
      <c r="A46" s="18" t="s">
        <v>166</v>
      </c>
      <c r="B46" s="395" t="s">
        <v>384</v>
      </c>
      <c r="C46" s="344">
        <f>9!D49+'10'!D31+'11'!D31+'12'!D31+'13'!D31+'14'!D31+'10.1'!D31</f>
        <v>108281</v>
      </c>
    </row>
    <row r="47" spans="1:3" s="1" customFormat="1" ht="12" customHeight="1" thickBot="1">
      <c r="A47" s="15" t="s">
        <v>167</v>
      </c>
      <c r="B47" s="390" t="s">
        <v>388</v>
      </c>
      <c r="C47" s="343">
        <f>9!D50+'10'!D32+'11'!D32+'12'!D32+'13'!D32+'14'!D32+'10.1'!D32</f>
        <v>4500</v>
      </c>
    </row>
    <row r="48" spans="1:3" s="1" customFormat="1" ht="12" customHeight="1" thickBot="1">
      <c r="A48" s="23" t="s">
        <v>81</v>
      </c>
      <c r="B48" s="539" t="s">
        <v>1337</v>
      </c>
      <c r="C48" s="341">
        <f>+C49+C50+C52+C51</f>
        <v>877800</v>
      </c>
    </row>
    <row r="49" spans="1:3" s="1" customFormat="1" ht="12" customHeight="1">
      <c r="A49" s="18" t="s">
        <v>293</v>
      </c>
      <c r="B49" s="395" t="s">
        <v>291</v>
      </c>
      <c r="C49" s="372">
        <f>9!D52</f>
        <v>752000</v>
      </c>
    </row>
    <row r="50" spans="1:3" s="1" customFormat="1" ht="12" customHeight="1">
      <c r="A50" s="16" t="s">
        <v>294</v>
      </c>
      <c r="B50" s="382" t="s">
        <v>292</v>
      </c>
      <c r="C50" s="372">
        <f>9!D53</f>
        <v>43750</v>
      </c>
    </row>
    <row r="51" spans="1:3" s="1" customFormat="1" ht="12" customHeight="1">
      <c r="A51" s="16" t="s">
        <v>439</v>
      </c>
      <c r="B51" s="382" t="s">
        <v>385</v>
      </c>
      <c r="C51" s="372">
        <f>9!D54</f>
        <v>75691</v>
      </c>
    </row>
    <row r="52" spans="1:3" s="1" customFormat="1" ht="12" customHeight="1" thickBot="1">
      <c r="A52" s="15" t="s">
        <v>1336</v>
      </c>
      <c r="B52" s="390" t="s">
        <v>1275</v>
      </c>
      <c r="C52" s="372">
        <f>9!D55</f>
        <v>6359</v>
      </c>
    </row>
    <row r="53" spans="1:3" s="1" customFormat="1" ht="17.25" customHeight="1" thickBot="1">
      <c r="A53" s="23" t="s">
        <v>295</v>
      </c>
      <c r="B53" s="540" t="s">
        <v>386</v>
      </c>
      <c r="C53" s="413">
        <f>9!D56</f>
        <v>6000</v>
      </c>
    </row>
    <row r="54" spans="1:3" s="1" customFormat="1" ht="12" customHeight="1" thickBot="1">
      <c r="A54" s="23" t="s">
        <v>83</v>
      </c>
      <c r="B54" s="27" t="s">
        <v>296</v>
      </c>
      <c r="C54" s="414">
        <f>+C6+C11+C20+C21+C32+C45+C48+C53</f>
        <v>8286863</v>
      </c>
    </row>
    <row r="55" spans="1:3" s="1" customFormat="1" ht="12" customHeight="1" thickBot="1">
      <c r="A55" s="386" t="s">
        <v>84</v>
      </c>
      <c r="B55" s="381" t="s">
        <v>389</v>
      </c>
      <c r="C55" s="415">
        <f>+C56+C62</f>
        <v>53890</v>
      </c>
    </row>
    <row r="56" spans="1:3" s="1" customFormat="1" ht="12" customHeight="1">
      <c r="A56" s="541" t="s">
        <v>225</v>
      </c>
      <c r="B56" s="605" t="s">
        <v>463</v>
      </c>
      <c r="C56" s="416">
        <f>+C57+C58+C59+C60+C61</f>
        <v>53890</v>
      </c>
    </row>
    <row r="57" spans="1:3" s="1" customFormat="1" ht="12" customHeight="1">
      <c r="A57" s="387" t="s">
        <v>405</v>
      </c>
      <c r="B57" s="606" t="s">
        <v>391</v>
      </c>
      <c r="C57" s="412">
        <f>'10'!D37+'11'!D37+'12'!D37+'13'!D37+'14'!D37+'10.1'!D37</f>
        <v>53890</v>
      </c>
    </row>
    <row r="58" spans="1:3" s="1" customFormat="1" ht="12" customHeight="1">
      <c r="A58" s="387" t="s">
        <v>406</v>
      </c>
      <c r="B58" s="606" t="s">
        <v>392</v>
      </c>
      <c r="C58" s="412">
        <f>'10'!D38+'11'!D38+'12'!D38+'13'!D38+'14'!D38+'10.1'!D38</f>
        <v>0</v>
      </c>
    </row>
    <row r="59" spans="1:3" s="1" customFormat="1" ht="12" customHeight="1">
      <c r="A59" s="387" t="s">
        <v>407</v>
      </c>
      <c r="B59" s="606" t="s">
        <v>393</v>
      </c>
      <c r="C59" s="412"/>
    </row>
    <row r="60" spans="1:3" s="1" customFormat="1" ht="12" customHeight="1">
      <c r="A60" s="387" t="s">
        <v>408</v>
      </c>
      <c r="B60" s="606" t="s">
        <v>394</v>
      </c>
      <c r="C60" s="412"/>
    </row>
    <row r="61" spans="1:3" s="1" customFormat="1" ht="12" customHeight="1">
      <c r="A61" s="387" t="s">
        <v>409</v>
      </c>
      <c r="B61" s="606" t="s">
        <v>395</v>
      </c>
      <c r="C61" s="412"/>
    </row>
    <row r="62" spans="1:3" s="1" customFormat="1" ht="12" customHeight="1">
      <c r="A62" s="388" t="s">
        <v>226</v>
      </c>
      <c r="B62" s="607" t="s">
        <v>462</v>
      </c>
      <c r="C62" s="417">
        <f>+C63+C64+C65+C66+C67</f>
        <v>0</v>
      </c>
    </row>
    <row r="63" spans="1:3" s="1" customFormat="1" ht="12" customHeight="1">
      <c r="A63" s="387" t="s">
        <v>410</v>
      </c>
      <c r="B63" s="606" t="s">
        <v>397</v>
      </c>
      <c r="C63" s="412"/>
    </row>
    <row r="64" spans="1:3" s="1" customFormat="1" ht="12" customHeight="1">
      <c r="A64" s="387" t="s">
        <v>411</v>
      </c>
      <c r="B64" s="606" t="s">
        <v>398</v>
      </c>
      <c r="C64" s="412"/>
    </row>
    <row r="65" spans="1:3" s="1" customFormat="1" ht="12" customHeight="1">
      <c r="A65" s="387" t="s">
        <v>412</v>
      </c>
      <c r="B65" s="606" t="s">
        <v>399</v>
      </c>
      <c r="C65" s="412"/>
    </row>
    <row r="66" spans="1:3" s="1" customFormat="1" ht="12" customHeight="1">
      <c r="A66" s="387" t="s">
        <v>413</v>
      </c>
      <c r="B66" s="606" t="s">
        <v>400</v>
      </c>
      <c r="C66" s="412"/>
    </row>
    <row r="67" spans="1:3" s="1" customFormat="1" ht="12" customHeight="1" thickBot="1">
      <c r="A67" s="389" t="s">
        <v>414</v>
      </c>
      <c r="B67" s="608" t="s">
        <v>401</v>
      </c>
      <c r="C67" s="418"/>
    </row>
    <row r="68" spans="1:3" s="1" customFormat="1" ht="12" customHeight="1" thickBot="1">
      <c r="A68" s="391" t="s">
        <v>85</v>
      </c>
      <c r="B68" s="542" t="s">
        <v>460</v>
      </c>
      <c r="C68" s="415">
        <f>+C54+C55</f>
        <v>8340753</v>
      </c>
    </row>
    <row r="69" spans="1:3" s="1" customFormat="1" ht="13.5" customHeight="1" thickBot="1">
      <c r="A69" s="392" t="s">
        <v>86</v>
      </c>
      <c r="B69" s="543" t="s">
        <v>403</v>
      </c>
      <c r="C69" s="425">
        <f>'10'!D39+'11'!D39+'12'!D39+'13'!D39+'14'!D39+'10.1'!D39</f>
        <v>0</v>
      </c>
    </row>
    <row r="70" spans="1:3" s="1" customFormat="1" ht="12" customHeight="1" thickBot="1">
      <c r="A70" s="391" t="s">
        <v>87</v>
      </c>
      <c r="B70" s="542" t="s">
        <v>461</v>
      </c>
      <c r="C70" s="426">
        <f>+C68+C69</f>
        <v>8340753</v>
      </c>
    </row>
    <row r="71" spans="1:3" s="1" customFormat="1" ht="83.25" customHeight="1">
      <c r="A71" s="6"/>
      <c r="B71" s="7"/>
      <c r="C71" s="419"/>
    </row>
    <row r="72" spans="1:3" ht="16.5" customHeight="1">
      <c r="A72" s="1286" t="s">
        <v>103</v>
      </c>
      <c r="B72" s="1286"/>
      <c r="C72" s="1286"/>
    </row>
    <row r="73" spans="1:3" s="431" customFormat="1" ht="16.5" customHeight="1" thickBot="1">
      <c r="A73" s="1289" t="s">
        <v>233</v>
      </c>
      <c r="B73" s="1289"/>
      <c r="C73" s="163" t="s">
        <v>436</v>
      </c>
    </row>
    <row r="74" spans="1:3" ht="37.5" customHeight="1" thickBot="1">
      <c r="A74" s="28" t="s">
        <v>72</v>
      </c>
      <c r="B74" s="29" t="s">
        <v>104</v>
      </c>
      <c r="C74" s="49" t="str">
        <f>C3</f>
        <v>2013. évi módosított előirányzat</v>
      </c>
    </row>
    <row r="75" spans="1:3" s="50" customFormat="1" ht="12" customHeight="1" thickBot="1">
      <c r="A75" s="41">
        <v>1</v>
      </c>
      <c r="B75" s="42">
        <v>2</v>
      </c>
      <c r="C75" s="43">
        <v>3</v>
      </c>
    </row>
    <row r="76" spans="1:3" ht="12" customHeight="1" thickBot="1">
      <c r="A76" s="25" t="s">
        <v>74</v>
      </c>
      <c r="B76" s="35" t="s">
        <v>297</v>
      </c>
      <c r="C76" s="403">
        <f>+C77+C78+C79+C80+C81</f>
        <v>5479581</v>
      </c>
    </row>
    <row r="77" spans="1:3" ht="12" customHeight="1">
      <c r="A77" s="20" t="s">
        <v>172</v>
      </c>
      <c r="B77" s="12" t="s">
        <v>105</v>
      </c>
      <c r="C77" s="405">
        <f>9!D66+'10'!D45+'11'!D45+'12'!D45+'13'!D45+'14'!D45+'10.1'!D45</f>
        <v>1370533</v>
      </c>
    </row>
    <row r="78" spans="1:3" ht="12" customHeight="1">
      <c r="A78" s="16" t="s">
        <v>173</v>
      </c>
      <c r="B78" s="9" t="s">
        <v>298</v>
      </c>
      <c r="C78" s="406">
        <f>9!D67+'10'!D46+'11'!D46+'12'!D46+'13'!D46+'14'!D46+'10.1'!D46</f>
        <v>358617</v>
      </c>
    </row>
    <row r="79" spans="1:3" ht="12" customHeight="1">
      <c r="A79" s="16" t="s">
        <v>174</v>
      </c>
      <c r="B79" s="9" t="s">
        <v>215</v>
      </c>
      <c r="C79" s="406">
        <f>9!D68+'10'!D47+'11'!D47+'12'!D47+'13'!D47+'14'!D47+'10.1'!D47</f>
        <v>3024155</v>
      </c>
    </row>
    <row r="80" spans="1:3" ht="12" customHeight="1">
      <c r="A80" s="16" t="s">
        <v>175</v>
      </c>
      <c r="B80" s="13" t="s">
        <v>299</v>
      </c>
      <c r="C80" s="406">
        <f>9!D69+'10'!D48+'11'!D48+'12'!D48+'13'!D48+'14'!D48+'10.1'!D48</f>
        <v>6000</v>
      </c>
    </row>
    <row r="81" spans="1:3" ht="12" customHeight="1">
      <c r="A81" s="16" t="s">
        <v>186</v>
      </c>
      <c r="B81" s="22" t="s">
        <v>300</v>
      </c>
      <c r="C81" s="406">
        <f>9!D70+'10'!D49+'11'!D49+'12'!D49+'13'!D49+'14'!D49+'10.1'!D49</f>
        <v>720276</v>
      </c>
    </row>
    <row r="82" spans="1:3" ht="12" customHeight="1">
      <c r="A82" s="16" t="s">
        <v>176</v>
      </c>
      <c r="B82" s="9" t="s">
        <v>321</v>
      </c>
      <c r="C82" s="406">
        <f>9!D71+'10'!D50+'11'!D50+'12'!D50+'13'!D50+'14'!D50+'10.1'!D50</f>
        <v>0</v>
      </c>
    </row>
    <row r="83" spans="1:3" ht="12" customHeight="1">
      <c r="A83" s="16" t="s">
        <v>177</v>
      </c>
      <c r="B83" s="167" t="s">
        <v>322</v>
      </c>
      <c r="C83" s="406">
        <f>9!D72+'10'!D51+'11'!D51+'12'!D51+'13'!D51+'14'!D51+'10.1'!D51</f>
        <v>212200</v>
      </c>
    </row>
    <row r="84" spans="1:3" ht="12" customHeight="1">
      <c r="A84" s="16" t="s">
        <v>187</v>
      </c>
      <c r="B84" s="167" t="s">
        <v>416</v>
      </c>
      <c r="C84" s="406">
        <f>9!D73+'10'!D52+'11'!D52+'12'!D52+'13'!D52+'14'!D52+'10.1'!D52</f>
        <v>237106</v>
      </c>
    </row>
    <row r="85" spans="1:3" ht="12" customHeight="1">
      <c r="A85" s="16" t="s">
        <v>188</v>
      </c>
      <c r="B85" s="168" t="s">
        <v>323</v>
      </c>
      <c r="C85" s="406">
        <f>9!D74+'10'!D53+'11'!D53+'12'!D53+'13'!D53+'14'!D53+'10.1'!D53</f>
        <v>176140</v>
      </c>
    </row>
    <row r="86" spans="1:3" ht="12" customHeight="1">
      <c r="A86" s="15" t="s">
        <v>189</v>
      </c>
      <c r="B86" s="169" t="s">
        <v>324</v>
      </c>
      <c r="C86" s="406">
        <f>9!D76+'10'!D54+'11'!D54+'12'!D54+'13'!D54+'14'!D54+'10.1'!D54</f>
        <v>94830</v>
      </c>
    </row>
    <row r="87" spans="1:3" ht="12" customHeight="1">
      <c r="A87" s="16" t="s">
        <v>190</v>
      </c>
      <c r="B87" s="169" t="s">
        <v>325</v>
      </c>
      <c r="C87" s="406">
        <f>9!D77+'10'!D55+'11'!D55+'12'!D55+'13'!D55+'14'!D55+'10.1'!D55</f>
        <v>0</v>
      </c>
    </row>
    <row r="88" spans="1:3" ht="12" customHeight="1" thickBot="1">
      <c r="A88" s="21" t="s">
        <v>192</v>
      </c>
      <c r="B88" s="170" t="s">
        <v>326</v>
      </c>
      <c r="C88" s="406">
        <f>9!D78+'10'!D56+'11'!D56+'12'!D56+'13'!D56+'14'!D56+'10.1'!D56</f>
        <v>0</v>
      </c>
    </row>
    <row r="89" spans="1:3" ht="12" customHeight="1" thickBot="1">
      <c r="A89" s="23" t="s">
        <v>75</v>
      </c>
      <c r="B89" s="34" t="s">
        <v>440</v>
      </c>
      <c r="C89" s="404">
        <f>+C90+C91+C92</f>
        <v>2171835</v>
      </c>
    </row>
    <row r="90" spans="1:3" ht="12" customHeight="1">
      <c r="A90" s="18" t="s">
        <v>178</v>
      </c>
      <c r="B90" s="9" t="s">
        <v>417</v>
      </c>
      <c r="C90" s="410">
        <f>9!D80+'10'!D58+'11'!D58+'12'!D58+'13'!D58+'14'!D58+'10.1'!D58</f>
        <v>1713624</v>
      </c>
    </row>
    <row r="91" spans="1:3" ht="12" customHeight="1">
      <c r="A91" s="18" t="s">
        <v>179</v>
      </c>
      <c r="B91" s="14" t="s">
        <v>302</v>
      </c>
      <c r="C91" s="406">
        <f>9!D81+'10'!D59+'11'!D59+'12'!D59+'13'!D59+'14'!D59+'10.1'!D59</f>
        <v>458211</v>
      </c>
    </row>
    <row r="92" spans="1:3" ht="12" customHeight="1">
      <c r="A92" s="18" t="s">
        <v>180</v>
      </c>
      <c r="B92" s="382" t="s">
        <v>441</v>
      </c>
      <c r="C92" s="406">
        <f>9!D82+'10'!D60+'11'!D60+'12'!D60+'13'!D60+'14'!D60+'10.1'!D60</f>
        <v>0</v>
      </c>
    </row>
    <row r="93" spans="1:3" ht="12" customHeight="1">
      <c r="A93" s="18" t="s">
        <v>181</v>
      </c>
      <c r="B93" s="382" t="s">
        <v>1200</v>
      </c>
      <c r="C93" s="406">
        <f>9!D83+'10'!D62+'11'!D62+'12'!D62+'13'!D62+'14'!D62+'10.1'!D62</f>
        <v>0</v>
      </c>
    </row>
    <row r="94" spans="1:3" ht="12" customHeight="1">
      <c r="A94" s="18" t="s">
        <v>182</v>
      </c>
      <c r="B94" s="382" t="s">
        <v>442</v>
      </c>
      <c r="C94" s="406">
        <f>9!D84+'10'!D63+'11'!D63+'12'!D63+'13'!D63+'14'!D63+'10.1'!D63</f>
        <v>538706</v>
      </c>
    </row>
    <row r="95" spans="1:3" ht="15.75">
      <c r="A95" s="18" t="s">
        <v>191</v>
      </c>
      <c r="B95" s="382" t="s">
        <v>443</v>
      </c>
      <c r="C95" s="406">
        <f>9!D85+'10'!D64+'11'!D64+'12'!D64+'13'!D64+'14'!D64+'10.1'!D64</f>
        <v>0</v>
      </c>
    </row>
    <row r="96" spans="1:3" ht="12" customHeight="1">
      <c r="A96" s="18" t="s">
        <v>193</v>
      </c>
      <c r="B96" s="544" t="s">
        <v>420</v>
      </c>
      <c r="C96" s="406">
        <f>9!D86+'10'!D65+'11'!D65+'12'!D65+'13'!D65+'14'!D65+'10.1'!D65</f>
        <v>0</v>
      </c>
    </row>
    <row r="97" spans="1:3" ht="12" customHeight="1">
      <c r="A97" s="18" t="s">
        <v>303</v>
      </c>
      <c r="B97" s="544" t="s">
        <v>421</v>
      </c>
      <c r="C97" s="406">
        <f>9!D87+'10'!D66+'11'!D66+'12'!D66+'13'!D66+'14'!D66+'10.1'!D66</f>
        <v>0</v>
      </c>
    </row>
    <row r="98" spans="1:3" ht="14.25" customHeight="1">
      <c r="A98" s="18" t="s">
        <v>304</v>
      </c>
      <c r="B98" s="544" t="s">
        <v>419</v>
      </c>
      <c r="C98" s="406">
        <f>9!D88+'10'!D61+'11'!D61+'12'!D61+'13'!D61+'14'!D61+'10.1'!D61</f>
        <v>610739</v>
      </c>
    </row>
    <row r="99" spans="1:3" ht="23.25" thickBot="1">
      <c r="A99" s="15" t="s">
        <v>305</v>
      </c>
      <c r="B99" s="545" t="s">
        <v>418</v>
      </c>
      <c r="C99" s="406">
        <f>9!D89+'10'!D67+'11'!D67+'12'!D67+'13'!D67+'14'!D67+'10.1'!D67</f>
        <v>54737</v>
      </c>
    </row>
    <row r="100" spans="1:3" ht="12" customHeight="1" thickBot="1">
      <c r="A100" s="23" t="s">
        <v>76</v>
      </c>
      <c r="B100" s="147" t="s">
        <v>444</v>
      </c>
      <c r="C100" s="404">
        <f>+C101+C102</f>
        <v>121718</v>
      </c>
    </row>
    <row r="101" spans="1:3" ht="12" customHeight="1">
      <c r="A101" s="18" t="s">
        <v>152</v>
      </c>
      <c r="B101" s="11" t="s">
        <v>121</v>
      </c>
      <c r="C101" s="410">
        <f>9!D91</f>
        <v>121718</v>
      </c>
    </row>
    <row r="102" spans="1:3" ht="12" customHeight="1" thickBot="1">
      <c r="A102" s="19" t="s">
        <v>153</v>
      </c>
      <c r="B102" s="14" t="s">
        <v>122</v>
      </c>
      <c r="C102" s="411">
        <f>9!D92</f>
        <v>0</v>
      </c>
    </row>
    <row r="103" spans="1:3" s="380" customFormat="1" ht="12" customHeight="1" thickBot="1">
      <c r="A103" s="386" t="s">
        <v>77</v>
      </c>
      <c r="B103" s="381" t="s">
        <v>422</v>
      </c>
      <c r="C103" s="556">
        <f>9!D93+'10'!D68+'11'!D68+'12'!D68+'13'!D68+'14'!D68+'10.1'!D68</f>
        <v>0</v>
      </c>
    </row>
    <row r="104" spans="1:3" ht="12" customHeight="1" thickBot="1">
      <c r="A104" s="378" t="s">
        <v>78</v>
      </c>
      <c r="B104" s="379" t="s">
        <v>238</v>
      </c>
      <c r="C104" s="403">
        <f>+C76+C89+C100+C103</f>
        <v>7773134</v>
      </c>
    </row>
    <row r="105" spans="1:3" ht="12" customHeight="1" thickBot="1">
      <c r="A105" s="386" t="s">
        <v>79</v>
      </c>
      <c r="B105" s="381" t="s">
        <v>504</v>
      </c>
      <c r="C105" s="404">
        <f>+C106+C114</f>
        <v>567619</v>
      </c>
    </row>
    <row r="106" spans="1:3" ht="12" customHeight="1" thickBot="1">
      <c r="A106" s="401" t="s">
        <v>159</v>
      </c>
      <c r="B106" s="609" t="s">
        <v>505</v>
      </c>
      <c r="C106" s="1103">
        <f>+C107+C108+C109+C110+C111+C112+C113</f>
        <v>0</v>
      </c>
    </row>
    <row r="107" spans="1:3" ht="12" customHeight="1">
      <c r="A107" s="394" t="s">
        <v>162</v>
      </c>
      <c r="B107" s="610" t="s">
        <v>423</v>
      </c>
      <c r="C107" s="1104"/>
    </row>
    <row r="108" spans="1:3" ht="12" customHeight="1">
      <c r="A108" s="387" t="s">
        <v>163</v>
      </c>
      <c r="B108" s="606" t="s">
        <v>424</v>
      </c>
      <c r="C108" s="1105"/>
    </row>
    <row r="109" spans="1:3" ht="12" customHeight="1">
      <c r="A109" s="387" t="s">
        <v>164</v>
      </c>
      <c r="B109" s="606" t="s">
        <v>425</v>
      </c>
      <c r="C109" s="1105"/>
    </row>
    <row r="110" spans="1:3" ht="12" customHeight="1">
      <c r="A110" s="387" t="s">
        <v>165</v>
      </c>
      <c r="B110" s="606" t="s">
        <v>426</v>
      </c>
      <c r="C110" s="1105"/>
    </row>
    <row r="111" spans="1:3" ht="12" customHeight="1">
      <c r="A111" s="387" t="s">
        <v>288</v>
      </c>
      <c r="B111" s="606" t="s">
        <v>427</v>
      </c>
      <c r="C111" s="1105"/>
    </row>
    <row r="112" spans="1:3" ht="12" customHeight="1">
      <c r="A112" s="387" t="s">
        <v>306</v>
      </c>
      <c r="B112" s="606" t="s">
        <v>428</v>
      </c>
      <c r="C112" s="1105"/>
    </row>
    <row r="113" spans="1:3" ht="12" customHeight="1" thickBot="1">
      <c r="A113" s="396" t="s">
        <v>307</v>
      </c>
      <c r="B113" s="611" t="s">
        <v>429</v>
      </c>
      <c r="C113" s="1106"/>
    </row>
    <row r="114" spans="1:3" ht="12" customHeight="1" thickBot="1">
      <c r="A114" s="401" t="s">
        <v>160</v>
      </c>
      <c r="B114" s="609" t="s">
        <v>978</v>
      </c>
      <c r="C114" s="1103">
        <f>+C115+C116+C117+C118+C119+C120+C121+C122</f>
        <v>567619</v>
      </c>
    </row>
    <row r="115" spans="1:3" ht="12" customHeight="1">
      <c r="A115" s="394" t="s">
        <v>168</v>
      </c>
      <c r="B115" s="610" t="s">
        <v>423</v>
      </c>
      <c r="C115" s="1107"/>
    </row>
    <row r="116" spans="1:3" ht="12" customHeight="1">
      <c r="A116" s="387" t="s">
        <v>169</v>
      </c>
      <c r="B116" s="606" t="s">
        <v>994</v>
      </c>
      <c r="C116" s="1005">
        <f>9!D98</f>
        <v>567619</v>
      </c>
    </row>
    <row r="117" spans="1:3" ht="12" customHeight="1">
      <c r="A117" s="387" t="s">
        <v>170</v>
      </c>
      <c r="B117" s="606" t="s">
        <v>425</v>
      </c>
      <c r="C117" s="428"/>
    </row>
    <row r="118" spans="1:3" ht="12" customHeight="1">
      <c r="A118" s="387" t="s">
        <v>171</v>
      </c>
      <c r="B118" s="606" t="s">
        <v>426</v>
      </c>
      <c r="C118" s="428"/>
    </row>
    <row r="119" spans="1:3" ht="12" customHeight="1">
      <c r="A119" s="387" t="s">
        <v>289</v>
      </c>
      <c r="B119" s="606" t="s">
        <v>427</v>
      </c>
      <c r="C119" s="428"/>
    </row>
    <row r="120" spans="1:3" ht="12" customHeight="1">
      <c r="A120" s="387" t="s">
        <v>308</v>
      </c>
      <c r="B120" s="606" t="s">
        <v>431</v>
      </c>
      <c r="C120" s="428"/>
    </row>
    <row r="121" spans="1:3" ht="12" customHeight="1">
      <c r="A121" s="387" t="s">
        <v>309</v>
      </c>
      <c r="B121" s="606" t="s">
        <v>429</v>
      </c>
      <c r="C121" s="428"/>
    </row>
    <row r="122" spans="1:3" ht="12" customHeight="1" thickBot="1">
      <c r="A122" s="396" t="s">
        <v>310</v>
      </c>
      <c r="B122" s="611" t="s">
        <v>507</v>
      </c>
      <c r="C122" s="429"/>
    </row>
    <row r="123" spans="1:3" ht="12" customHeight="1" thickBot="1">
      <c r="A123" s="386" t="s">
        <v>80</v>
      </c>
      <c r="B123" s="542" t="s">
        <v>432</v>
      </c>
      <c r="C123" s="421">
        <f>+C104+C105</f>
        <v>8340753</v>
      </c>
    </row>
    <row r="124" spans="1:4" ht="15" customHeight="1" thickBot="1">
      <c r="A124" s="386" t="s">
        <v>81</v>
      </c>
      <c r="B124" s="542" t="s">
        <v>433</v>
      </c>
      <c r="C124" s="422">
        <f>'10'!D69+'11'!D69+'12'!D69+'13'!D69+'14'!D69+'10.1'!D69</f>
        <v>0</v>
      </c>
      <c r="D124" s="148"/>
    </row>
    <row r="125" spans="1:3" s="1" customFormat="1" ht="12.75" customHeight="1" thickBot="1">
      <c r="A125" s="398" t="s">
        <v>82</v>
      </c>
      <c r="B125" s="543" t="s">
        <v>434</v>
      </c>
      <c r="C125" s="415">
        <f>+C123+C124</f>
        <v>8340753</v>
      </c>
    </row>
    <row r="126" spans="1:3" ht="7.5" customHeight="1">
      <c r="A126" s="547"/>
      <c r="B126" s="547"/>
      <c r="C126" s="548"/>
    </row>
    <row r="127" spans="1:3" ht="15.75">
      <c r="A127" s="1290" t="s">
        <v>241</v>
      </c>
      <c r="B127" s="1290"/>
      <c r="C127" s="1290"/>
    </row>
    <row r="128" spans="1:3" ht="15" customHeight="1" thickBot="1">
      <c r="A128" s="1288" t="s">
        <v>234</v>
      </c>
      <c r="B128" s="1288"/>
      <c r="C128" s="424" t="s">
        <v>436</v>
      </c>
    </row>
    <row r="129" spans="1:3" ht="13.5" customHeight="1" thickBot="1">
      <c r="A129" s="23">
        <v>1</v>
      </c>
      <c r="B129" s="34" t="s">
        <v>316</v>
      </c>
      <c r="C129" s="404">
        <f>+C54-C104</f>
        <v>513729</v>
      </c>
    </row>
    <row r="130" spans="1:3" ht="7.5" customHeight="1">
      <c r="A130" s="547"/>
      <c r="B130" s="547"/>
      <c r="C130" s="548"/>
    </row>
    <row r="131" spans="1:3" ht="15.75">
      <c r="A131" s="1284" t="s">
        <v>435</v>
      </c>
      <c r="B131" s="1284"/>
      <c r="C131" s="1284"/>
    </row>
    <row r="132" spans="1:3" ht="12.75" customHeight="1" thickBot="1">
      <c r="A132" s="1287" t="s">
        <v>235</v>
      </c>
      <c r="B132" s="1287"/>
      <c r="C132" s="430" t="s">
        <v>436</v>
      </c>
    </row>
    <row r="133" spans="1:3" ht="13.5" customHeight="1" thickBot="1">
      <c r="A133" s="386" t="s">
        <v>74</v>
      </c>
      <c r="B133" s="399" t="s">
        <v>1248</v>
      </c>
      <c r="C133" s="421">
        <f>IF('5.1'!C36&lt;&gt;"-",'5.1'!C36,0)</f>
        <v>0</v>
      </c>
    </row>
    <row r="134" spans="1:3" ht="13.5" customHeight="1" thickBot="1">
      <c r="A134" s="386" t="s">
        <v>75</v>
      </c>
      <c r="B134" s="399" t="s">
        <v>1137</v>
      </c>
      <c r="C134" s="421">
        <f>IF('5.2'!C36&lt;&gt;"-",'5.2'!C36,0)</f>
        <v>687835</v>
      </c>
    </row>
    <row r="135" spans="1:3" ht="13.5" customHeight="1" thickBot="1">
      <c r="A135" s="386" t="s">
        <v>76</v>
      </c>
      <c r="B135" s="399" t="s">
        <v>445</v>
      </c>
      <c r="C135" s="421">
        <f>C134+C133</f>
        <v>687835</v>
      </c>
    </row>
    <row r="136" spans="1:3" ht="7.5" customHeight="1">
      <c r="A136" s="549"/>
      <c r="B136" s="550"/>
      <c r="C136" s="551"/>
    </row>
    <row r="137" spans="1:3" ht="15.75">
      <c r="A137" s="1285" t="s">
        <v>437</v>
      </c>
      <c r="B137" s="1285"/>
      <c r="C137" s="1285"/>
    </row>
    <row r="138" spans="1:3" ht="12.75" customHeight="1" thickBot="1">
      <c r="A138" s="1287" t="s">
        <v>438</v>
      </c>
      <c r="B138" s="1287"/>
      <c r="C138" s="430" t="s">
        <v>436</v>
      </c>
    </row>
    <row r="139" spans="1:3" ht="12.75" customHeight="1" thickBot="1">
      <c r="A139" s="386" t="s">
        <v>74</v>
      </c>
      <c r="B139" s="399" t="s">
        <v>508</v>
      </c>
      <c r="C139" s="421">
        <f>+C140-C143</f>
        <v>-513729</v>
      </c>
    </row>
    <row r="140" spans="1:3" ht="12.75" customHeight="1" thickBot="1">
      <c r="A140" s="400" t="s">
        <v>172</v>
      </c>
      <c r="B140" s="552" t="s">
        <v>1138</v>
      </c>
      <c r="C140" s="567">
        <f>+C55</f>
        <v>53890</v>
      </c>
    </row>
    <row r="141" spans="1:3" ht="12.75" customHeight="1" thickBot="1">
      <c r="A141" s="401" t="s">
        <v>317</v>
      </c>
      <c r="B141" s="553" t="s">
        <v>1140</v>
      </c>
      <c r="C141" s="567">
        <f>+'5.1'!C31</f>
        <v>53890</v>
      </c>
    </row>
    <row r="142" spans="1:3" ht="12.75" customHeight="1" thickBot="1">
      <c r="A142" s="401" t="s">
        <v>318</v>
      </c>
      <c r="B142" s="553" t="s">
        <v>1141</v>
      </c>
      <c r="C142" s="567">
        <f>+'5.2'!C31</f>
        <v>0</v>
      </c>
    </row>
    <row r="143" spans="1:3" ht="12.75" customHeight="1" thickBot="1">
      <c r="A143" s="400" t="s">
        <v>173</v>
      </c>
      <c r="B143" s="552" t="s">
        <v>1139</v>
      </c>
      <c r="C143" s="567">
        <f>+C105</f>
        <v>567619</v>
      </c>
    </row>
    <row r="144" spans="1:3" ht="12.75" customHeight="1" thickBot="1">
      <c r="A144" s="401" t="s">
        <v>319</v>
      </c>
      <c r="B144" s="553" t="s">
        <v>1142</v>
      </c>
      <c r="C144" s="423">
        <f>+'5.1'!E31</f>
        <v>0</v>
      </c>
    </row>
    <row r="145" spans="1:3" ht="12.75" customHeight="1" thickBot="1">
      <c r="A145" s="401" t="s">
        <v>320</v>
      </c>
      <c r="B145" s="553" t="s">
        <v>1143</v>
      </c>
      <c r="C145" s="1108">
        <f>+'5.2'!E31</f>
        <v>567619</v>
      </c>
    </row>
  </sheetData>
  <sheetProtection/>
  <mergeCells count="10">
    <mergeCell ref="A131:C131"/>
    <mergeCell ref="A137:C137"/>
    <mergeCell ref="A1:C1"/>
    <mergeCell ref="A138:B138"/>
    <mergeCell ref="A132:B132"/>
    <mergeCell ref="A2:B2"/>
    <mergeCell ref="A73:B73"/>
    <mergeCell ref="A127:C127"/>
    <mergeCell ref="A128:B128"/>
    <mergeCell ref="A72:C7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Siófok Város Önkormányzat
2013. ÉVI KÖLTSÉGVETÉSÉNEK ÖSSZEVONT MÉRLEGE&amp;10
&amp;R&amp;"Times New Roman CE,Félkövér dőlt"&amp;11 4. számú melléklet 
</oddHeader>
  </headerFooter>
  <rowBreaks count="1" manualBreakCount="1">
    <brk id="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="120" zoomScaleNormal="120" zoomScaleSheetLayoutView="130" workbookViewId="0" topLeftCell="A73">
      <selection activeCell="C79" sqref="C79"/>
    </sheetView>
  </sheetViews>
  <sheetFormatPr defaultColWidth="9.00390625" defaultRowHeight="12.75"/>
  <cols>
    <col min="1" max="1" width="9.00390625" style="554" customWidth="1"/>
    <col min="2" max="2" width="91.625" style="554" customWidth="1"/>
    <col min="3" max="3" width="21.625" style="555" customWidth="1"/>
    <col min="4" max="4" width="9.00390625" style="48" customWidth="1"/>
    <col min="5" max="16384" width="9.375" style="48" customWidth="1"/>
  </cols>
  <sheetData>
    <row r="1" spans="1:3" ht="15.75" customHeight="1">
      <c r="A1" s="1286" t="s">
        <v>71</v>
      </c>
      <c r="B1" s="1286"/>
      <c r="C1" s="1286"/>
    </row>
    <row r="2" spans="1:3" ht="15.75" customHeight="1" thickBot="1">
      <c r="A2" s="1288" t="s">
        <v>232</v>
      </c>
      <c r="B2" s="1288"/>
      <c r="C2" s="424" t="s">
        <v>436</v>
      </c>
    </row>
    <row r="3" spans="1:3" ht="37.5" customHeight="1" thickBot="1">
      <c r="A3" s="28" t="s">
        <v>132</v>
      </c>
      <c r="B3" s="29" t="s">
        <v>73</v>
      </c>
      <c r="C3" s="49" t="str">
        <f>4!C3</f>
        <v>2013. évi módosított előirányzat</v>
      </c>
    </row>
    <row r="4" spans="1:3" s="50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5" t="s">
        <v>74</v>
      </c>
      <c r="B5" s="24" t="s">
        <v>258</v>
      </c>
      <c r="C5" s="403">
        <f>+C6+C11+C20</f>
        <v>4126428</v>
      </c>
    </row>
    <row r="6" spans="1:3" s="1" customFormat="1" ht="12" customHeight="1" thickBot="1">
      <c r="A6" s="23" t="s">
        <v>75</v>
      </c>
      <c r="B6" s="381" t="s">
        <v>497</v>
      </c>
      <c r="C6" s="341">
        <f>+C7+C8+C9+C10</f>
        <v>2734000</v>
      </c>
    </row>
    <row r="7" spans="1:3" s="1" customFormat="1" ht="12" customHeight="1">
      <c r="A7" s="16" t="s">
        <v>178</v>
      </c>
      <c r="B7" s="536" t="s">
        <v>117</v>
      </c>
      <c r="C7" s="342">
        <f>'Ö1'!H148</f>
        <v>2710000</v>
      </c>
    </row>
    <row r="8" spans="1:3" s="1" customFormat="1" ht="12" customHeight="1">
      <c r="A8" s="16" t="s">
        <v>179</v>
      </c>
      <c r="B8" s="395" t="s">
        <v>148</v>
      </c>
      <c r="C8" s="342"/>
    </row>
    <row r="9" spans="1:3" s="1" customFormat="1" ht="12" customHeight="1">
      <c r="A9" s="16" t="s">
        <v>180</v>
      </c>
      <c r="B9" s="395" t="s">
        <v>259</v>
      </c>
      <c r="C9" s="342">
        <f>'Ö1'!H182+'Ö1'!H25</f>
        <v>24000</v>
      </c>
    </row>
    <row r="10" spans="1:3" s="1" customFormat="1" ht="12" customHeight="1" thickBot="1">
      <c r="A10" s="16" t="s">
        <v>181</v>
      </c>
      <c r="B10" s="537" t="s">
        <v>260</v>
      </c>
      <c r="C10" s="342"/>
    </row>
    <row r="11" spans="1:3" s="1" customFormat="1" ht="12" customHeight="1" thickBot="1">
      <c r="A11" s="23" t="s">
        <v>76</v>
      </c>
      <c r="B11" s="24" t="s">
        <v>261</v>
      </c>
      <c r="C11" s="404">
        <f>+C12+C13+C14+C15+C16+C17+C18+C19</f>
        <v>1297428</v>
      </c>
    </row>
    <row r="12" spans="1:3" s="1" customFormat="1" ht="12" customHeight="1">
      <c r="A12" s="20" t="s">
        <v>152</v>
      </c>
      <c r="B12" s="12" t="s">
        <v>266</v>
      </c>
      <c r="C12" s="405"/>
    </row>
    <row r="13" spans="1:3" s="1" customFormat="1" ht="12" customHeight="1">
      <c r="A13" s="16" t="s">
        <v>153</v>
      </c>
      <c r="B13" s="9" t="s">
        <v>267</v>
      </c>
      <c r="C13" s="406">
        <f>33398+3516+22000+127425+1270+1311+2208+13000+4953</f>
        <v>209081</v>
      </c>
    </row>
    <row r="14" spans="1:3" s="1" customFormat="1" ht="12" customHeight="1">
      <c r="A14" s="16" t="s">
        <v>154</v>
      </c>
      <c r="B14" s="9" t="s">
        <v>268</v>
      </c>
      <c r="C14" s="406">
        <f>'12'!D11+'Ö1'!H69</f>
        <v>660600</v>
      </c>
    </row>
    <row r="15" spans="1:3" s="1" customFormat="1" ht="12" customHeight="1">
      <c r="A15" s="16" t="s">
        <v>155</v>
      </c>
      <c r="B15" s="9" t="s">
        <v>269</v>
      </c>
      <c r="C15" s="406">
        <f>13849+63582</f>
        <v>77431</v>
      </c>
    </row>
    <row r="16" spans="1:3" s="1" customFormat="1" ht="12" customHeight="1">
      <c r="A16" s="15" t="s">
        <v>262</v>
      </c>
      <c r="B16" s="8" t="s">
        <v>270</v>
      </c>
      <c r="C16" s="407"/>
    </row>
    <row r="17" spans="1:3" s="1" customFormat="1" ht="12" customHeight="1">
      <c r="A17" s="16" t="s">
        <v>263</v>
      </c>
      <c r="B17" s="9" t="s">
        <v>376</v>
      </c>
      <c r="C17" s="406">
        <f>'Ö1'!E136+'Ö1'!H136+'P1'!H150+'11'!D14+'12'!D14+'13'!D14+'14'!D14+'K1'!H150</f>
        <v>344066</v>
      </c>
    </row>
    <row r="18" spans="1:3" s="1" customFormat="1" ht="12" customHeight="1">
      <c r="A18" s="16" t="s">
        <v>264</v>
      </c>
      <c r="B18" s="9" t="s">
        <v>272</v>
      </c>
      <c r="C18" s="406">
        <f>'Ö1'!H130+'P1'!H144+'K1'!H144</f>
        <v>6250</v>
      </c>
    </row>
    <row r="19" spans="1:3" s="1" customFormat="1" ht="12" customHeight="1" thickBot="1">
      <c r="A19" s="17" t="s">
        <v>265</v>
      </c>
      <c r="B19" s="10" t="s">
        <v>273</v>
      </c>
      <c r="C19" s="408"/>
    </row>
    <row r="20" spans="1:3" s="1" customFormat="1" ht="12" customHeight="1" thickBot="1">
      <c r="A20" s="23" t="s">
        <v>274</v>
      </c>
      <c r="B20" s="24" t="s">
        <v>377</v>
      </c>
      <c r="C20" s="409">
        <f>'Ö1'!H154</f>
        <v>95000</v>
      </c>
    </row>
    <row r="21" spans="1:3" s="1" customFormat="1" ht="12" customHeight="1" thickBot="1">
      <c r="A21" s="23" t="s">
        <v>78</v>
      </c>
      <c r="B21" s="24" t="s">
        <v>541</v>
      </c>
      <c r="C21" s="404">
        <f>+C22+C23+C24++C25+C26+C27+C28+C29+C30+C31</f>
        <v>1658186</v>
      </c>
    </row>
    <row r="22" spans="1:3" s="1" customFormat="1" ht="12" customHeight="1">
      <c r="A22" s="18" t="s">
        <v>156</v>
      </c>
      <c r="B22" s="11" t="s">
        <v>282</v>
      </c>
      <c r="C22" s="410">
        <f>482532+19469</f>
        <v>502001</v>
      </c>
    </row>
    <row r="23" spans="1:3" s="1" customFormat="1" ht="12" customHeight="1">
      <c r="A23" s="16" t="s">
        <v>157</v>
      </c>
      <c r="B23" s="9" t="s">
        <v>283</v>
      </c>
      <c r="C23" s="406">
        <f>241846+24973</f>
        <v>266819</v>
      </c>
    </row>
    <row r="24" spans="1:3" s="1" customFormat="1" ht="12" customHeight="1">
      <c r="A24" s="16" t="s">
        <v>158</v>
      </c>
      <c r="B24" s="9" t="s">
        <v>284</v>
      </c>
      <c r="C24" s="406">
        <f>343299+144750+13200+251+76+24-95618-62332+750+1547</f>
        <v>345947</v>
      </c>
    </row>
    <row r="25" spans="1:3" s="1" customFormat="1" ht="12" customHeight="1">
      <c r="A25" s="19" t="s">
        <v>277</v>
      </c>
      <c r="B25" s="9" t="str">
        <f>9!C25</f>
        <v>Ált. működéshez és ágazati feladathoz kapcsolódó támogatások</v>
      </c>
      <c r="C25" s="411">
        <f>177727+11117</f>
        <v>188844</v>
      </c>
    </row>
    <row r="26" spans="1:3" s="1" customFormat="1" ht="12" customHeight="1">
      <c r="A26" s="19" t="s">
        <v>278</v>
      </c>
      <c r="B26" s="9" t="s">
        <v>1338</v>
      </c>
      <c r="C26" s="411">
        <v>21144</v>
      </c>
    </row>
    <row r="27" spans="1:3" s="1" customFormat="1" ht="12" customHeight="1">
      <c r="A27" s="19" t="s">
        <v>279</v>
      </c>
      <c r="B27" s="9" t="s">
        <v>285</v>
      </c>
      <c r="C27" s="411"/>
    </row>
    <row r="28" spans="1:3" s="1" customFormat="1" ht="12" customHeight="1">
      <c r="A28" s="16" t="s">
        <v>280</v>
      </c>
      <c r="B28" s="9" t="s">
        <v>286</v>
      </c>
      <c r="C28" s="406"/>
    </row>
    <row r="29" spans="1:3" s="1" customFormat="1" ht="12" customHeight="1">
      <c r="A29" s="16" t="s">
        <v>281</v>
      </c>
      <c r="B29" s="9" t="s">
        <v>378</v>
      </c>
      <c r="C29" s="412"/>
    </row>
    <row r="30" spans="1:3" s="1" customFormat="1" ht="12" customHeight="1">
      <c r="A30" s="16" t="s">
        <v>538</v>
      </c>
      <c r="B30" s="9" t="s">
        <v>1334</v>
      </c>
      <c r="C30" s="412">
        <f>18014+233356+19729</f>
        <v>271099</v>
      </c>
    </row>
    <row r="31" spans="1:3" s="1" customFormat="1" ht="12" customHeight="1" thickBot="1">
      <c r="A31" s="1159" t="s">
        <v>540</v>
      </c>
      <c r="B31" s="8" t="s">
        <v>1243</v>
      </c>
      <c r="C31" s="348">
        <v>62332</v>
      </c>
    </row>
    <row r="32" spans="1:3" s="1" customFormat="1" ht="12" customHeight="1" thickBot="1">
      <c r="A32" s="374" t="s">
        <v>79</v>
      </c>
      <c r="B32" s="24" t="s">
        <v>498</v>
      </c>
      <c r="C32" s="341">
        <f>+C33+C39</f>
        <v>1382882</v>
      </c>
    </row>
    <row r="33" spans="1:3" s="1" customFormat="1" ht="12" customHeight="1">
      <c r="A33" s="375" t="s">
        <v>159</v>
      </c>
      <c r="B33" s="538" t="s">
        <v>499</v>
      </c>
      <c r="C33" s="371">
        <f>+C34+C35+C36+C37+C38</f>
        <v>453019</v>
      </c>
    </row>
    <row r="34" spans="1:3" s="1" customFormat="1" ht="12" customHeight="1">
      <c r="A34" s="376" t="s">
        <v>162</v>
      </c>
      <c r="B34" s="382" t="s">
        <v>379</v>
      </c>
      <c r="C34" s="346">
        <f>74651+3143</f>
        <v>77794</v>
      </c>
    </row>
    <row r="35" spans="1:3" s="1" customFormat="1" ht="12" customHeight="1">
      <c r="A35" s="376" t="s">
        <v>163</v>
      </c>
      <c r="B35" s="382" t="s">
        <v>380</v>
      </c>
      <c r="C35" s="346">
        <f>51207+2654+3085-2733+668+6826+4025+3050</f>
        <v>68782</v>
      </c>
    </row>
    <row r="36" spans="1:3" s="1" customFormat="1" ht="12" customHeight="1">
      <c r="A36" s="376" t="s">
        <v>164</v>
      </c>
      <c r="B36" s="382" t="s">
        <v>381</v>
      </c>
      <c r="C36" s="346">
        <f>7076+6359-918+7183-6359</f>
        <v>13341</v>
      </c>
    </row>
    <row r="37" spans="1:3" s="1" customFormat="1" ht="12" customHeight="1">
      <c r="A37" s="376" t="s">
        <v>165</v>
      </c>
      <c r="B37" s="382" t="s">
        <v>382</v>
      </c>
      <c r="C37" s="346"/>
    </row>
    <row r="38" spans="1:3" s="1" customFormat="1" ht="12" customHeight="1">
      <c r="A38" s="376" t="s">
        <v>288</v>
      </c>
      <c r="B38" s="382" t="s">
        <v>500</v>
      </c>
      <c r="C38" s="346">
        <f>149547+15448+95618+1519+1060+3685+686+4715+8846+11978</f>
        <v>293102</v>
      </c>
    </row>
    <row r="39" spans="1:3" s="1" customFormat="1" ht="12" customHeight="1">
      <c r="A39" s="376" t="s">
        <v>160</v>
      </c>
      <c r="B39" s="383" t="s">
        <v>501</v>
      </c>
      <c r="C39" s="370">
        <f>+C40+C41+C42+C43+C44</f>
        <v>929863</v>
      </c>
    </row>
    <row r="40" spans="1:3" s="1" customFormat="1" ht="12" customHeight="1">
      <c r="A40" s="376" t="s">
        <v>168</v>
      </c>
      <c r="B40" s="382" t="s">
        <v>379</v>
      </c>
      <c r="C40" s="346"/>
    </row>
    <row r="41" spans="1:3" s="1" customFormat="1" ht="12" customHeight="1">
      <c r="A41" s="376" t="s">
        <v>169</v>
      </c>
      <c r="B41" s="382" t="s">
        <v>380</v>
      </c>
      <c r="C41" s="346"/>
    </row>
    <row r="42" spans="1:3" s="1" customFormat="1" ht="12" customHeight="1">
      <c r="A42" s="376" t="s">
        <v>170</v>
      </c>
      <c r="B42" s="382" t="s">
        <v>381</v>
      </c>
      <c r="C42" s="346"/>
    </row>
    <row r="43" spans="1:3" s="1" customFormat="1" ht="12" customHeight="1">
      <c r="A43" s="376" t="s">
        <v>171</v>
      </c>
      <c r="B43" s="384" t="s">
        <v>382</v>
      </c>
      <c r="C43" s="346"/>
    </row>
    <row r="44" spans="1:3" s="1" customFormat="1" ht="12" customHeight="1" thickBot="1">
      <c r="A44" s="377" t="s">
        <v>289</v>
      </c>
      <c r="B44" s="385" t="s">
        <v>502</v>
      </c>
      <c r="C44" s="347">
        <f>589738+4745+23745+311635</f>
        <v>929863</v>
      </c>
    </row>
    <row r="45" spans="1:3" s="1" customFormat="1" ht="12" customHeight="1" thickBot="1">
      <c r="A45" s="23" t="s">
        <v>290</v>
      </c>
      <c r="B45" s="539" t="s">
        <v>383</v>
      </c>
      <c r="C45" s="341">
        <f>+C46+C47</f>
        <v>98703</v>
      </c>
    </row>
    <row r="46" spans="1:3" s="1" customFormat="1" ht="12" customHeight="1">
      <c r="A46" s="18" t="s">
        <v>166</v>
      </c>
      <c r="B46" s="395" t="s">
        <v>384</v>
      </c>
      <c r="C46" s="344">
        <f>95830+119-1000+254</f>
        <v>95203</v>
      </c>
    </row>
    <row r="47" spans="1:3" s="1" customFormat="1" ht="12" customHeight="1" thickBot="1">
      <c r="A47" s="15" t="s">
        <v>167</v>
      </c>
      <c r="B47" s="390" t="s">
        <v>388</v>
      </c>
      <c r="C47" s="343">
        <v>3500</v>
      </c>
    </row>
    <row r="48" spans="1:3" s="1" customFormat="1" ht="12" customHeight="1" thickBot="1">
      <c r="A48" s="23" t="s">
        <v>81</v>
      </c>
      <c r="B48" s="539" t="s">
        <v>1337</v>
      </c>
      <c r="C48" s="341">
        <f>+C49+C50+C52+C51</f>
        <v>877800</v>
      </c>
    </row>
    <row r="49" spans="1:3" s="1" customFormat="1" ht="12" customHeight="1">
      <c r="A49" s="18" t="s">
        <v>293</v>
      </c>
      <c r="B49" s="395" t="s">
        <v>291</v>
      </c>
      <c r="C49" s="372">
        <f>790000-38000</f>
        <v>752000</v>
      </c>
    </row>
    <row r="50" spans="1:3" s="1" customFormat="1" ht="12" customHeight="1">
      <c r="A50" s="16" t="s">
        <v>294</v>
      </c>
      <c r="B50" s="382" t="s">
        <v>292</v>
      </c>
      <c r="C50" s="412">
        <v>43750</v>
      </c>
    </row>
    <row r="51" spans="1:3" s="1" customFormat="1" ht="12" customHeight="1">
      <c r="A51" s="16" t="s">
        <v>439</v>
      </c>
      <c r="B51" s="382" t="s">
        <v>385</v>
      </c>
      <c r="C51" s="412">
        <f>75441+250</f>
        <v>75691</v>
      </c>
    </row>
    <row r="52" spans="1:3" s="1" customFormat="1" ht="12" customHeight="1" thickBot="1">
      <c r="A52" s="15" t="s">
        <v>1336</v>
      </c>
      <c r="B52" s="390" t="s">
        <v>1275</v>
      </c>
      <c r="C52" s="348">
        <v>6359</v>
      </c>
    </row>
    <row r="53" spans="1:5" s="1" customFormat="1" ht="17.25" customHeight="1" thickBot="1">
      <c r="A53" s="23" t="s">
        <v>295</v>
      </c>
      <c r="B53" s="540" t="s">
        <v>386</v>
      </c>
      <c r="C53" s="413"/>
      <c r="E53" s="51"/>
    </row>
    <row r="54" spans="1:3" s="1" customFormat="1" ht="12" customHeight="1" thickBot="1">
      <c r="A54" s="23" t="s">
        <v>83</v>
      </c>
      <c r="B54" s="27" t="s">
        <v>296</v>
      </c>
      <c r="C54" s="414">
        <f>+C6+C11+C20+C21+C32+C45+C48+C53</f>
        <v>8143999</v>
      </c>
    </row>
    <row r="55" spans="1:3" s="1" customFormat="1" ht="12" customHeight="1" thickBot="1">
      <c r="A55" s="386" t="s">
        <v>84</v>
      </c>
      <c r="B55" s="381" t="s">
        <v>389</v>
      </c>
      <c r="C55" s="415">
        <f>+C56+C62</f>
        <v>53890</v>
      </c>
    </row>
    <row r="56" spans="1:3" s="1" customFormat="1" ht="12" customHeight="1">
      <c r="A56" s="541" t="s">
        <v>225</v>
      </c>
      <c r="B56" s="538" t="s">
        <v>390</v>
      </c>
      <c r="C56" s="416">
        <f>+C57+C58+C59+C60+C61</f>
        <v>53890</v>
      </c>
    </row>
    <row r="57" spans="1:3" s="1" customFormat="1" ht="12" customHeight="1">
      <c r="A57" s="387" t="s">
        <v>405</v>
      </c>
      <c r="B57" s="382" t="s">
        <v>391</v>
      </c>
      <c r="C57" s="412">
        <f>2800+33578+3018+4216+10278</f>
        <v>53890</v>
      </c>
    </row>
    <row r="58" spans="1:3" s="1" customFormat="1" ht="12" customHeight="1">
      <c r="A58" s="387" t="s">
        <v>406</v>
      </c>
      <c r="B58" s="382" t="s">
        <v>392</v>
      </c>
      <c r="C58" s="412"/>
    </row>
    <row r="59" spans="1:3" s="1" customFormat="1" ht="12" customHeight="1">
      <c r="A59" s="387" t="s">
        <v>407</v>
      </c>
      <c r="B59" s="382" t="s">
        <v>393</v>
      </c>
      <c r="C59" s="412"/>
    </row>
    <row r="60" spans="1:3" s="1" customFormat="1" ht="12" customHeight="1">
      <c r="A60" s="387" t="s">
        <v>408</v>
      </c>
      <c r="B60" s="382" t="s">
        <v>394</v>
      </c>
      <c r="C60" s="412"/>
    </row>
    <row r="61" spans="1:3" s="1" customFormat="1" ht="12" customHeight="1">
      <c r="A61" s="387" t="s">
        <v>409</v>
      </c>
      <c r="B61" s="382" t="s">
        <v>395</v>
      </c>
      <c r="C61" s="412"/>
    </row>
    <row r="62" spans="1:3" s="1" customFormat="1" ht="12" customHeight="1">
      <c r="A62" s="388" t="s">
        <v>226</v>
      </c>
      <c r="B62" s="383" t="s">
        <v>396</v>
      </c>
      <c r="C62" s="417">
        <f>+C63+C64+C65+C66+C67</f>
        <v>0</v>
      </c>
    </row>
    <row r="63" spans="1:3" s="1" customFormat="1" ht="12" customHeight="1">
      <c r="A63" s="387" t="s">
        <v>410</v>
      </c>
      <c r="B63" s="382" t="s">
        <v>397</v>
      </c>
      <c r="C63" s="412"/>
    </row>
    <row r="64" spans="1:3" s="1" customFormat="1" ht="12" customHeight="1">
      <c r="A64" s="387" t="s">
        <v>411</v>
      </c>
      <c r="B64" s="382" t="s">
        <v>398</v>
      </c>
      <c r="C64" s="412"/>
    </row>
    <row r="65" spans="1:3" s="1" customFormat="1" ht="12" customHeight="1">
      <c r="A65" s="387" t="s">
        <v>412</v>
      </c>
      <c r="B65" s="382" t="s">
        <v>399</v>
      </c>
      <c r="C65" s="412"/>
    </row>
    <row r="66" spans="1:3" s="1" customFormat="1" ht="12" customHeight="1">
      <c r="A66" s="387" t="s">
        <v>413</v>
      </c>
      <c r="B66" s="382" t="s">
        <v>400</v>
      </c>
      <c r="C66" s="412"/>
    </row>
    <row r="67" spans="1:3" s="1" customFormat="1" ht="12" customHeight="1" thickBot="1">
      <c r="A67" s="389" t="s">
        <v>414</v>
      </c>
      <c r="B67" s="390" t="s">
        <v>401</v>
      </c>
      <c r="C67" s="418"/>
    </row>
    <row r="68" spans="1:3" s="1" customFormat="1" ht="12" customHeight="1" thickBot="1">
      <c r="A68" s="391" t="s">
        <v>85</v>
      </c>
      <c r="B68" s="542" t="s">
        <v>402</v>
      </c>
      <c r="C68" s="415">
        <f>+C54+C55</f>
        <v>8197889</v>
      </c>
    </row>
    <row r="69" spans="1:3" s="1" customFormat="1" ht="13.5" customHeight="1" thickBot="1">
      <c r="A69" s="392" t="s">
        <v>86</v>
      </c>
      <c r="B69" s="543" t="s">
        <v>403</v>
      </c>
      <c r="C69" s="425"/>
    </row>
    <row r="70" spans="1:3" s="1" customFormat="1" ht="12" customHeight="1" thickBot="1">
      <c r="A70" s="391" t="s">
        <v>87</v>
      </c>
      <c r="B70" s="542" t="s">
        <v>404</v>
      </c>
      <c r="C70" s="426">
        <f>+C68+C69</f>
        <v>8197889</v>
      </c>
    </row>
    <row r="71" spans="1:3" s="1" customFormat="1" ht="12.75" customHeight="1">
      <c r="A71" s="6"/>
      <c r="B71" s="7"/>
      <c r="C71" s="419"/>
    </row>
    <row r="72" spans="1:3" ht="16.5" customHeight="1">
      <c r="A72" s="1286" t="s">
        <v>103</v>
      </c>
      <c r="B72" s="1286"/>
      <c r="C72" s="1286"/>
    </row>
    <row r="73" spans="1:3" s="431" customFormat="1" ht="16.5" customHeight="1" thickBot="1">
      <c r="A73" s="1289" t="s">
        <v>233</v>
      </c>
      <c r="B73" s="1289"/>
      <c r="C73" s="163" t="s">
        <v>436</v>
      </c>
    </row>
    <row r="74" spans="1:3" ht="37.5" customHeight="1" thickBot="1">
      <c r="A74" s="28" t="s">
        <v>72</v>
      </c>
      <c r="B74" s="29" t="s">
        <v>104</v>
      </c>
      <c r="C74" s="49" t="str">
        <f>C3</f>
        <v>2013. évi módosított előirányzat</v>
      </c>
    </row>
    <row r="75" spans="1:3" s="50" customFormat="1" ht="12" customHeight="1" thickBot="1">
      <c r="A75" s="41">
        <v>1</v>
      </c>
      <c r="B75" s="42">
        <v>2</v>
      </c>
      <c r="C75" s="402">
        <v>3</v>
      </c>
    </row>
    <row r="76" spans="1:3" ht="12" customHeight="1" thickBot="1">
      <c r="A76" s="25" t="s">
        <v>74</v>
      </c>
      <c r="B76" s="35" t="s">
        <v>297</v>
      </c>
      <c r="C76" s="403">
        <f>+C77+C78+C79+C80+C81</f>
        <v>5070750</v>
      </c>
    </row>
    <row r="77" spans="1:3" ht="12" customHeight="1">
      <c r="A77" s="20" t="s">
        <v>172</v>
      </c>
      <c r="B77" s="12" t="s">
        <v>105</v>
      </c>
      <c r="C77" s="405">
        <f>42708+171751+393900+33575+124266+133571+500+295635+2126+20422+1650+1770+897+1787-1609+6123-649-94-1105+5212+622+675+16+213+1183+3391-6-194+8102+973+652+2417+20586+2376+8093+995+1480+3068+10935</f>
        <v>1298013</v>
      </c>
    </row>
    <row r="78" spans="1:3" ht="12" customHeight="1">
      <c r="A78" s="16" t="s">
        <v>173</v>
      </c>
      <c r="B78" s="9" t="s">
        <v>298</v>
      </c>
      <c r="C78" s="406">
        <f>10448+41859+96505+8500+23362+36856+135+2032+81647+574+5514+429+470+231+490-374+827+6108+630+2037+1676+168+182+4+58+319+915-2-52+2187+263+176+653+5558+642+2185+269+399+666+2193</f>
        <v>336739</v>
      </c>
    </row>
    <row r="79" spans="1:3" ht="12" customHeight="1">
      <c r="A79" s="16" t="s">
        <v>174</v>
      </c>
      <c r="B79" s="9" t="s">
        <v>215</v>
      </c>
      <c r="C79" s="411">
        <f>129789+113387+272668+47913+1706286+84187+49365+7557+140561+100+180+12383+564+669+112550+1006+15+18-1492+1056+8000-8000-18106+400+2893+1048+1334+1133+248+2800+750+2698-15425+5559+796+2459+2988+13000+1547+6892+4216+8244+42000+450+10781+243+567+237+121+60+208+7099</f>
        <v>2766002</v>
      </c>
    </row>
    <row r="80" spans="1:3" ht="12" customHeight="1">
      <c r="A80" s="16" t="s">
        <v>175</v>
      </c>
      <c r="B80" s="13" t="s">
        <v>299</v>
      </c>
      <c r="C80" s="411">
        <v>6000</v>
      </c>
    </row>
    <row r="81" spans="1:3" ht="12" customHeight="1">
      <c r="A81" s="16" t="s">
        <v>186</v>
      </c>
      <c r="B81" s="22" t="s">
        <v>300</v>
      </c>
      <c r="C81" s="411">
        <f>199000+211695+142600+2000+3000+13200+10000+891+8735+2679+3915-155-20+20+11250+19425+4801+4190+3692+10000+13078</f>
        <v>663996</v>
      </c>
    </row>
    <row r="82" spans="1:3" ht="12" customHeight="1">
      <c r="A82" s="16" t="s">
        <v>176</v>
      </c>
      <c r="B82" s="9" t="s">
        <v>321</v>
      </c>
      <c r="C82" s="411"/>
    </row>
    <row r="83" spans="1:3" ht="12" customHeight="1">
      <c r="A83" s="16" t="s">
        <v>177</v>
      </c>
      <c r="B83" s="167" t="s">
        <v>322</v>
      </c>
      <c r="C83" s="411">
        <f>199000+13200</f>
        <v>212200</v>
      </c>
    </row>
    <row r="84" spans="1:3" ht="12" customHeight="1">
      <c r="A84" s="16" t="s">
        <v>187</v>
      </c>
      <c r="B84" s="167" t="s">
        <v>416</v>
      </c>
      <c r="C84" s="411">
        <f>211695+20+355+891+8735+2679+3915-155-20+4801+4190</f>
        <v>237106</v>
      </c>
    </row>
    <row r="85" spans="1:3" ht="12" customHeight="1">
      <c r="A85" s="16" t="s">
        <v>188</v>
      </c>
      <c r="B85" s="168" t="s">
        <v>323</v>
      </c>
      <c r="C85" s="411">
        <f>67770-20-355+20+11250+3692+10000+19425</f>
        <v>111782</v>
      </c>
    </row>
    <row r="86" spans="1:3" ht="12" customHeight="1">
      <c r="A86" s="15" t="s">
        <v>189</v>
      </c>
      <c r="B86" s="169" t="s">
        <v>324</v>
      </c>
      <c r="C86" s="411">
        <v>94830</v>
      </c>
    </row>
    <row r="87" spans="1:3" ht="12" customHeight="1">
      <c r="A87" s="16" t="s">
        <v>190</v>
      </c>
      <c r="B87" s="169" t="s">
        <v>325</v>
      </c>
      <c r="C87" s="411"/>
    </row>
    <row r="88" spans="1:3" ht="12" customHeight="1" thickBot="1">
      <c r="A88" s="21" t="s">
        <v>192</v>
      </c>
      <c r="B88" s="170" t="s">
        <v>326</v>
      </c>
      <c r="C88" s="420"/>
    </row>
    <row r="89" spans="1:3" ht="12" customHeight="1" thickBot="1">
      <c r="A89" s="23" t="s">
        <v>75</v>
      </c>
      <c r="B89" s="34" t="s">
        <v>440</v>
      </c>
      <c r="C89" s="404">
        <f>+C90+C91+C92</f>
        <v>2161754</v>
      </c>
    </row>
    <row r="90" spans="1:3" ht="12" customHeight="1">
      <c r="A90" s="18" t="s">
        <v>178</v>
      </c>
      <c r="B90" s="9" t="s">
        <v>417</v>
      </c>
      <c r="C90" s="410">
        <f>1069+1015589+7500-150000+101700+1400+6000-2470-10283+1426+804+29681+76+500+220+2000+635+24-1426-335-229+173149+10000-775+775+24563-4977-126-1769-994-1848-884+3790+1985-241-2540+3747+1449-3007-505-1675+4872-354+934-550-1121+1923+240-510-1124-416-53-260+9104+10000+2039+893+672+89+16+5+203+451+5460+490+20000+48261-3892+361950-5678+53115-5000-2653+546+725+189</f>
        <v>1704564</v>
      </c>
    </row>
    <row r="91" spans="1:3" ht="12" customHeight="1">
      <c r="A91" s="18" t="s">
        <v>179</v>
      </c>
      <c r="B91" s="14" t="s">
        <v>302</v>
      </c>
      <c r="C91" s="406">
        <f>406300+39800+2470+3500+1426+717-3378+776+2000+7678-2000-2099</f>
        <v>457190</v>
      </c>
    </row>
    <row r="92" spans="1:3" ht="12" customHeight="1">
      <c r="A92" s="18" t="s">
        <v>180</v>
      </c>
      <c r="B92" s="382" t="s">
        <v>441</v>
      </c>
      <c r="C92" s="342"/>
    </row>
    <row r="93" spans="1:3" ht="12" customHeight="1">
      <c r="A93" s="18" t="s">
        <v>181</v>
      </c>
      <c r="B93" s="382" t="s">
        <v>1200</v>
      </c>
      <c r="C93" s="342"/>
    </row>
    <row r="94" spans="1:3" ht="12" customHeight="1">
      <c r="A94" s="18" t="s">
        <v>182</v>
      </c>
      <c r="B94" s="382" t="s">
        <v>442</v>
      </c>
      <c r="C94" s="342">
        <f>390000+50000+8400+4400+835+9165+717+89000-4977-2653-5678-1524</f>
        <v>537685</v>
      </c>
    </row>
    <row r="95" spans="1:3" ht="15.75">
      <c r="A95" s="18" t="s">
        <v>191</v>
      </c>
      <c r="B95" s="382" t="s">
        <v>443</v>
      </c>
      <c r="C95" s="342"/>
    </row>
    <row r="96" spans="1:3" ht="12" customHeight="1">
      <c r="A96" s="18" t="s">
        <v>193</v>
      </c>
      <c r="B96" s="544" t="s">
        <v>420</v>
      </c>
      <c r="C96" s="342"/>
    </row>
    <row r="97" spans="1:3" ht="12" customHeight="1">
      <c r="A97" s="18" t="s">
        <v>303</v>
      </c>
      <c r="B97" s="544" t="s">
        <v>421</v>
      </c>
      <c r="C97" s="342"/>
    </row>
    <row r="98" spans="1:3" ht="12" customHeight="1">
      <c r="A98" s="18" t="s">
        <v>304</v>
      </c>
      <c r="B98" s="544" t="s">
        <v>419</v>
      </c>
      <c r="C98" s="342">
        <f>422711+14759+173149</f>
        <v>610619</v>
      </c>
    </row>
    <row r="99" spans="1:3" ht="24" customHeight="1" thickBot="1">
      <c r="A99" s="15" t="s">
        <v>305</v>
      </c>
      <c r="B99" s="545" t="s">
        <v>418</v>
      </c>
      <c r="C99" s="345">
        <f>71534-15028-1769</f>
        <v>54737</v>
      </c>
    </row>
    <row r="100" spans="1:3" ht="12" customHeight="1" thickBot="1">
      <c r="A100" s="23" t="s">
        <v>76</v>
      </c>
      <c r="B100" s="147" t="s">
        <v>444</v>
      </c>
      <c r="C100" s="404">
        <f>+C101+C102</f>
        <v>121718</v>
      </c>
    </row>
    <row r="101" spans="1:3" ht="12" customHeight="1">
      <c r="A101" s="18" t="s">
        <v>152</v>
      </c>
      <c r="B101" s="11" t="s">
        <v>121</v>
      </c>
      <c r="C101" s="410">
        <f>258500-1400-6000-2000+251-500+15028-5936+2845-2642-1426-804-2000-635-891-3500+33578+11117+18014+601-2578-69-3314+1983-1000+119-15329+2654-3641+38148-13175+17452-10000-9104-24563+250-10000-18014-918+668-97+155+254-5460-158+4715-248-717-1926-6675-20000-48261-450-7825-53115-243</f>
        <v>121718</v>
      </c>
    </row>
    <row r="102" spans="1:3" ht="12" customHeight="1" thickBot="1">
      <c r="A102" s="19" t="s">
        <v>153</v>
      </c>
      <c r="B102" s="14" t="s">
        <v>122</v>
      </c>
      <c r="C102" s="411">
        <f>21250-10000-11250</f>
        <v>0</v>
      </c>
    </row>
    <row r="103" spans="1:3" s="380" customFormat="1" ht="12" customHeight="1" thickBot="1">
      <c r="A103" s="386" t="s">
        <v>77</v>
      </c>
      <c r="B103" s="381" t="s">
        <v>422</v>
      </c>
      <c r="C103" s="556"/>
    </row>
    <row r="104" spans="1:3" ht="12" customHeight="1" thickBot="1">
      <c r="A104" s="378" t="s">
        <v>78</v>
      </c>
      <c r="B104" s="379" t="s">
        <v>238</v>
      </c>
      <c r="C104" s="403">
        <f>+C76+C89+C100+C103</f>
        <v>7354222</v>
      </c>
    </row>
    <row r="105" spans="1:3" ht="12" customHeight="1" thickBot="1">
      <c r="A105" s="386" t="s">
        <v>79</v>
      </c>
      <c r="B105" s="381" t="s">
        <v>504</v>
      </c>
      <c r="C105" s="404">
        <f>+C106+C114</f>
        <v>567619</v>
      </c>
    </row>
    <row r="106" spans="1:3" ht="12" customHeight="1" thickBot="1">
      <c r="A106" s="401" t="s">
        <v>159</v>
      </c>
      <c r="B106" s="546" t="s">
        <v>509</v>
      </c>
      <c r="C106" s="568">
        <f>+C107+C108+C109+C110+C111+C112+C113</f>
        <v>0</v>
      </c>
    </row>
    <row r="107" spans="1:3" ht="12" customHeight="1">
      <c r="A107" s="394" t="s">
        <v>162</v>
      </c>
      <c r="B107" s="395" t="s">
        <v>423</v>
      </c>
      <c r="C107" s="427"/>
    </row>
    <row r="108" spans="1:3" ht="12" customHeight="1">
      <c r="A108" s="387" t="s">
        <v>163</v>
      </c>
      <c r="B108" s="382" t="s">
        <v>424</v>
      </c>
      <c r="C108" s="428"/>
    </row>
    <row r="109" spans="1:3" ht="12" customHeight="1">
      <c r="A109" s="387" t="s">
        <v>164</v>
      </c>
      <c r="B109" s="382" t="s">
        <v>425</v>
      </c>
      <c r="C109" s="428"/>
    </row>
    <row r="110" spans="1:3" ht="12" customHeight="1">
      <c r="A110" s="387" t="s">
        <v>165</v>
      </c>
      <c r="B110" s="382" t="s">
        <v>426</v>
      </c>
      <c r="C110" s="428"/>
    </row>
    <row r="111" spans="1:3" ht="12" customHeight="1">
      <c r="A111" s="387" t="s">
        <v>288</v>
      </c>
      <c r="B111" s="382" t="s">
        <v>427</v>
      </c>
      <c r="C111" s="428"/>
    </row>
    <row r="112" spans="1:3" ht="12" customHeight="1">
      <c r="A112" s="387" t="s">
        <v>306</v>
      </c>
      <c r="B112" s="382" t="s">
        <v>428</v>
      </c>
      <c r="C112" s="428"/>
    </row>
    <row r="113" spans="1:3" ht="12" customHeight="1" thickBot="1">
      <c r="A113" s="396" t="s">
        <v>307</v>
      </c>
      <c r="B113" s="397" t="s">
        <v>429</v>
      </c>
      <c r="C113" s="429"/>
    </row>
    <row r="114" spans="1:3" ht="12" customHeight="1" thickBot="1">
      <c r="A114" s="401" t="s">
        <v>160</v>
      </c>
      <c r="B114" s="546" t="s">
        <v>510</v>
      </c>
      <c r="C114" s="568">
        <f>+C115+C116+C117+C118+C119+C120+C121+C122</f>
        <v>567619</v>
      </c>
    </row>
    <row r="115" spans="1:3" ht="12" customHeight="1">
      <c r="A115" s="394" t="s">
        <v>168</v>
      </c>
      <c r="B115" s="395" t="s">
        <v>423</v>
      </c>
      <c r="C115" s="427"/>
    </row>
    <row r="116" spans="1:3" ht="12" customHeight="1">
      <c r="A116" s="387" t="s">
        <v>169</v>
      </c>
      <c r="B116" s="382" t="s">
        <v>430</v>
      </c>
      <c r="C116" s="1005">
        <f>334263+243242-9886</f>
        <v>567619</v>
      </c>
    </row>
    <row r="117" spans="1:3" ht="12" customHeight="1">
      <c r="A117" s="387" t="s">
        <v>170</v>
      </c>
      <c r="B117" s="382" t="s">
        <v>425</v>
      </c>
      <c r="C117" s="428"/>
    </row>
    <row r="118" spans="1:3" ht="12" customHeight="1">
      <c r="A118" s="387" t="s">
        <v>171</v>
      </c>
      <c r="B118" s="382" t="s">
        <v>426</v>
      </c>
      <c r="C118" s="428"/>
    </row>
    <row r="119" spans="1:3" ht="12" customHeight="1">
      <c r="A119" s="387" t="s">
        <v>289</v>
      </c>
      <c r="B119" s="382" t="s">
        <v>427</v>
      </c>
      <c r="C119" s="428"/>
    </row>
    <row r="120" spans="1:3" ht="12" customHeight="1">
      <c r="A120" s="387" t="s">
        <v>308</v>
      </c>
      <c r="B120" s="382" t="s">
        <v>431</v>
      </c>
      <c r="C120" s="428"/>
    </row>
    <row r="121" spans="1:3" ht="12" customHeight="1">
      <c r="A121" s="387" t="s">
        <v>309</v>
      </c>
      <c r="B121" s="382" t="s">
        <v>429</v>
      </c>
      <c r="C121" s="428"/>
    </row>
    <row r="122" spans="1:3" ht="12" customHeight="1" thickBot="1">
      <c r="A122" s="396" t="s">
        <v>310</v>
      </c>
      <c r="B122" s="397" t="s">
        <v>507</v>
      </c>
      <c r="C122" s="429"/>
    </row>
    <row r="123" spans="1:3" ht="12" customHeight="1" thickBot="1">
      <c r="A123" s="386" t="s">
        <v>80</v>
      </c>
      <c r="B123" s="542" t="s">
        <v>432</v>
      </c>
      <c r="C123" s="421">
        <f>+C104+C105</f>
        <v>7921841</v>
      </c>
    </row>
    <row r="124" spans="1:7" ht="15" customHeight="1" thickBot="1">
      <c r="A124" s="386" t="s">
        <v>81</v>
      </c>
      <c r="B124" s="542" t="s">
        <v>433</v>
      </c>
      <c r="C124" s="422"/>
      <c r="F124" s="148"/>
      <c r="G124" s="148"/>
    </row>
    <row r="125" spans="1:3" s="1" customFormat="1" ht="12.75" customHeight="1" thickBot="1">
      <c r="A125" s="398" t="s">
        <v>82</v>
      </c>
      <c r="B125" s="543" t="s">
        <v>434</v>
      </c>
      <c r="C125" s="415">
        <f>+C123+C124</f>
        <v>7921841</v>
      </c>
    </row>
    <row r="126" spans="1:3" ht="7.5" customHeight="1">
      <c r="A126" s="547"/>
      <c r="B126" s="547"/>
      <c r="C126" s="548"/>
    </row>
    <row r="127" spans="1:3" ht="15.75">
      <c r="A127" s="1290" t="s">
        <v>241</v>
      </c>
      <c r="B127" s="1290"/>
      <c r="C127" s="1290"/>
    </row>
    <row r="128" spans="1:3" ht="15" customHeight="1" thickBot="1">
      <c r="A128" s="1288" t="s">
        <v>234</v>
      </c>
      <c r="B128" s="1288"/>
      <c r="C128" s="424" t="s">
        <v>436</v>
      </c>
    </row>
    <row r="129" spans="1:4" ht="13.5" customHeight="1" thickBot="1">
      <c r="A129" s="23">
        <v>1</v>
      </c>
      <c r="B129" s="34" t="s">
        <v>316</v>
      </c>
      <c r="C129" s="404">
        <f>+C54-C104</f>
        <v>789777</v>
      </c>
      <c r="D129" s="154"/>
    </row>
    <row r="130" spans="1:3" ht="7.5" customHeight="1">
      <c r="A130" s="547"/>
      <c r="B130" s="547"/>
      <c r="C130" s="548"/>
    </row>
  </sheetData>
  <sheetProtection/>
  <mergeCells count="6">
    <mergeCell ref="A128:B128"/>
    <mergeCell ref="A72:C72"/>
    <mergeCell ref="A1:C1"/>
    <mergeCell ref="A2:B2"/>
    <mergeCell ref="A73:B73"/>
    <mergeCell ref="A127:C12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Siófok Város Önkormányzat
2013. ÉVI KÖLTSÉGVETÉS
KÖTELEZŐ FELADATAINAK MÉRLEGE &amp;10
&amp;R&amp;"Times New Roman CE,Félkövér dőlt"&amp;11 4.1. számú melléklet 
</oddHeader>
  </headerFooter>
  <rowBreaks count="1" manualBreakCount="1"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0"/>
  <sheetViews>
    <sheetView zoomScale="120" zoomScaleNormal="120" zoomScaleSheetLayoutView="100" workbookViewId="0" topLeftCell="A64">
      <selection activeCell="C79" sqref="C79"/>
    </sheetView>
  </sheetViews>
  <sheetFormatPr defaultColWidth="9.00390625" defaultRowHeight="12.75"/>
  <cols>
    <col min="1" max="1" width="9.00390625" style="554" customWidth="1"/>
    <col min="2" max="2" width="91.625" style="554" customWidth="1"/>
    <col min="3" max="3" width="21.625" style="555" customWidth="1"/>
    <col min="4" max="4" width="9.00390625" style="48" customWidth="1"/>
    <col min="5" max="16384" width="9.375" style="48" customWidth="1"/>
  </cols>
  <sheetData>
    <row r="1" spans="1:3" ht="15.75" customHeight="1">
      <c r="A1" s="1286" t="s">
        <v>71</v>
      </c>
      <c r="B1" s="1286"/>
      <c r="C1" s="1286"/>
    </row>
    <row r="2" spans="1:3" ht="15.75" customHeight="1" thickBot="1">
      <c r="A2" s="1288" t="s">
        <v>232</v>
      </c>
      <c r="B2" s="1288"/>
      <c r="C2" s="424" t="s">
        <v>436</v>
      </c>
    </row>
    <row r="3" spans="1:3" ht="37.5" customHeight="1" thickBot="1">
      <c r="A3" s="28" t="s">
        <v>132</v>
      </c>
      <c r="B3" s="29" t="s">
        <v>73</v>
      </c>
      <c r="C3" s="49" t="str">
        <f>4!C3</f>
        <v>2013. évi módosított előirányzat</v>
      </c>
    </row>
    <row r="4" spans="1:3" s="50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5" t="s">
        <v>74</v>
      </c>
      <c r="B5" s="24" t="s">
        <v>258</v>
      </c>
      <c r="C5" s="403">
        <f>+C6+C11+C20</f>
        <v>104607</v>
      </c>
    </row>
    <row r="6" spans="1:3" s="1" customFormat="1" ht="12" customHeight="1" thickBot="1">
      <c r="A6" s="23" t="s">
        <v>75</v>
      </c>
      <c r="B6" s="381" t="s">
        <v>497</v>
      </c>
      <c r="C6" s="341">
        <f>+C7+C8+C9+C10</f>
        <v>0</v>
      </c>
    </row>
    <row r="7" spans="1:3" s="1" customFormat="1" ht="12" customHeight="1">
      <c r="A7" s="16" t="s">
        <v>178</v>
      </c>
      <c r="B7" s="536" t="s">
        <v>117</v>
      </c>
      <c r="C7" s="342"/>
    </row>
    <row r="8" spans="1:3" s="1" customFormat="1" ht="12" customHeight="1">
      <c r="A8" s="16" t="s">
        <v>179</v>
      </c>
      <c r="B8" s="395" t="s">
        <v>148</v>
      </c>
      <c r="C8" s="342"/>
    </row>
    <row r="9" spans="1:3" s="1" customFormat="1" ht="12" customHeight="1">
      <c r="A9" s="16" t="s">
        <v>180</v>
      </c>
      <c r="B9" s="395" t="s">
        <v>259</v>
      </c>
      <c r="C9" s="342"/>
    </row>
    <row r="10" spans="1:3" s="1" customFormat="1" ht="12" customHeight="1" thickBot="1">
      <c r="A10" s="16" t="s">
        <v>181</v>
      </c>
      <c r="B10" s="537" t="s">
        <v>260</v>
      </c>
      <c r="C10" s="342"/>
    </row>
    <row r="11" spans="1:3" s="1" customFormat="1" ht="12" customHeight="1" thickBot="1">
      <c r="A11" s="23" t="s">
        <v>76</v>
      </c>
      <c r="B11" s="24" t="s">
        <v>261</v>
      </c>
      <c r="C11" s="404">
        <f>+C12+C13+C14+C15+C16+C17+C18+C19</f>
        <v>104607</v>
      </c>
    </row>
    <row r="12" spans="1:3" s="1" customFormat="1" ht="12" customHeight="1">
      <c r="A12" s="20" t="s">
        <v>152</v>
      </c>
      <c r="B12" s="12" t="s">
        <v>266</v>
      </c>
      <c r="C12" s="405"/>
    </row>
    <row r="13" spans="1:3" s="1" customFormat="1" ht="12" customHeight="1">
      <c r="A13" s="16" t="s">
        <v>153</v>
      </c>
      <c r="B13" s="9" t="s">
        <v>267</v>
      </c>
      <c r="C13" s="406">
        <f>8000+7000</f>
        <v>15000</v>
      </c>
    </row>
    <row r="14" spans="1:3" s="1" customFormat="1" ht="12" customHeight="1">
      <c r="A14" s="16" t="s">
        <v>154</v>
      </c>
      <c r="B14" s="9" t="s">
        <v>268</v>
      </c>
      <c r="C14" s="406"/>
    </row>
    <row r="15" spans="1:3" s="1" customFormat="1" ht="12" customHeight="1">
      <c r="A15" s="16" t="s">
        <v>155</v>
      </c>
      <c r="B15" s="9" t="s">
        <v>269</v>
      </c>
      <c r="C15" s="406">
        <f>89607</f>
        <v>89607</v>
      </c>
    </row>
    <row r="16" spans="1:3" s="1" customFormat="1" ht="12" customHeight="1">
      <c r="A16" s="15" t="s">
        <v>262</v>
      </c>
      <c r="B16" s="8" t="s">
        <v>270</v>
      </c>
      <c r="C16" s="407"/>
    </row>
    <row r="17" spans="1:3" s="1" customFormat="1" ht="12" customHeight="1">
      <c r="A17" s="16" t="s">
        <v>263</v>
      </c>
      <c r="B17" s="9" t="s">
        <v>376</v>
      </c>
      <c r="C17" s="406"/>
    </row>
    <row r="18" spans="1:3" s="1" customFormat="1" ht="12" customHeight="1">
      <c r="A18" s="16" t="s">
        <v>264</v>
      </c>
      <c r="B18" s="9" t="s">
        <v>272</v>
      </c>
      <c r="C18" s="406"/>
    </row>
    <row r="19" spans="1:3" s="1" customFormat="1" ht="12" customHeight="1" thickBot="1">
      <c r="A19" s="17" t="s">
        <v>265</v>
      </c>
      <c r="B19" s="10" t="s">
        <v>273</v>
      </c>
      <c r="C19" s="408"/>
    </row>
    <row r="20" spans="1:3" s="1" customFormat="1" ht="12" customHeight="1" thickBot="1">
      <c r="A20" s="23" t="s">
        <v>274</v>
      </c>
      <c r="B20" s="24" t="s">
        <v>377</v>
      </c>
      <c r="C20" s="409"/>
    </row>
    <row r="21" spans="1:3" s="1" customFormat="1" ht="12" customHeight="1" thickBot="1">
      <c r="A21" s="23" t="s">
        <v>78</v>
      </c>
      <c r="B21" s="24" t="s">
        <v>276</v>
      </c>
      <c r="C21" s="404">
        <f>+C22+C23+C24+C25+C26+C27+C28+C29+C30</f>
        <v>0</v>
      </c>
    </row>
    <row r="22" spans="1:3" s="1" customFormat="1" ht="12" customHeight="1">
      <c r="A22" s="18" t="s">
        <v>156</v>
      </c>
      <c r="B22" s="11" t="s">
        <v>282</v>
      </c>
      <c r="C22" s="410"/>
    </row>
    <row r="23" spans="1:3" s="1" customFormat="1" ht="12" customHeight="1">
      <c r="A23" s="16" t="s">
        <v>157</v>
      </c>
      <c r="B23" s="9" t="s">
        <v>283</v>
      </c>
      <c r="C23" s="406"/>
    </row>
    <row r="24" spans="1:3" s="1" customFormat="1" ht="12" customHeight="1">
      <c r="A24" s="16" t="s">
        <v>158</v>
      </c>
      <c r="B24" s="9" t="s">
        <v>284</v>
      </c>
      <c r="C24" s="406"/>
    </row>
    <row r="25" spans="1:3" s="1" customFormat="1" ht="12" customHeight="1">
      <c r="A25" s="19" t="s">
        <v>277</v>
      </c>
      <c r="B25" s="9" t="str">
        <f>4!B25</f>
        <v>Ált. működéshez és ágazati feladathoz kapcsolódó támogatások</v>
      </c>
      <c r="C25" s="411"/>
    </row>
    <row r="26" spans="1:3" s="1" customFormat="1" ht="12" customHeight="1">
      <c r="A26" s="19" t="s">
        <v>278</v>
      </c>
      <c r="B26" s="9" t="s">
        <v>161</v>
      </c>
      <c r="C26" s="411"/>
    </row>
    <row r="27" spans="1:3" s="1" customFormat="1" ht="12" customHeight="1">
      <c r="A27" s="19" t="s">
        <v>279</v>
      </c>
      <c r="B27" s="9" t="s">
        <v>285</v>
      </c>
      <c r="C27" s="411"/>
    </row>
    <row r="28" spans="1:3" s="1" customFormat="1" ht="12" customHeight="1">
      <c r="A28" s="16" t="s">
        <v>280</v>
      </c>
      <c r="B28" s="9" t="s">
        <v>286</v>
      </c>
      <c r="C28" s="406"/>
    </row>
    <row r="29" spans="1:3" s="1" customFormat="1" ht="12" customHeight="1">
      <c r="A29" s="16" t="s">
        <v>281</v>
      </c>
      <c r="B29" s="9" t="s">
        <v>378</v>
      </c>
      <c r="C29" s="412"/>
    </row>
    <row r="30" spans="1:3" s="1" customFormat="1" ht="12" customHeight="1">
      <c r="A30" s="16" t="s">
        <v>538</v>
      </c>
      <c r="B30" s="9" t="s">
        <v>1244</v>
      </c>
      <c r="C30" s="412"/>
    </row>
    <row r="31" spans="1:3" s="1" customFormat="1" ht="12" customHeight="1" thickBot="1">
      <c r="A31" s="1159" t="s">
        <v>540</v>
      </c>
      <c r="B31" s="8" t="s">
        <v>1243</v>
      </c>
      <c r="C31" s="348"/>
    </row>
    <row r="32" spans="1:3" s="1" customFormat="1" ht="12" customHeight="1" thickBot="1">
      <c r="A32" s="374" t="s">
        <v>79</v>
      </c>
      <c r="B32" s="24" t="s">
        <v>498</v>
      </c>
      <c r="C32" s="341">
        <f>+C33+C39</f>
        <v>16679</v>
      </c>
    </row>
    <row r="33" spans="1:3" s="1" customFormat="1" ht="12" customHeight="1">
      <c r="A33" s="375" t="s">
        <v>159</v>
      </c>
      <c r="B33" s="538" t="s">
        <v>499</v>
      </c>
      <c r="C33" s="371">
        <f>+C34+C35+C36+C37+C38</f>
        <v>16679</v>
      </c>
    </row>
    <row r="34" spans="1:3" s="1" customFormat="1" ht="12" customHeight="1">
      <c r="A34" s="376" t="s">
        <v>162</v>
      </c>
      <c r="B34" s="382" t="s">
        <v>379</v>
      </c>
      <c r="C34" s="346"/>
    </row>
    <row r="35" spans="1:3" s="1" customFormat="1" ht="12" customHeight="1">
      <c r="A35" s="376" t="s">
        <v>163</v>
      </c>
      <c r="B35" s="382" t="s">
        <v>380</v>
      </c>
      <c r="C35" s="346"/>
    </row>
    <row r="36" spans="1:3" s="1" customFormat="1" ht="12" customHeight="1">
      <c r="A36" s="376" t="s">
        <v>164</v>
      </c>
      <c r="B36" s="382" t="s">
        <v>381</v>
      </c>
      <c r="C36" s="346"/>
    </row>
    <row r="37" spans="1:3" s="1" customFormat="1" ht="12" customHeight="1">
      <c r="A37" s="376" t="s">
        <v>165</v>
      </c>
      <c r="B37" s="382" t="s">
        <v>382</v>
      </c>
      <c r="C37" s="346"/>
    </row>
    <row r="38" spans="1:3" s="1" customFormat="1" ht="12" customHeight="1">
      <c r="A38" s="376" t="s">
        <v>288</v>
      </c>
      <c r="B38" s="382" t="s">
        <v>500</v>
      </c>
      <c r="C38" s="346">
        <f>14879+1800</f>
        <v>16679</v>
      </c>
    </row>
    <row r="39" spans="1:3" s="1" customFormat="1" ht="12" customHeight="1">
      <c r="A39" s="376" t="s">
        <v>160</v>
      </c>
      <c r="B39" s="383" t="s">
        <v>501</v>
      </c>
      <c r="C39" s="370">
        <f>+C40+C41+C42+C43+C44</f>
        <v>0</v>
      </c>
    </row>
    <row r="40" spans="1:3" s="1" customFormat="1" ht="12" customHeight="1">
      <c r="A40" s="376" t="s">
        <v>168</v>
      </c>
      <c r="B40" s="382" t="s">
        <v>379</v>
      </c>
      <c r="C40" s="346"/>
    </row>
    <row r="41" spans="1:3" s="1" customFormat="1" ht="12" customHeight="1">
      <c r="A41" s="376" t="s">
        <v>169</v>
      </c>
      <c r="B41" s="382" t="s">
        <v>380</v>
      </c>
      <c r="C41" s="346"/>
    </row>
    <row r="42" spans="1:3" s="1" customFormat="1" ht="12" customHeight="1">
      <c r="A42" s="376" t="s">
        <v>170</v>
      </c>
      <c r="B42" s="382" t="s">
        <v>381</v>
      </c>
      <c r="C42" s="346"/>
    </row>
    <row r="43" spans="1:3" s="1" customFormat="1" ht="12" customHeight="1">
      <c r="A43" s="376" t="s">
        <v>171</v>
      </c>
      <c r="B43" s="384" t="s">
        <v>382</v>
      </c>
      <c r="C43" s="346"/>
    </row>
    <row r="44" spans="1:3" s="1" customFormat="1" ht="12" customHeight="1" thickBot="1">
      <c r="A44" s="377" t="s">
        <v>289</v>
      </c>
      <c r="B44" s="385" t="s">
        <v>502</v>
      </c>
      <c r="C44" s="347"/>
    </row>
    <row r="45" spans="1:3" s="1" customFormat="1" ht="12" customHeight="1" thickBot="1">
      <c r="A45" s="23" t="s">
        <v>290</v>
      </c>
      <c r="B45" s="539" t="s">
        <v>383</v>
      </c>
      <c r="C45" s="341">
        <f>+C46+C47</f>
        <v>14078</v>
      </c>
    </row>
    <row r="46" spans="1:3" s="1" customFormat="1" ht="12" customHeight="1">
      <c r="A46" s="18" t="s">
        <v>166</v>
      </c>
      <c r="B46" s="395" t="s">
        <v>384</v>
      </c>
      <c r="C46" s="344">
        <v>13078</v>
      </c>
    </row>
    <row r="47" spans="1:3" s="1" customFormat="1" ht="12" customHeight="1" thickBot="1">
      <c r="A47" s="15" t="s">
        <v>167</v>
      </c>
      <c r="B47" s="390" t="s">
        <v>388</v>
      </c>
      <c r="C47" s="343">
        <v>1000</v>
      </c>
    </row>
    <row r="48" spans="1:3" s="1" customFormat="1" ht="12" customHeight="1" thickBot="1">
      <c r="A48" s="23" t="s">
        <v>81</v>
      </c>
      <c r="B48" s="539" t="s">
        <v>1337</v>
      </c>
      <c r="C48" s="341">
        <f>+C49+C50+C52+C51</f>
        <v>0</v>
      </c>
    </row>
    <row r="49" spans="1:3" s="1" customFormat="1" ht="12" customHeight="1">
      <c r="A49" s="18" t="s">
        <v>293</v>
      </c>
      <c r="B49" s="395" t="s">
        <v>291</v>
      </c>
      <c r="C49" s="372"/>
    </row>
    <row r="50" spans="1:3" s="1" customFormat="1" ht="12" customHeight="1">
      <c r="A50" s="16" t="s">
        <v>294</v>
      </c>
      <c r="B50" s="382" t="s">
        <v>292</v>
      </c>
      <c r="C50" s="412"/>
    </row>
    <row r="51" spans="1:3" s="1" customFormat="1" ht="12" customHeight="1">
      <c r="A51" s="16" t="s">
        <v>439</v>
      </c>
      <c r="B51" s="382" t="s">
        <v>385</v>
      </c>
      <c r="C51" s="412"/>
    </row>
    <row r="52" spans="1:3" s="1" customFormat="1" ht="12" customHeight="1" thickBot="1">
      <c r="A52" s="15" t="s">
        <v>1336</v>
      </c>
      <c r="B52" s="390" t="s">
        <v>1275</v>
      </c>
      <c r="C52" s="348"/>
    </row>
    <row r="53" spans="1:5" s="1" customFormat="1" ht="17.25" customHeight="1" thickBot="1">
      <c r="A53" s="23" t="s">
        <v>295</v>
      </c>
      <c r="B53" s="540" t="s">
        <v>386</v>
      </c>
      <c r="C53" s="413">
        <v>6000</v>
      </c>
      <c r="E53" s="51"/>
    </row>
    <row r="54" spans="1:3" s="1" customFormat="1" ht="12" customHeight="1" thickBot="1">
      <c r="A54" s="23" t="s">
        <v>83</v>
      </c>
      <c r="B54" s="27" t="s">
        <v>296</v>
      </c>
      <c r="C54" s="414">
        <f>+C6+C11+C20+C21+C32+C45+C48+C53</f>
        <v>141364</v>
      </c>
    </row>
    <row r="55" spans="1:3" s="1" customFormat="1" ht="12" customHeight="1" thickBot="1">
      <c r="A55" s="386" t="s">
        <v>84</v>
      </c>
      <c r="B55" s="381" t="s">
        <v>389</v>
      </c>
      <c r="C55" s="415">
        <f>+C56+C62</f>
        <v>0</v>
      </c>
    </row>
    <row r="56" spans="1:3" s="1" customFormat="1" ht="12" customHeight="1">
      <c r="A56" s="541" t="s">
        <v>225</v>
      </c>
      <c r="B56" s="538" t="s">
        <v>390</v>
      </c>
      <c r="C56" s="416">
        <f>+C57+C58+C59+C60+C61</f>
        <v>0</v>
      </c>
    </row>
    <row r="57" spans="1:3" s="1" customFormat="1" ht="12" customHeight="1">
      <c r="A57" s="387" t="s">
        <v>405</v>
      </c>
      <c r="B57" s="382" t="s">
        <v>391</v>
      </c>
      <c r="C57" s="412"/>
    </row>
    <row r="58" spans="1:3" s="1" customFormat="1" ht="12" customHeight="1">
      <c r="A58" s="387" t="s">
        <v>406</v>
      </c>
      <c r="B58" s="382" t="s">
        <v>392</v>
      </c>
      <c r="C58" s="412"/>
    </row>
    <row r="59" spans="1:3" s="1" customFormat="1" ht="12" customHeight="1">
      <c r="A59" s="387" t="s">
        <v>407</v>
      </c>
      <c r="B59" s="382" t="s">
        <v>393</v>
      </c>
      <c r="C59" s="412"/>
    </row>
    <row r="60" spans="1:3" s="1" customFormat="1" ht="12" customHeight="1">
      <c r="A60" s="387" t="s">
        <v>408</v>
      </c>
      <c r="B60" s="382" t="s">
        <v>394</v>
      </c>
      <c r="C60" s="412"/>
    </row>
    <row r="61" spans="1:3" s="1" customFormat="1" ht="12" customHeight="1">
      <c r="A61" s="387" t="s">
        <v>409</v>
      </c>
      <c r="B61" s="382" t="s">
        <v>395</v>
      </c>
      <c r="C61" s="412"/>
    </row>
    <row r="62" spans="1:3" s="1" customFormat="1" ht="12" customHeight="1">
      <c r="A62" s="388" t="s">
        <v>226</v>
      </c>
      <c r="B62" s="383" t="s">
        <v>396</v>
      </c>
      <c r="C62" s="417">
        <f>+C63+C64+C65+C66+C67</f>
        <v>0</v>
      </c>
    </row>
    <row r="63" spans="1:3" s="1" customFormat="1" ht="12" customHeight="1">
      <c r="A63" s="387" t="s">
        <v>410</v>
      </c>
      <c r="B63" s="382" t="s">
        <v>397</v>
      </c>
      <c r="C63" s="412"/>
    </row>
    <row r="64" spans="1:3" s="1" customFormat="1" ht="12" customHeight="1">
      <c r="A64" s="387" t="s">
        <v>411</v>
      </c>
      <c r="B64" s="382" t="s">
        <v>398</v>
      </c>
      <c r="C64" s="412"/>
    </row>
    <row r="65" spans="1:3" s="1" customFormat="1" ht="12" customHeight="1">
      <c r="A65" s="387" t="s">
        <v>412</v>
      </c>
      <c r="B65" s="382" t="s">
        <v>399</v>
      </c>
      <c r="C65" s="412"/>
    </row>
    <row r="66" spans="1:3" s="1" customFormat="1" ht="12" customHeight="1">
      <c r="A66" s="387" t="s">
        <v>413</v>
      </c>
      <c r="B66" s="382" t="s">
        <v>400</v>
      </c>
      <c r="C66" s="412"/>
    </row>
    <row r="67" spans="1:3" s="1" customFormat="1" ht="12" customHeight="1" thickBot="1">
      <c r="A67" s="389" t="s">
        <v>414</v>
      </c>
      <c r="B67" s="390" t="s">
        <v>401</v>
      </c>
      <c r="C67" s="418"/>
    </row>
    <row r="68" spans="1:3" s="1" customFormat="1" ht="12" customHeight="1" thickBot="1">
      <c r="A68" s="391" t="s">
        <v>85</v>
      </c>
      <c r="B68" s="542" t="s">
        <v>402</v>
      </c>
      <c r="C68" s="415">
        <f>+C54+C55</f>
        <v>141364</v>
      </c>
    </row>
    <row r="69" spans="1:3" s="1" customFormat="1" ht="13.5" customHeight="1" thickBot="1">
      <c r="A69" s="392" t="s">
        <v>86</v>
      </c>
      <c r="B69" s="543" t="s">
        <v>403</v>
      </c>
      <c r="C69" s="425"/>
    </row>
    <row r="70" spans="1:3" s="1" customFormat="1" ht="12" customHeight="1" thickBot="1">
      <c r="A70" s="391" t="s">
        <v>87</v>
      </c>
      <c r="B70" s="542" t="s">
        <v>404</v>
      </c>
      <c r="C70" s="426">
        <f>+C68+C69</f>
        <v>141364</v>
      </c>
    </row>
    <row r="71" spans="1:3" s="1" customFormat="1" ht="12.75" customHeight="1">
      <c r="A71" s="6"/>
      <c r="B71" s="7"/>
      <c r="C71" s="419"/>
    </row>
    <row r="72" spans="1:3" ht="16.5" customHeight="1">
      <c r="A72" s="1286" t="s">
        <v>103</v>
      </c>
      <c r="B72" s="1286"/>
      <c r="C72" s="1286"/>
    </row>
    <row r="73" spans="1:3" s="431" customFormat="1" ht="16.5" customHeight="1" thickBot="1">
      <c r="A73" s="1289" t="s">
        <v>233</v>
      </c>
      <c r="B73" s="1289"/>
      <c r="C73" s="163" t="s">
        <v>436</v>
      </c>
    </row>
    <row r="74" spans="1:3" ht="37.5" customHeight="1" thickBot="1">
      <c r="A74" s="28" t="s">
        <v>72</v>
      </c>
      <c r="B74" s="29" t="s">
        <v>104</v>
      </c>
      <c r="C74" s="49" t="str">
        <f>4!C3</f>
        <v>2013. évi módosított előirányzat</v>
      </c>
    </row>
    <row r="75" spans="1:3" s="50" customFormat="1" ht="12" customHeight="1" thickBot="1">
      <c r="A75" s="41">
        <v>1</v>
      </c>
      <c r="B75" s="42">
        <v>2</v>
      </c>
      <c r="C75" s="402">
        <v>3</v>
      </c>
    </row>
    <row r="76" spans="1:3" ht="12" customHeight="1" thickBot="1">
      <c r="A76" s="25" t="s">
        <v>74</v>
      </c>
      <c r="B76" s="35" t="s">
        <v>297</v>
      </c>
      <c r="C76" s="403">
        <f>+C77+C78+C79+C80+C81</f>
        <v>336293</v>
      </c>
    </row>
    <row r="77" spans="1:3" ht="12" customHeight="1">
      <c r="A77" s="20" t="s">
        <v>172</v>
      </c>
      <c r="B77" s="12" t="s">
        <v>105</v>
      </c>
      <c r="C77" s="405">
        <f>21477+4551+195+500+1279+8+4+2638+5+6</f>
        <v>30663</v>
      </c>
    </row>
    <row r="78" spans="1:3" ht="12" customHeight="1">
      <c r="A78" s="16" t="s">
        <v>173</v>
      </c>
      <c r="B78" s="9" t="s">
        <v>298</v>
      </c>
      <c r="C78" s="406">
        <f>6123+1273+193+135+2032+325+2+1+676+1+2</f>
        <v>10763</v>
      </c>
    </row>
    <row r="79" spans="1:3" ht="12" customHeight="1">
      <c r="A79" s="16" t="s">
        <v>174</v>
      </c>
      <c r="B79" s="9" t="s">
        <v>215</v>
      </c>
      <c r="C79" s="411">
        <f>37000+97329+67068+718+49365+7556+611-10000-77+2642-15425+1800</f>
        <v>238587</v>
      </c>
    </row>
    <row r="80" spans="1:3" ht="12" customHeight="1">
      <c r="A80" s="16" t="s">
        <v>175</v>
      </c>
      <c r="B80" s="13" t="s">
        <v>299</v>
      </c>
      <c r="C80" s="411"/>
    </row>
    <row r="81" spans="1:3" ht="12" customHeight="1">
      <c r="A81" s="16" t="s">
        <v>186</v>
      </c>
      <c r="B81" s="22" t="s">
        <v>300</v>
      </c>
      <c r="C81" s="411">
        <f>20355+500+6000+10000+19425</f>
        <v>56280</v>
      </c>
    </row>
    <row r="82" spans="1:3" ht="12" customHeight="1">
      <c r="A82" s="16" t="s">
        <v>176</v>
      </c>
      <c r="B82" s="9" t="s">
        <v>321</v>
      </c>
      <c r="C82" s="411"/>
    </row>
    <row r="83" spans="1:3" ht="12" customHeight="1">
      <c r="A83" s="16" t="s">
        <v>177</v>
      </c>
      <c r="B83" s="167" t="s">
        <v>322</v>
      </c>
      <c r="C83" s="411"/>
    </row>
    <row r="84" spans="1:3" ht="12" customHeight="1">
      <c r="A84" s="16" t="s">
        <v>187</v>
      </c>
      <c r="B84" s="167" t="s">
        <v>416</v>
      </c>
      <c r="C84" s="411"/>
    </row>
    <row r="85" spans="1:3" ht="12" customHeight="1">
      <c r="A85" s="16" t="s">
        <v>188</v>
      </c>
      <c r="B85" s="168" t="s">
        <v>323</v>
      </c>
      <c r="C85" s="411">
        <f>5355+500+10000+6000+10000+19425+13078</f>
        <v>64358</v>
      </c>
    </row>
    <row r="86" spans="1:3" ht="12" customHeight="1">
      <c r="A86" s="15" t="s">
        <v>189</v>
      </c>
      <c r="B86" s="169" t="s">
        <v>324</v>
      </c>
      <c r="C86" s="411"/>
    </row>
    <row r="87" spans="1:3" ht="12" customHeight="1">
      <c r="A87" s="16" t="s">
        <v>190</v>
      </c>
      <c r="B87" s="169" t="s">
        <v>325</v>
      </c>
      <c r="C87" s="411"/>
    </row>
    <row r="88" spans="1:3" ht="12" customHeight="1" thickBot="1">
      <c r="A88" s="21" t="s">
        <v>192</v>
      </c>
      <c r="B88" s="170" t="s">
        <v>326</v>
      </c>
      <c r="C88" s="420"/>
    </row>
    <row r="89" spans="1:3" ht="12" customHeight="1" thickBot="1">
      <c r="A89" s="23" t="s">
        <v>75</v>
      </c>
      <c r="B89" s="34" t="s">
        <v>440</v>
      </c>
      <c r="C89" s="404">
        <f>+C90+C91+C92</f>
        <v>10081</v>
      </c>
    </row>
    <row r="90" spans="1:3" ht="12" customHeight="1">
      <c r="A90" s="18" t="s">
        <v>178</v>
      </c>
      <c r="B90" s="9" t="s">
        <v>417</v>
      </c>
      <c r="C90" s="410">
        <f>8940+43+77</f>
        <v>9060</v>
      </c>
    </row>
    <row r="91" spans="1:3" ht="12" customHeight="1">
      <c r="A91" s="18" t="s">
        <v>179</v>
      </c>
      <c r="B91" s="14" t="s">
        <v>302</v>
      </c>
      <c r="C91" s="406">
        <f>4021-3000</f>
        <v>1021</v>
      </c>
    </row>
    <row r="92" spans="1:3" ht="12" customHeight="1">
      <c r="A92" s="18" t="s">
        <v>180</v>
      </c>
      <c r="B92" s="382" t="s">
        <v>441</v>
      </c>
      <c r="C92" s="342"/>
    </row>
    <row r="93" spans="1:3" ht="12" customHeight="1">
      <c r="A93" s="18" t="s">
        <v>181</v>
      </c>
      <c r="B93" s="382" t="s">
        <v>1200</v>
      </c>
      <c r="C93" s="342"/>
    </row>
    <row r="94" spans="1:3" ht="12" customHeight="1">
      <c r="A94" s="18" t="s">
        <v>182</v>
      </c>
      <c r="B94" s="382" t="s">
        <v>442</v>
      </c>
      <c r="C94" s="342">
        <f>4021-3000</f>
        <v>1021</v>
      </c>
    </row>
    <row r="95" spans="1:3" ht="15.75">
      <c r="A95" s="18" t="s">
        <v>191</v>
      </c>
      <c r="B95" s="382" t="s">
        <v>443</v>
      </c>
      <c r="C95" s="342"/>
    </row>
    <row r="96" spans="1:3" ht="12" customHeight="1">
      <c r="A96" s="18" t="s">
        <v>193</v>
      </c>
      <c r="B96" s="544" t="s">
        <v>420</v>
      </c>
      <c r="C96" s="342"/>
    </row>
    <row r="97" spans="1:3" ht="12" customHeight="1">
      <c r="A97" s="18" t="s">
        <v>303</v>
      </c>
      <c r="B97" s="544" t="s">
        <v>421</v>
      </c>
      <c r="C97" s="342"/>
    </row>
    <row r="98" spans="1:3" ht="12" customHeight="1">
      <c r="A98" s="18" t="s">
        <v>304</v>
      </c>
      <c r="B98" s="544" t="s">
        <v>419</v>
      </c>
      <c r="C98" s="342">
        <f>43+77</f>
        <v>120</v>
      </c>
    </row>
    <row r="99" spans="1:3" ht="24" customHeight="1" thickBot="1">
      <c r="A99" s="15" t="s">
        <v>305</v>
      </c>
      <c r="B99" s="545" t="s">
        <v>418</v>
      </c>
      <c r="C99" s="345"/>
    </row>
    <row r="100" spans="1:3" ht="12" customHeight="1" thickBot="1">
      <c r="A100" s="23" t="s">
        <v>76</v>
      </c>
      <c r="B100" s="147" t="s">
        <v>444</v>
      </c>
      <c r="C100" s="404">
        <f>+C101+C102</f>
        <v>0</v>
      </c>
    </row>
    <row r="101" spans="1:3" ht="12" customHeight="1">
      <c r="A101" s="18" t="s">
        <v>152</v>
      </c>
      <c r="B101" s="11" t="s">
        <v>121</v>
      </c>
      <c r="C101" s="410"/>
    </row>
    <row r="102" spans="1:3" ht="12" customHeight="1" thickBot="1">
      <c r="A102" s="19" t="s">
        <v>153</v>
      </c>
      <c r="B102" s="14" t="s">
        <v>122</v>
      </c>
      <c r="C102" s="411">
        <f>10000-5000+5000-10000</f>
        <v>0</v>
      </c>
    </row>
    <row r="103" spans="1:3" s="380" customFormat="1" ht="12" customHeight="1" thickBot="1">
      <c r="A103" s="386" t="s">
        <v>77</v>
      </c>
      <c r="B103" s="381" t="s">
        <v>422</v>
      </c>
      <c r="C103" s="556"/>
    </row>
    <row r="104" spans="1:3" ht="12" customHeight="1" thickBot="1">
      <c r="A104" s="378" t="s">
        <v>78</v>
      </c>
      <c r="B104" s="379" t="s">
        <v>238</v>
      </c>
      <c r="C104" s="403">
        <f>+C76+C89+C100+C103</f>
        <v>346374</v>
      </c>
    </row>
    <row r="105" spans="1:3" ht="12" customHeight="1" thickBot="1">
      <c r="A105" s="386" t="s">
        <v>79</v>
      </c>
      <c r="B105" s="381" t="s">
        <v>504</v>
      </c>
      <c r="C105" s="404">
        <f>+C106+C114</f>
        <v>0</v>
      </c>
    </row>
    <row r="106" spans="1:3" ht="12" customHeight="1" thickBot="1">
      <c r="A106" s="393" t="s">
        <v>159</v>
      </c>
      <c r="B106" s="546" t="s">
        <v>509</v>
      </c>
      <c r="C106" s="404">
        <f>+C107+C108+C109+C110+C111+C112+C113</f>
        <v>0</v>
      </c>
    </row>
    <row r="107" spans="1:3" ht="12" customHeight="1">
      <c r="A107" s="394" t="s">
        <v>162</v>
      </c>
      <c r="B107" s="395" t="s">
        <v>423</v>
      </c>
      <c r="C107" s="427"/>
    </row>
    <row r="108" spans="1:3" ht="12" customHeight="1">
      <c r="A108" s="387" t="s">
        <v>163</v>
      </c>
      <c r="B108" s="382" t="s">
        <v>424</v>
      </c>
      <c r="C108" s="428"/>
    </row>
    <row r="109" spans="1:3" ht="12" customHeight="1">
      <c r="A109" s="387" t="s">
        <v>164</v>
      </c>
      <c r="B109" s="382" t="s">
        <v>425</v>
      </c>
      <c r="C109" s="428"/>
    </row>
    <row r="110" spans="1:3" ht="12" customHeight="1">
      <c r="A110" s="387" t="s">
        <v>165</v>
      </c>
      <c r="B110" s="382" t="s">
        <v>426</v>
      </c>
      <c r="C110" s="428"/>
    </row>
    <row r="111" spans="1:3" ht="12" customHeight="1">
      <c r="A111" s="387" t="s">
        <v>288</v>
      </c>
      <c r="B111" s="382" t="s">
        <v>427</v>
      </c>
      <c r="C111" s="428"/>
    </row>
    <row r="112" spans="1:3" ht="12" customHeight="1">
      <c r="A112" s="387" t="s">
        <v>306</v>
      </c>
      <c r="B112" s="382" t="s">
        <v>428</v>
      </c>
      <c r="C112" s="428"/>
    </row>
    <row r="113" spans="1:3" ht="12" customHeight="1" thickBot="1">
      <c r="A113" s="396" t="s">
        <v>307</v>
      </c>
      <c r="B113" s="397" t="s">
        <v>429</v>
      </c>
      <c r="C113" s="429"/>
    </row>
    <row r="114" spans="1:3" ht="12" customHeight="1" thickBot="1">
      <c r="A114" s="393" t="s">
        <v>160</v>
      </c>
      <c r="B114" s="546" t="s">
        <v>510</v>
      </c>
      <c r="C114" s="404">
        <f>+C115+C116+C117+C118+C119+C120+C121+C122</f>
        <v>0</v>
      </c>
    </row>
    <row r="115" spans="1:3" ht="12" customHeight="1">
      <c r="A115" s="394" t="s">
        <v>168</v>
      </c>
      <c r="B115" s="395" t="s">
        <v>423</v>
      </c>
      <c r="C115" s="427"/>
    </row>
    <row r="116" spans="1:3" ht="12" customHeight="1">
      <c r="A116" s="387" t="s">
        <v>169</v>
      </c>
      <c r="B116" s="382" t="s">
        <v>430</v>
      </c>
      <c r="C116" s="428"/>
    </row>
    <row r="117" spans="1:3" ht="12" customHeight="1">
      <c r="A117" s="387" t="s">
        <v>170</v>
      </c>
      <c r="B117" s="382" t="s">
        <v>425</v>
      </c>
      <c r="C117" s="428"/>
    </row>
    <row r="118" spans="1:3" ht="12" customHeight="1">
      <c r="A118" s="387" t="s">
        <v>171</v>
      </c>
      <c r="B118" s="382" t="s">
        <v>426</v>
      </c>
      <c r="C118" s="428"/>
    </row>
    <row r="119" spans="1:3" ht="12" customHeight="1">
      <c r="A119" s="387" t="s">
        <v>289</v>
      </c>
      <c r="B119" s="382" t="s">
        <v>427</v>
      </c>
      <c r="C119" s="428"/>
    </row>
    <row r="120" spans="1:3" ht="12" customHeight="1">
      <c r="A120" s="387" t="s">
        <v>308</v>
      </c>
      <c r="B120" s="382" t="s">
        <v>431</v>
      </c>
      <c r="C120" s="428"/>
    </row>
    <row r="121" spans="1:3" ht="12" customHeight="1">
      <c r="A121" s="387" t="s">
        <v>309</v>
      </c>
      <c r="B121" s="382" t="s">
        <v>429</v>
      </c>
      <c r="C121" s="428"/>
    </row>
    <row r="122" spans="1:3" ht="12" customHeight="1" thickBot="1">
      <c r="A122" s="396" t="s">
        <v>310</v>
      </c>
      <c r="B122" s="397" t="s">
        <v>507</v>
      </c>
      <c r="C122" s="429"/>
    </row>
    <row r="123" spans="1:3" ht="12" customHeight="1" thickBot="1">
      <c r="A123" s="386" t="s">
        <v>80</v>
      </c>
      <c r="B123" s="542" t="s">
        <v>432</v>
      </c>
      <c r="C123" s="421">
        <f>+C104+C105</f>
        <v>346374</v>
      </c>
    </row>
    <row r="124" spans="1:9" ht="15" customHeight="1" thickBot="1">
      <c r="A124" s="386" t="s">
        <v>81</v>
      </c>
      <c r="B124" s="542" t="s">
        <v>433</v>
      </c>
      <c r="C124" s="422"/>
      <c r="F124" s="51"/>
      <c r="G124" s="148"/>
      <c r="H124" s="148"/>
      <c r="I124" s="148"/>
    </row>
    <row r="125" spans="1:3" s="1" customFormat="1" ht="12.75" customHeight="1" thickBot="1">
      <c r="A125" s="398" t="s">
        <v>82</v>
      </c>
      <c r="B125" s="543" t="s">
        <v>434</v>
      </c>
      <c r="C125" s="415">
        <f>+C123+C124</f>
        <v>346374</v>
      </c>
    </row>
    <row r="126" spans="1:3" ht="7.5" customHeight="1">
      <c r="A126" s="547"/>
      <c r="B126" s="547"/>
      <c r="C126" s="548"/>
    </row>
    <row r="127" spans="1:3" ht="15.75">
      <c r="A127" s="1290" t="s">
        <v>241</v>
      </c>
      <c r="B127" s="1290"/>
      <c r="C127" s="1290"/>
    </row>
    <row r="128" spans="1:3" ht="15" customHeight="1" thickBot="1">
      <c r="A128" s="1288" t="s">
        <v>234</v>
      </c>
      <c r="B128" s="1288"/>
      <c r="C128" s="424" t="s">
        <v>436</v>
      </c>
    </row>
    <row r="129" spans="1:4" ht="13.5" customHeight="1" thickBot="1">
      <c r="A129" s="23">
        <v>1</v>
      </c>
      <c r="B129" s="34" t="s">
        <v>316</v>
      </c>
      <c r="C129" s="404">
        <f>+C54-C104</f>
        <v>-205010</v>
      </c>
      <c r="D129" s="154"/>
    </row>
    <row r="130" spans="1:3" ht="7.5" customHeight="1">
      <c r="A130" s="547"/>
      <c r="B130" s="547"/>
      <c r="C130" s="548"/>
    </row>
  </sheetData>
  <sheetProtection/>
  <mergeCells count="6">
    <mergeCell ref="A128:B128"/>
    <mergeCell ref="A72:C72"/>
    <mergeCell ref="A1:C1"/>
    <mergeCell ref="A2:B2"/>
    <mergeCell ref="A73:B73"/>
    <mergeCell ref="A127:C12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Siófok Város Önkormányzat
2013. ÉVI KÖLTSÉGVETÉS
ÖNKÉNT VÁLLALT FELADATAINAK MÉRLEGE&amp;10
&amp;R&amp;"Times New Roman CE,Félkövér dőlt"&amp;11 4.2. számú melléklet
</oddHeader>
  </headerFooter>
  <rowBreaks count="1" manualBreakCount="1"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0"/>
  <sheetViews>
    <sheetView zoomScale="120" zoomScaleNormal="120" zoomScaleSheetLayoutView="130" workbookViewId="0" topLeftCell="A67">
      <selection activeCell="C79" sqref="C79"/>
    </sheetView>
  </sheetViews>
  <sheetFormatPr defaultColWidth="9.00390625" defaultRowHeight="12.75"/>
  <cols>
    <col min="1" max="1" width="9.00390625" style="554" customWidth="1"/>
    <col min="2" max="2" width="91.625" style="554" customWidth="1"/>
    <col min="3" max="3" width="21.625" style="555" customWidth="1"/>
    <col min="4" max="4" width="9.00390625" style="48" customWidth="1"/>
    <col min="5" max="16384" width="9.375" style="48" customWidth="1"/>
  </cols>
  <sheetData>
    <row r="1" spans="1:3" ht="15.75" customHeight="1">
      <c r="A1" s="1286" t="s">
        <v>71</v>
      </c>
      <c r="B1" s="1286"/>
      <c r="C1" s="1286"/>
    </row>
    <row r="2" spans="1:3" ht="15.75" customHeight="1" thickBot="1">
      <c r="A2" s="1288" t="s">
        <v>232</v>
      </c>
      <c r="B2" s="1288"/>
      <c r="C2" s="424" t="s">
        <v>436</v>
      </c>
    </row>
    <row r="3" spans="1:3" ht="37.5" customHeight="1" thickBot="1">
      <c r="A3" s="28" t="s">
        <v>132</v>
      </c>
      <c r="B3" s="29" t="s">
        <v>73</v>
      </c>
      <c r="C3" s="49" t="str">
        <f>4!C3</f>
        <v>2013. évi módosított előirányzat</v>
      </c>
    </row>
    <row r="4" spans="1:3" s="50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5" t="s">
        <v>74</v>
      </c>
      <c r="B5" s="24" t="s">
        <v>258</v>
      </c>
      <c r="C5" s="403">
        <f>+C6+C11+C20</f>
        <v>1500</v>
      </c>
    </row>
    <row r="6" spans="1:3" s="1" customFormat="1" ht="12" customHeight="1" thickBot="1">
      <c r="A6" s="23" t="s">
        <v>75</v>
      </c>
      <c r="B6" s="381" t="s">
        <v>497</v>
      </c>
      <c r="C6" s="341">
        <f>+C7+C8+C9+C10</f>
        <v>0</v>
      </c>
    </row>
    <row r="7" spans="1:3" s="1" customFormat="1" ht="12" customHeight="1">
      <c r="A7" s="16" t="s">
        <v>178</v>
      </c>
      <c r="B7" s="536" t="s">
        <v>117</v>
      </c>
      <c r="C7" s="342"/>
    </row>
    <row r="8" spans="1:3" s="1" customFormat="1" ht="12" customHeight="1">
      <c r="A8" s="16" t="s">
        <v>179</v>
      </c>
      <c r="B8" s="395" t="s">
        <v>148</v>
      </c>
      <c r="C8" s="342"/>
    </row>
    <row r="9" spans="1:3" s="1" customFormat="1" ht="12" customHeight="1">
      <c r="A9" s="16" t="s">
        <v>180</v>
      </c>
      <c r="B9" s="395" t="s">
        <v>259</v>
      </c>
      <c r="C9" s="342"/>
    </row>
    <row r="10" spans="1:3" s="1" customFormat="1" ht="12" customHeight="1" thickBot="1">
      <c r="A10" s="16" t="s">
        <v>181</v>
      </c>
      <c r="B10" s="537" t="s">
        <v>260</v>
      </c>
      <c r="C10" s="342"/>
    </row>
    <row r="11" spans="1:3" s="1" customFormat="1" ht="12" customHeight="1" thickBot="1">
      <c r="A11" s="23" t="s">
        <v>76</v>
      </c>
      <c r="B11" s="24" t="s">
        <v>261</v>
      </c>
      <c r="C11" s="404">
        <f>+C12+C13+C14+C15+C16+C17+C18+C19</f>
        <v>1500</v>
      </c>
    </row>
    <row r="12" spans="1:3" s="1" customFormat="1" ht="12" customHeight="1">
      <c r="A12" s="20" t="s">
        <v>152</v>
      </c>
      <c r="B12" s="12" t="s">
        <v>266</v>
      </c>
      <c r="C12" s="405"/>
    </row>
    <row r="13" spans="1:3" s="1" customFormat="1" ht="12" customHeight="1">
      <c r="A13" s="16" t="s">
        <v>153</v>
      </c>
      <c r="B13" s="9" t="s">
        <v>267</v>
      </c>
      <c r="C13" s="406">
        <v>1500</v>
      </c>
    </row>
    <row r="14" spans="1:3" s="1" customFormat="1" ht="12" customHeight="1">
      <c r="A14" s="16" t="s">
        <v>154</v>
      </c>
      <c r="B14" s="9" t="s">
        <v>268</v>
      </c>
      <c r="C14" s="406"/>
    </row>
    <row r="15" spans="1:3" s="1" customFormat="1" ht="12" customHeight="1">
      <c r="A15" s="16" t="s">
        <v>155</v>
      </c>
      <c r="B15" s="9" t="s">
        <v>269</v>
      </c>
      <c r="C15" s="406"/>
    </row>
    <row r="16" spans="1:3" s="1" customFormat="1" ht="12" customHeight="1">
      <c r="A16" s="15" t="s">
        <v>262</v>
      </c>
      <c r="B16" s="8" t="s">
        <v>270</v>
      </c>
      <c r="C16" s="407"/>
    </row>
    <row r="17" spans="1:3" s="1" customFormat="1" ht="12" customHeight="1">
      <c r="A17" s="16" t="s">
        <v>263</v>
      </c>
      <c r="B17" s="9" t="s">
        <v>376</v>
      </c>
      <c r="C17" s="406"/>
    </row>
    <row r="18" spans="1:3" s="1" customFormat="1" ht="12" customHeight="1">
      <c r="A18" s="16" t="s">
        <v>264</v>
      </c>
      <c r="B18" s="9" t="s">
        <v>272</v>
      </c>
      <c r="C18" s="406"/>
    </row>
    <row r="19" spans="1:3" s="1" customFormat="1" ht="12" customHeight="1" thickBot="1">
      <c r="A19" s="17" t="s">
        <v>265</v>
      </c>
      <c r="B19" s="10" t="s">
        <v>273</v>
      </c>
      <c r="C19" s="408"/>
    </row>
    <row r="20" spans="1:3" s="1" customFormat="1" ht="12" customHeight="1" thickBot="1">
      <c r="A20" s="23" t="s">
        <v>274</v>
      </c>
      <c r="B20" s="24" t="s">
        <v>377</v>
      </c>
      <c r="C20" s="409"/>
    </row>
    <row r="21" spans="1:3" s="1" customFormat="1" ht="12" customHeight="1" thickBot="1">
      <c r="A21" s="23" t="s">
        <v>78</v>
      </c>
      <c r="B21" s="24" t="s">
        <v>276</v>
      </c>
      <c r="C21" s="404">
        <f>+C22+C23+C24+C26+C27+C28+C29+C30</f>
        <v>0</v>
      </c>
    </row>
    <row r="22" spans="1:3" s="1" customFormat="1" ht="12" customHeight="1">
      <c r="A22" s="18" t="s">
        <v>156</v>
      </c>
      <c r="B22" s="11" t="s">
        <v>282</v>
      </c>
      <c r="C22" s="410"/>
    </row>
    <row r="23" spans="1:3" s="1" customFormat="1" ht="12" customHeight="1">
      <c r="A23" s="16" t="s">
        <v>157</v>
      </c>
      <c r="B23" s="9" t="s">
        <v>283</v>
      </c>
      <c r="C23" s="406"/>
    </row>
    <row r="24" spans="1:3" s="1" customFormat="1" ht="12" customHeight="1">
      <c r="A24" s="16" t="s">
        <v>158</v>
      </c>
      <c r="B24" s="9" t="s">
        <v>284</v>
      </c>
      <c r="C24" s="406"/>
    </row>
    <row r="25" spans="1:3" s="1" customFormat="1" ht="12" customHeight="1">
      <c r="A25" s="19" t="s">
        <v>277</v>
      </c>
      <c r="B25" s="9" t="str">
        <f>4!B25</f>
        <v>Ált. működéshez és ágazati feladathoz kapcsolódó támogatások</v>
      </c>
      <c r="C25" s="411"/>
    </row>
    <row r="26" spans="1:3" s="1" customFormat="1" ht="12" customHeight="1">
      <c r="A26" s="19" t="s">
        <v>278</v>
      </c>
      <c r="B26" s="9" t="s">
        <v>161</v>
      </c>
      <c r="C26" s="411"/>
    </row>
    <row r="27" spans="1:3" s="1" customFormat="1" ht="12" customHeight="1">
      <c r="A27" s="19" t="s">
        <v>279</v>
      </c>
      <c r="B27" s="9" t="s">
        <v>285</v>
      </c>
      <c r="C27" s="411"/>
    </row>
    <row r="28" spans="1:3" s="1" customFormat="1" ht="12" customHeight="1">
      <c r="A28" s="16" t="s">
        <v>280</v>
      </c>
      <c r="B28" s="9" t="s">
        <v>286</v>
      </c>
      <c r="C28" s="406"/>
    </row>
    <row r="29" spans="1:3" s="1" customFormat="1" ht="12" customHeight="1">
      <c r="A29" s="16" t="s">
        <v>281</v>
      </c>
      <c r="B29" s="9" t="s">
        <v>378</v>
      </c>
      <c r="C29" s="412"/>
    </row>
    <row r="30" spans="1:3" s="1" customFormat="1" ht="12" customHeight="1">
      <c r="A30" s="16" t="s">
        <v>538</v>
      </c>
      <c r="B30" s="9" t="s">
        <v>1244</v>
      </c>
      <c r="C30" s="412"/>
    </row>
    <row r="31" spans="1:3" s="1" customFormat="1" ht="12" customHeight="1" thickBot="1">
      <c r="A31" s="1159" t="s">
        <v>540</v>
      </c>
      <c r="B31" s="8" t="s">
        <v>1243</v>
      </c>
      <c r="C31" s="348"/>
    </row>
    <row r="32" spans="1:3" s="1" customFormat="1" ht="12" customHeight="1" thickBot="1">
      <c r="A32" s="374" t="s">
        <v>79</v>
      </c>
      <c r="B32" s="24" t="s">
        <v>498</v>
      </c>
      <c r="C32" s="341">
        <f>+C33+C39</f>
        <v>0</v>
      </c>
    </row>
    <row r="33" spans="1:3" s="1" customFormat="1" ht="12" customHeight="1">
      <c r="A33" s="375" t="s">
        <v>159</v>
      </c>
      <c r="B33" s="538" t="s">
        <v>499</v>
      </c>
      <c r="C33" s="371">
        <f>+C34+C35+C36+C37+C38</f>
        <v>0</v>
      </c>
    </row>
    <row r="34" spans="1:3" s="1" customFormat="1" ht="12" customHeight="1">
      <c r="A34" s="376" t="s">
        <v>162</v>
      </c>
      <c r="B34" s="382" t="s">
        <v>379</v>
      </c>
      <c r="C34" s="346"/>
    </row>
    <row r="35" spans="1:3" s="1" customFormat="1" ht="12" customHeight="1">
      <c r="A35" s="376" t="s">
        <v>163</v>
      </c>
      <c r="B35" s="382" t="s">
        <v>380</v>
      </c>
      <c r="C35" s="346"/>
    </row>
    <row r="36" spans="1:3" s="1" customFormat="1" ht="12" customHeight="1">
      <c r="A36" s="376" t="s">
        <v>164</v>
      </c>
      <c r="B36" s="382" t="s">
        <v>381</v>
      </c>
      <c r="C36" s="346"/>
    </row>
    <row r="37" spans="1:3" s="1" customFormat="1" ht="12" customHeight="1">
      <c r="A37" s="376" t="s">
        <v>165</v>
      </c>
      <c r="B37" s="382" t="s">
        <v>382</v>
      </c>
      <c r="C37" s="346"/>
    </row>
    <row r="38" spans="1:3" s="1" customFormat="1" ht="12" customHeight="1">
      <c r="A38" s="376" t="s">
        <v>288</v>
      </c>
      <c r="B38" s="382" t="s">
        <v>500</v>
      </c>
      <c r="C38" s="346"/>
    </row>
    <row r="39" spans="1:3" s="1" customFormat="1" ht="12" customHeight="1">
      <c r="A39" s="376" t="s">
        <v>160</v>
      </c>
      <c r="B39" s="383" t="s">
        <v>501</v>
      </c>
      <c r="C39" s="370">
        <f>+C40+C41+C42+C43+C44</f>
        <v>0</v>
      </c>
    </row>
    <row r="40" spans="1:3" s="1" customFormat="1" ht="12" customHeight="1">
      <c r="A40" s="376" t="s">
        <v>168</v>
      </c>
      <c r="B40" s="382" t="s">
        <v>379</v>
      </c>
      <c r="C40" s="346"/>
    </row>
    <row r="41" spans="1:3" s="1" customFormat="1" ht="12" customHeight="1">
      <c r="A41" s="376" t="s">
        <v>169</v>
      </c>
      <c r="B41" s="382" t="s">
        <v>380</v>
      </c>
      <c r="C41" s="346"/>
    </row>
    <row r="42" spans="1:3" s="1" customFormat="1" ht="12" customHeight="1">
      <c r="A42" s="376" t="s">
        <v>170</v>
      </c>
      <c r="B42" s="382" t="s">
        <v>381</v>
      </c>
      <c r="C42" s="346"/>
    </row>
    <row r="43" spans="1:3" s="1" customFormat="1" ht="12" customHeight="1">
      <c r="A43" s="376" t="s">
        <v>171</v>
      </c>
      <c r="B43" s="384" t="s">
        <v>382</v>
      </c>
      <c r="C43" s="346"/>
    </row>
    <row r="44" spans="1:3" s="1" customFormat="1" ht="12" customHeight="1" thickBot="1">
      <c r="A44" s="377" t="s">
        <v>289</v>
      </c>
      <c r="B44" s="385" t="s">
        <v>502</v>
      </c>
      <c r="C44" s="347"/>
    </row>
    <row r="45" spans="1:3" s="1" customFormat="1" ht="12" customHeight="1" thickBot="1">
      <c r="A45" s="23" t="s">
        <v>290</v>
      </c>
      <c r="B45" s="539" t="s">
        <v>383</v>
      </c>
      <c r="C45" s="341">
        <f>+C46+C47</f>
        <v>0</v>
      </c>
    </row>
    <row r="46" spans="1:3" s="1" customFormat="1" ht="12" customHeight="1">
      <c r="A46" s="18" t="s">
        <v>166</v>
      </c>
      <c r="B46" s="395" t="s">
        <v>384</v>
      </c>
      <c r="C46" s="344"/>
    </row>
    <row r="47" spans="1:3" s="1" customFormat="1" ht="12" customHeight="1" thickBot="1">
      <c r="A47" s="15" t="s">
        <v>167</v>
      </c>
      <c r="B47" s="390" t="s">
        <v>388</v>
      </c>
      <c r="C47" s="343"/>
    </row>
    <row r="48" spans="1:3" s="1" customFormat="1" ht="12" customHeight="1" thickBot="1">
      <c r="A48" s="23" t="s">
        <v>81</v>
      </c>
      <c r="B48" s="539" t="s">
        <v>387</v>
      </c>
      <c r="C48" s="341">
        <f>+C49+C50+C52+C51</f>
        <v>0</v>
      </c>
    </row>
    <row r="49" spans="1:3" s="1" customFormat="1" ht="12" customHeight="1">
      <c r="A49" s="18" t="s">
        <v>293</v>
      </c>
      <c r="B49" s="395" t="s">
        <v>291</v>
      </c>
      <c r="C49" s="372"/>
    </row>
    <row r="50" spans="1:3" s="1" customFormat="1" ht="12" customHeight="1">
      <c r="A50" s="16" t="s">
        <v>294</v>
      </c>
      <c r="B50" s="382" t="s">
        <v>292</v>
      </c>
      <c r="C50" s="412"/>
    </row>
    <row r="51" spans="1:3" s="1" customFormat="1" ht="12" customHeight="1">
      <c r="A51" s="16" t="s">
        <v>439</v>
      </c>
      <c r="B51" s="382" t="s">
        <v>385</v>
      </c>
      <c r="C51" s="412"/>
    </row>
    <row r="52" spans="1:3" s="1" customFormat="1" ht="12" customHeight="1" thickBot="1">
      <c r="A52" s="15" t="s">
        <v>1336</v>
      </c>
      <c r="B52" s="390" t="s">
        <v>1275</v>
      </c>
      <c r="C52" s="348"/>
    </row>
    <row r="53" spans="1:5" s="1" customFormat="1" ht="17.25" customHeight="1" thickBot="1">
      <c r="A53" s="23" t="s">
        <v>295</v>
      </c>
      <c r="B53" s="540" t="s">
        <v>386</v>
      </c>
      <c r="C53" s="413"/>
      <c r="E53" s="51"/>
    </row>
    <row r="54" spans="1:3" s="1" customFormat="1" ht="12" customHeight="1" thickBot="1">
      <c r="A54" s="23" t="s">
        <v>83</v>
      </c>
      <c r="B54" s="27" t="s">
        <v>296</v>
      </c>
      <c r="C54" s="414">
        <f>+C6+C11+C20+C21+C32+C45+C48+C53</f>
        <v>1500</v>
      </c>
    </row>
    <row r="55" spans="1:3" s="1" customFormat="1" ht="12" customHeight="1" thickBot="1">
      <c r="A55" s="386" t="s">
        <v>84</v>
      </c>
      <c r="B55" s="381" t="s">
        <v>389</v>
      </c>
      <c r="C55" s="415">
        <f>+C56+C62</f>
        <v>0</v>
      </c>
    </row>
    <row r="56" spans="1:3" s="1" customFormat="1" ht="12" customHeight="1">
      <c r="A56" s="541" t="s">
        <v>225</v>
      </c>
      <c r="B56" s="538" t="s">
        <v>390</v>
      </c>
      <c r="C56" s="416">
        <f>+C57+C58+C59+C60+C61</f>
        <v>0</v>
      </c>
    </row>
    <row r="57" spans="1:3" s="1" customFormat="1" ht="12" customHeight="1">
      <c r="A57" s="387" t="s">
        <v>405</v>
      </c>
      <c r="B57" s="382" t="s">
        <v>391</v>
      </c>
      <c r="C57" s="412"/>
    </row>
    <row r="58" spans="1:3" s="1" customFormat="1" ht="12" customHeight="1">
      <c r="A58" s="387" t="s">
        <v>406</v>
      </c>
      <c r="B58" s="382" t="s">
        <v>392</v>
      </c>
      <c r="C58" s="412"/>
    </row>
    <row r="59" spans="1:3" s="1" customFormat="1" ht="12" customHeight="1">
      <c r="A59" s="387" t="s">
        <v>407</v>
      </c>
      <c r="B59" s="382" t="s">
        <v>393</v>
      </c>
      <c r="C59" s="412"/>
    </row>
    <row r="60" spans="1:3" s="1" customFormat="1" ht="12" customHeight="1">
      <c r="A60" s="387" t="s">
        <v>408</v>
      </c>
      <c r="B60" s="382" t="s">
        <v>394</v>
      </c>
      <c r="C60" s="412"/>
    </row>
    <row r="61" spans="1:3" s="1" customFormat="1" ht="12" customHeight="1">
      <c r="A61" s="387" t="s">
        <v>409</v>
      </c>
      <c r="B61" s="382" t="s">
        <v>395</v>
      </c>
      <c r="C61" s="412"/>
    </row>
    <row r="62" spans="1:3" s="1" customFormat="1" ht="12" customHeight="1">
      <c r="A62" s="388" t="s">
        <v>226</v>
      </c>
      <c r="B62" s="383" t="s">
        <v>396</v>
      </c>
      <c r="C62" s="417">
        <f>+C63+C64+C65+C66+C67</f>
        <v>0</v>
      </c>
    </row>
    <row r="63" spans="1:3" s="1" customFormat="1" ht="12" customHeight="1">
      <c r="A63" s="387" t="s">
        <v>410</v>
      </c>
      <c r="B63" s="382" t="s">
        <v>397</v>
      </c>
      <c r="C63" s="412"/>
    </row>
    <row r="64" spans="1:3" s="1" customFormat="1" ht="12" customHeight="1">
      <c r="A64" s="387" t="s">
        <v>411</v>
      </c>
      <c r="B64" s="382" t="s">
        <v>398</v>
      </c>
      <c r="C64" s="412"/>
    </row>
    <row r="65" spans="1:3" s="1" customFormat="1" ht="12" customHeight="1">
      <c r="A65" s="387" t="s">
        <v>412</v>
      </c>
      <c r="B65" s="382" t="s">
        <v>399</v>
      </c>
      <c r="C65" s="412"/>
    </row>
    <row r="66" spans="1:3" s="1" customFormat="1" ht="12" customHeight="1">
      <c r="A66" s="387" t="s">
        <v>413</v>
      </c>
      <c r="B66" s="382" t="s">
        <v>400</v>
      </c>
      <c r="C66" s="412"/>
    </row>
    <row r="67" spans="1:3" s="1" customFormat="1" ht="12" customHeight="1" thickBot="1">
      <c r="A67" s="389" t="s">
        <v>414</v>
      </c>
      <c r="B67" s="390" t="s">
        <v>401</v>
      </c>
      <c r="C67" s="418"/>
    </row>
    <row r="68" spans="1:3" s="1" customFormat="1" ht="12" customHeight="1" thickBot="1">
      <c r="A68" s="391" t="s">
        <v>85</v>
      </c>
      <c r="B68" s="542" t="s">
        <v>402</v>
      </c>
      <c r="C68" s="415">
        <f>+C54+C55</f>
        <v>1500</v>
      </c>
    </row>
    <row r="69" spans="1:3" s="1" customFormat="1" ht="13.5" customHeight="1" thickBot="1">
      <c r="A69" s="392" t="s">
        <v>86</v>
      </c>
      <c r="B69" s="543" t="s">
        <v>403</v>
      </c>
      <c r="C69" s="425"/>
    </row>
    <row r="70" spans="1:3" s="1" customFormat="1" ht="12" customHeight="1" thickBot="1">
      <c r="A70" s="391" t="s">
        <v>87</v>
      </c>
      <c r="B70" s="542" t="s">
        <v>404</v>
      </c>
      <c r="C70" s="426">
        <f>+C68+C69</f>
        <v>1500</v>
      </c>
    </row>
    <row r="71" spans="1:3" s="1" customFormat="1" ht="12.75" customHeight="1">
      <c r="A71" s="6"/>
      <c r="B71" s="7"/>
      <c r="C71" s="419"/>
    </row>
    <row r="72" spans="1:3" ht="16.5" customHeight="1">
      <c r="A72" s="1286" t="s">
        <v>103</v>
      </c>
      <c r="B72" s="1286"/>
      <c r="C72" s="1286"/>
    </row>
    <row r="73" spans="1:3" s="431" customFormat="1" ht="16.5" customHeight="1" thickBot="1">
      <c r="A73" s="1289" t="s">
        <v>233</v>
      </c>
      <c r="B73" s="1289"/>
      <c r="C73" s="163" t="s">
        <v>436</v>
      </c>
    </row>
    <row r="74" spans="1:3" ht="37.5" customHeight="1" thickBot="1">
      <c r="A74" s="28" t="s">
        <v>72</v>
      </c>
      <c r="B74" s="29" t="s">
        <v>104</v>
      </c>
      <c r="C74" s="49" t="str">
        <f>4!C3</f>
        <v>2013. évi módosított előirányzat</v>
      </c>
    </row>
    <row r="75" spans="1:3" s="50" customFormat="1" ht="12" customHeight="1" thickBot="1">
      <c r="A75" s="41">
        <v>1</v>
      </c>
      <c r="B75" s="42">
        <v>2</v>
      </c>
      <c r="C75" s="402">
        <v>3</v>
      </c>
    </row>
    <row r="76" spans="1:3" ht="12" customHeight="1" thickBot="1">
      <c r="A76" s="25" t="s">
        <v>74</v>
      </c>
      <c r="B76" s="35" t="s">
        <v>297</v>
      </c>
      <c r="C76" s="403">
        <f>+C77+C78+C79+C80+C81</f>
        <v>72538</v>
      </c>
    </row>
    <row r="77" spans="1:3" ht="12" customHeight="1">
      <c r="A77" s="20" t="s">
        <v>172</v>
      </c>
      <c r="B77" s="12" t="s">
        <v>105</v>
      </c>
      <c r="C77" s="405">
        <f>41127+246+125+165+194</f>
        <v>41857</v>
      </c>
    </row>
    <row r="78" spans="1:3" ht="12" customHeight="1">
      <c r="A78" s="16" t="s">
        <v>173</v>
      </c>
      <c r="B78" s="9" t="s">
        <v>298</v>
      </c>
      <c r="C78" s="406">
        <f>10921+65+32+45+52</f>
        <v>11115</v>
      </c>
    </row>
    <row r="79" spans="1:3" ht="12" customHeight="1">
      <c r="A79" s="16" t="s">
        <v>174</v>
      </c>
      <c r="B79" s="9" t="s">
        <v>215</v>
      </c>
      <c r="C79" s="411">
        <f>19561+2+3</f>
        <v>19566</v>
      </c>
    </row>
    <row r="80" spans="1:3" ht="12" customHeight="1">
      <c r="A80" s="16" t="s">
        <v>175</v>
      </c>
      <c r="B80" s="13" t="s">
        <v>299</v>
      </c>
      <c r="C80" s="411"/>
    </row>
    <row r="81" spans="1:3" ht="12" customHeight="1">
      <c r="A81" s="16" t="s">
        <v>186</v>
      </c>
      <c r="B81" s="22" t="s">
        <v>300</v>
      </c>
      <c r="C81" s="411"/>
    </row>
    <row r="82" spans="1:3" ht="12" customHeight="1">
      <c r="A82" s="16" t="s">
        <v>176</v>
      </c>
      <c r="B82" s="9" t="s">
        <v>321</v>
      </c>
      <c r="C82" s="411"/>
    </row>
    <row r="83" spans="1:3" ht="12" customHeight="1">
      <c r="A83" s="16" t="s">
        <v>177</v>
      </c>
      <c r="B83" s="167" t="s">
        <v>322</v>
      </c>
      <c r="C83" s="411"/>
    </row>
    <row r="84" spans="1:3" ht="12" customHeight="1">
      <c r="A84" s="16" t="s">
        <v>187</v>
      </c>
      <c r="B84" s="167" t="s">
        <v>416</v>
      </c>
      <c r="C84" s="411"/>
    </row>
    <row r="85" spans="1:3" ht="12" customHeight="1">
      <c r="A85" s="16" t="s">
        <v>188</v>
      </c>
      <c r="B85" s="168" t="s">
        <v>323</v>
      </c>
      <c r="C85" s="411"/>
    </row>
    <row r="86" spans="1:3" ht="12" customHeight="1">
      <c r="A86" s="15" t="s">
        <v>189</v>
      </c>
      <c r="B86" s="169" t="s">
        <v>324</v>
      </c>
      <c r="C86" s="411"/>
    </row>
    <row r="87" spans="1:3" ht="12" customHeight="1">
      <c r="A87" s="16" t="s">
        <v>190</v>
      </c>
      <c r="B87" s="169" t="s">
        <v>325</v>
      </c>
      <c r="C87" s="411"/>
    </row>
    <row r="88" spans="1:3" ht="12" customHeight="1" thickBot="1">
      <c r="A88" s="21" t="s">
        <v>192</v>
      </c>
      <c r="B88" s="170" t="s">
        <v>326</v>
      </c>
      <c r="C88" s="420"/>
    </row>
    <row r="89" spans="1:3" ht="12" customHeight="1" thickBot="1">
      <c r="A89" s="23" t="s">
        <v>75</v>
      </c>
      <c r="B89" s="34" t="s">
        <v>440</v>
      </c>
      <c r="C89" s="404">
        <f>+C90+C91+C92</f>
        <v>0</v>
      </c>
    </row>
    <row r="90" spans="1:3" ht="12" customHeight="1">
      <c r="A90" s="18" t="s">
        <v>178</v>
      </c>
      <c r="B90" s="9" t="s">
        <v>417</v>
      </c>
      <c r="C90" s="410"/>
    </row>
    <row r="91" spans="1:3" ht="12" customHeight="1">
      <c r="A91" s="18" t="s">
        <v>179</v>
      </c>
      <c r="B91" s="14" t="s">
        <v>302</v>
      </c>
      <c r="C91" s="406"/>
    </row>
    <row r="92" spans="1:3" ht="12" customHeight="1">
      <c r="A92" s="18" t="s">
        <v>180</v>
      </c>
      <c r="B92" s="382" t="s">
        <v>441</v>
      </c>
      <c r="C92" s="342"/>
    </row>
    <row r="93" spans="1:3" ht="12" customHeight="1">
      <c r="A93" s="18" t="s">
        <v>181</v>
      </c>
      <c r="B93" s="382" t="s">
        <v>1200</v>
      </c>
      <c r="C93" s="342"/>
    </row>
    <row r="94" spans="1:3" ht="12" customHeight="1">
      <c r="A94" s="18" t="s">
        <v>182</v>
      </c>
      <c r="B94" s="382" t="s">
        <v>442</v>
      </c>
      <c r="C94" s="342"/>
    </row>
    <row r="95" spans="1:3" ht="15.75">
      <c r="A95" s="18" t="s">
        <v>191</v>
      </c>
      <c r="B95" s="382" t="s">
        <v>443</v>
      </c>
      <c r="C95" s="342"/>
    </row>
    <row r="96" spans="1:3" ht="12" customHeight="1">
      <c r="A96" s="18" t="s">
        <v>193</v>
      </c>
      <c r="B96" s="544" t="s">
        <v>420</v>
      </c>
      <c r="C96" s="342"/>
    </row>
    <row r="97" spans="1:3" ht="12" customHeight="1">
      <c r="A97" s="18" t="s">
        <v>303</v>
      </c>
      <c r="B97" s="544" t="s">
        <v>421</v>
      </c>
      <c r="C97" s="342"/>
    </row>
    <row r="98" spans="1:3" ht="12" customHeight="1">
      <c r="A98" s="18" t="s">
        <v>304</v>
      </c>
      <c r="B98" s="544" t="s">
        <v>419</v>
      </c>
      <c r="C98" s="342"/>
    </row>
    <row r="99" spans="1:3" ht="24" customHeight="1" thickBot="1">
      <c r="A99" s="15" t="s">
        <v>305</v>
      </c>
      <c r="B99" s="545" t="s">
        <v>418</v>
      </c>
      <c r="C99" s="345"/>
    </row>
    <row r="100" spans="1:3" ht="12" customHeight="1" thickBot="1">
      <c r="A100" s="23" t="s">
        <v>76</v>
      </c>
      <c r="B100" s="147" t="s">
        <v>444</v>
      </c>
      <c r="C100" s="404">
        <f>+C101+C102</f>
        <v>0</v>
      </c>
    </row>
    <row r="101" spans="1:3" ht="12" customHeight="1">
      <c r="A101" s="18" t="s">
        <v>152</v>
      </c>
      <c r="B101" s="11" t="s">
        <v>121</v>
      </c>
      <c r="C101" s="410"/>
    </row>
    <row r="102" spans="1:3" ht="12" customHeight="1" thickBot="1">
      <c r="A102" s="19" t="s">
        <v>153</v>
      </c>
      <c r="B102" s="14" t="s">
        <v>122</v>
      </c>
      <c r="C102" s="411"/>
    </row>
    <row r="103" spans="1:3" s="380" customFormat="1" ht="12" customHeight="1" thickBot="1">
      <c r="A103" s="386" t="s">
        <v>77</v>
      </c>
      <c r="B103" s="381" t="s">
        <v>422</v>
      </c>
      <c r="C103" s="556"/>
    </row>
    <row r="104" spans="1:3" ht="12" customHeight="1" thickBot="1">
      <c r="A104" s="378" t="s">
        <v>78</v>
      </c>
      <c r="B104" s="379" t="s">
        <v>238</v>
      </c>
      <c r="C104" s="403">
        <f>+C76+C89+C100+C103</f>
        <v>72538</v>
      </c>
    </row>
    <row r="105" spans="1:3" ht="12" customHeight="1" thickBot="1">
      <c r="A105" s="386" t="s">
        <v>79</v>
      </c>
      <c r="B105" s="381" t="s">
        <v>504</v>
      </c>
      <c r="C105" s="404">
        <f>+C106+C114</f>
        <v>0</v>
      </c>
    </row>
    <row r="106" spans="1:3" ht="12" customHeight="1" thickBot="1">
      <c r="A106" s="393" t="s">
        <v>159</v>
      </c>
      <c r="B106" s="546" t="s">
        <v>509</v>
      </c>
      <c r="C106" s="404">
        <f>+C107+C108+C109+C110+C111+C112+C113</f>
        <v>0</v>
      </c>
    </row>
    <row r="107" spans="1:3" ht="12" customHeight="1">
      <c r="A107" s="394" t="s">
        <v>162</v>
      </c>
      <c r="B107" s="395" t="s">
        <v>423</v>
      </c>
      <c r="C107" s="427"/>
    </row>
    <row r="108" spans="1:3" ht="12" customHeight="1">
      <c r="A108" s="387" t="s">
        <v>163</v>
      </c>
      <c r="B108" s="382" t="s">
        <v>424</v>
      </c>
      <c r="C108" s="428"/>
    </row>
    <row r="109" spans="1:3" ht="12" customHeight="1">
      <c r="A109" s="387" t="s">
        <v>164</v>
      </c>
      <c r="B109" s="382" t="s">
        <v>425</v>
      </c>
      <c r="C109" s="428"/>
    </row>
    <row r="110" spans="1:3" ht="12" customHeight="1">
      <c r="A110" s="387" t="s">
        <v>165</v>
      </c>
      <c r="B110" s="382" t="s">
        <v>426</v>
      </c>
      <c r="C110" s="428"/>
    </row>
    <row r="111" spans="1:3" ht="12" customHeight="1">
      <c r="A111" s="387" t="s">
        <v>288</v>
      </c>
      <c r="B111" s="382" t="s">
        <v>427</v>
      </c>
      <c r="C111" s="428"/>
    </row>
    <row r="112" spans="1:3" ht="12" customHeight="1">
      <c r="A112" s="387" t="s">
        <v>306</v>
      </c>
      <c r="B112" s="382" t="s">
        <v>428</v>
      </c>
      <c r="C112" s="428"/>
    </row>
    <row r="113" spans="1:3" ht="12" customHeight="1" thickBot="1">
      <c r="A113" s="396" t="s">
        <v>307</v>
      </c>
      <c r="B113" s="397" t="s">
        <v>429</v>
      </c>
      <c r="C113" s="429"/>
    </row>
    <row r="114" spans="1:3" ht="12" customHeight="1" thickBot="1">
      <c r="A114" s="393" t="s">
        <v>160</v>
      </c>
      <c r="B114" s="546" t="s">
        <v>510</v>
      </c>
      <c r="C114" s="404">
        <f>+C115+C116+C117+C118+C119+C120+C121+C122</f>
        <v>0</v>
      </c>
    </row>
    <row r="115" spans="1:3" ht="12" customHeight="1">
      <c r="A115" s="394" t="s">
        <v>168</v>
      </c>
      <c r="B115" s="395" t="s">
        <v>423</v>
      </c>
      <c r="C115" s="427"/>
    </row>
    <row r="116" spans="1:3" ht="12" customHeight="1">
      <c r="A116" s="387" t="s">
        <v>169</v>
      </c>
      <c r="B116" s="382" t="s">
        <v>430</v>
      </c>
      <c r="C116" s="428"/>
    </row>
    <row r="117" spans="1:3" ht="12" customHeight="1">
      <c r="A117" s="387" t="s">
        <v>170</v>
      </c>
      <c r="B117" s="382" t="s">
        <v>425</v>
      </c>
      <c r="C117" s="428"/>
    </row>
    <row r="118" spans="1:3" ht="12" customHeight="1">
      <c r="A118" s="387" t="s">
        <v>171</v>
      </c>
      <c r="B118" s="382" t="s">
        <v>426</v>
      </c>
      <c r="C118" s="428"/>
    </row>
    <row r="119" spans="1:3" ht="12" customHeight="1">
      <c r="A119" s="387" t="s">
        <v>289</v>
      </c>
      <c r="B119" s="382" t="s">
        <v>427</v>
      </c>
      <c r="C119" s="428"/>
    </row>
    <row r="120" spans="1:3" ht="12" customHeight="1">
      <c r="A120" s="387" t="s">
        <v>308</v>
      </c>
      <c r="B120" s="382" t="s">
        <v>431</v>
      </c>
      <c r="C120" s="428"/>
    </row>
    <row r="121" spans="1:3" ht="12" customHeight="1">
      <c r="A121" s="387" t="s">
        <v>309</v>
      </c>
      <c r="B121" s="382" t="s">
        <v>429</v>
      </c>
      <c r="C121" s="428"/>
    </row>
    <row r="122" spans="1:3" ht="12" customHeight="1" thickBot="1">
      <c r="A122" s="396" t="s">
        <v>310</v>
      </c>
      <c r="B122" s="397" t="s">
        <v>507</v>
      </c>
      <c r="C122" s="429"/>
    </row>
    <row r="123" spans="1:3" ht="12" customHeight="1" thickBot="1">
      <c r="A123" s="386" t="s">
        <v>80</v>
      </c>
      <c r="B123" s="542" t="s">
        <v>432</v>
      </c>
      <c r="C123" s="421">
        <f>+C104+C105</f>
        <v>72538</v>
      </c>
    </row>
    <row r="124" spans="1:9" ht="15" customHeight="1" thickBot="1">
      <c r="A124" s="386" t="s">
        <v>81</v>
      </c>
      <c r="B124" s="542" t="s">
        <v>433</v>
      </c>
      <c r="C124" s="422"/>
      <c r="F124" s="51"/>
      <c r="G124" s="148"/>
      <c r="H124" s="148"/>
      <c r="I124" s="148"/>
    </row>
    <row r="125" spans="1:3" s="1" customFormat="1" ht="12.75" customHeight="1" thickBot="1">
      <c r="A125" s="398" t="s">
        <v>82</v>
      </c>
      <c r="B125" s="543" t="s">
        <v>434</v>
      </c>
      <c r="C125" s="415">
        <f>+C123+C124</f>
        <v>72538</v>
      </c>
    </row>
    <row r="126" spans="1:3" ht="7.5" customHeight="1">
      <c r="A126" s="547"/>
      <c r="B126" s="547"/>
      <c r="C126" s="548"/>
    </row>
    <row r="127" spans="1:3" ht="15.75">
      <c r="A127" s="1290" t="s">
        <v>241</v>
      </c>
      <c r="B127" s="1290"/>
      <c r="C127" s="1290"/>
    </row>
    <row r="128" spans="1:3" ht="15" customHeight="1" thickBot="1">
      <c r="A128" s="1288" t="s">
        <v>234</v>
      </c>
      <c r="B128" s="1288"/>
      <c r="C128" s="424" t="s">
        <v>436</v>
      </c>
    </row>
    <row r="129" spans="1:4" ht="13.5" customHeight="1" thickBot="1">
      <c r="A129" s="23">
        <v>1</v>
      </c>
      <c r="B129" s="34" t="s">
        <v>316</v>
      </c>
      <c r="C129" s="404">
        <f>+C54-C104</f>
        <v>-71038</v>
      </c>
      <c r="D129" s="154"/>
    </row>
    <row r="130" spans="1:3" ht="7.5" customHeight="1">
      <c r="A130" s="547"/>
      <c r="B130" s="547"/>
      <c r="C130" s="548"/>
    </row>
  </sheetData>
  <sheetProtection/>
  <mergeCells count="6">
    <mergeCell ref="A128:B128"/>
    <mergeCell ref="A72:C72"/>
    <mergeCell ref="A1:C1"/>
    <mergeCell ref="A2:B2"/>
    <mergeCell ref="A73:B73"/>
    <mergeCell ref="A127:C12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Siófok Város Önkormányzat
2013. ÉVI KÖLTSÉGVETÉS
ÁLLAMI (ÁLLAMIGAZGATÁSI) FELADATOK MÉRLEGE&amp;10
&amp;R&amp;"Times New Roman CE,Félkövér dőlt"&amp;11 4.3. számú melléklet 
</oddHeader>
  </headerFooter>
  <rowBreaks count="1" manualBreakCount="1">
    <brk id="7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875" style="64" customWidth="1"/>
    <col min="2" max="2" width="55.125" style="234" customWidth="1"/>
    <col min="3" max="3" width="16.375" style="64" customWidth="1"/>
    <col min="4" max="4" width="55.125" style="64" customWidth="1"/>
    <col min="5" max="5" width="16.375" style="64" customWidth="1"/>
    <col min="6" max="6" width="4.875" style="64" customWidth="1"/>
    <col min="7" max="16384" width="9.375" style="64" customWidth="1"/>
  </cols>
  <sheetData>
    <row r="1" spans="2:6" ht="39.75" customHeight="1">
      <c r="B1" s="442" t="s">
        <v>242</v>
      </c>
      <c r="C1" s="443"/>
      <c r="D1" s="443"/>
      <c r="E1" s="443"/>
      <c r="F1" s="1293" t="s">
        <v>1188</v>
      </c>
    </row>
    <row r="2" spans="5:6" ht="14.25" thickBot="1">
      <c r="E2" s="444" t="s">
        <v>127</v>
      </c>
      <c r="F2" s="1293"/>
    </row>
    <row r="3" spans="1:6" ht="18" customHeight="1" thickBot="1">
      <c r="A3" s="1291" t="s">
        <v>132</v>
      </c>
      <c r="B3" s="445" t="s">
        <v>115</v>
      </c>
      <c r="C3" s="446"/>
      <c r="D3" s="445" t="s">
        <v>119</v>
      </c>
      <c r="E3" s="447"/>
      <c r="F3" s="1293"/>
    </row>
    <row r="4" spans="1:6" s="448" customFormat="1" ht="35.25" customHeight="1" thickBot="1">
      <c r="A4" s="1292"/>
      <c r="B4" s="235" t="s">
        <v>128</v>
      </c>
      <c r="C4" s="236" t="s">
        <v>1223</v>
      </c>
      <c r="D4" s="235" t="s">
        <v>128</v>
      </c>
      <c r="E4" s="63" t="str">
        <f>C4</f>
        <v>2013. évi módosított előirányzat</v>
      </c>
      <c r="F4" s="1293"/>
    </row>
    <row r="5" spans="1:6" s="453" customFormat="1" ht="12" customHeight="1" thickBot="1">
      <c r="A5" s="449">
        <v>1</v>
      </c>
      <c r="B5" s="450">
        <v>2</v>
      </c>
      <c r="C5" s="451" t="s">
        <v>76</v>
      </c>
      <c r="D5" s="450" t="s">
        <v>77</v>
      </c>
      <c r="E5" s="452" t="s">
        <v>78</v>
      </c>
      <c r="F5" s="1293"/>
    </row>
    <row r="6" spans="1:6" ht="12.75" customHeight="1">
      <c r="A6" s="454" t="s">
        <v>74</v>
      </c>
      <c r="B6" s="455" t="s">
        <v>275</v>
      </c>
      <c r="C6" s="432">
        <f>4!C6</f>
        <v>2734000</v>
      </c>
      <c r="D6" s="455" t="s">
        <v>129</v>
      </c>
      <c r="E6" s="437">
        <f>4!C77</f>
        <v>1370533</v>
      </c>
      <c r="F6" s="1293"/>
    </row>
    <row r="7" spans="1:6" ht="12.75" customHeight="1">
      <c r="A7" s="456" t="s">
        <v>75</v>
      </c>
      <c r="B7" s="457" t="s">
        <v>116</v>
      </c>
      <c r="C7" s="433">
        <f>4!C11</f>
        <v>1403535</v>
      </c>
      <c r="D7" s="457" t="s">
        <v>298</v>
      </c>
      <c r="E7" s="438">
        <f>4!C78</f>
        <v>358617</v>
      </c>
      <c r="F7" s="1293"/>
    </row>
    <row r="8" spans="1:6" ht="12.75" customHeight="1">
      <c r="A8" s="456" t="s">
        <v>76</v>
      </c>
      <c r="B8" s="457" t="s">
        <v>118</v>
      </c>
      <c r="C8" s="433">
        <f>4!C20</f>
        <v>95000</v>
      </c>
      <c r="D8" s="457" t="s">
        <v>455</v>
      </c>
      <c r="E8" s="438">
        <f>4!C79</f>
        <v>3024155</v>
      </c>
      <c r="F8" s="1293"/>
    </row>
    <row r="9" spans="1:6" ht="12.75" customHeight="1">
      <c r="A9" s="456" t="s">
        <v>77</v>
      </c>
      <c r="B9" s="458" t="s">
        <v>446</v>
      </c>
      <c r="C9" s="433">
        <f>4!C22+4!C23+4!C24+4!C25+4!C26+4!C27+4!C30+4!C31-76-24-233356</f>
        <v>1424730</v>
      </c>
      <c r="D9" s="457" t="s">
        <v>299</v>
      </c>
      <c r="E9" s="438">
        <f>4!C80</f>
        <v>6000</v>
      </c>
      <c r="F9" s="1293"/>
    </row>
    <row r="10" spans="1:6" ht="12.75" customHeight="1">
      <c r="A10" s="456" t="s">
        <v>78</v>
      </c>
      <c r="B10" s="457" t="s">
        <v>447</v>
      </c>
      <c r="C10" s="433">
        <f>4!C33</f>
        <v>469698</v>
      </c>
      <c r="D10" s="457" t="s">
        <v>300</v>
      </c>
      <c r="E10" s="438">
        <f>4!C81</f>
        <v>720276</v>
      </c>
      <c r="F10" s="1293"/>
    </row>
    <row r="11" spans="1:6" ht="12.75" customHeight="1">
      <c r="A11" s="456" t="s">
        <v>79</v>
      </c>
      <c r="B11" s="457" t="s">
        <v>473</v>
      </c>
      <c r="C11" s="434">
        <f>4!C37</f>
        <v>0</v>
      </c>
      <c r="D11" s="457" t="s">
        <v>106</v>
      </c>
      <c r="E11" s="438">
        <f>4!C100</f>
        <v>121718</v>
      </c>
      <c r="F11" s="1293"/>
    </row>
    <row r="12" spans="1:6" ht="12.75" customHeight="1">
      <c r="A12" s="456" t="s">
        <v>80</v>
      </c>
      <c r="B12" s="457" t="s">
        <v>448</v>
      </c>
      <c r="C12" s="433">
        <f>4!C46</f>
        <v>108281</v>
      </c>
      <c r="D12" s="457" t="s">
        <v>64</v>
      </c>
      <c r="E12" s="438">
        <f>4!C103</f>
        <v>0</v>
      </c>
      <c r="F12" s="1293"/>
    </row>
    <row r="13" spans="1:6" ht="12.75" customHeight="1">
      <c r="A13" s="456" t="s">
        <v>81</v>
      </c>
      <c r="B13" s="457" t="s">
        <v>449</v>
      </c>
      <c r="C13" s="433"/>
      <c r="D13" s="56"/>
      <c r="E13" s="438"/>
      <c r="F13" s="1293"/>
    </row>
    <row r="14" spans="1:6" ht="12.75" customHeight="1">
      <c r="A14" s="456" t="s">
        <v>82</v>
      </c>
      <c r="B14" s="459" t="s">
        <v>450</v>
      </c>
      <c r="C14" s="434"/>
      <c r="D14" s="56"/>
      <c r="E14" s="438"/>
      <c r="F14" s="1293"/>
    </row>
    <row r="15" spans="1:6" ht="12.75" customHeight="1">
      <c r="A15" s="456" t="s">
        <v>83</v>
      </c>
      <c r="B15" s="56"/>
      <c r="C15" s="433"/>
      <c r="D15" s="56"/>
      <c r="E15" s="438"/>
      <c r="F15" s="1293"/>
    </row>
    <row r="16" spans="1:6" ht="12.75" customHeight="1">
      <c r="A16" s="456" t="s">
        <v>84</v>
      </c>
      <c r="B16" s="56"/>
      <c r="C16" s="433"/>
      <c r="D16" s="56"/>
      <c r="E16" s="438"/>
      <c r="F16" s="1293"/>
    </row>
    <row r="17" spans="1:6" ht="12.75" customHeight="1" thickBot="1">
      <c r="A17" s="456" t="s">
        <v>85</v>
      </c>
      <c r="B17" s="65"/>
      <c r="C17" s="435"/>
      <c r="D17" s="56"/>
      <c r="E17" s="439"/>
      <c r="F17" s="1293"/>
    </row>
    <row r="18" spans="1:6" ht="15.75" customHeight="1" thickBot="1">
      <c r="A18" s="460" t="s">
        <v>86</v>
      </c>
      <c r="B18" s="149" t="s">
        <v>466</v>
      </c>
      <c r="C18" s="436">
        <f>+C6+C7+C8+C9+C10+C12+C13+C14+C15+C16+C17</f>
        <v>6235244</v>
      </c>
      <c r="D18" s="149" t="s">
        <v>465</v>
      </c>
      <c r="E18" s="440">
        <f>SUM(E6:E17)</f>
        <v>5601299</v>
      </c>
      <c r="F18" s="1293"/>
    </row>
    <row r="19" spans="1:6" ht="12.75" customHeight="1">
      <c r="A19" s="461" t="s">
        <v>87</v>
      </c>
      <c r="B19" s="462" t="s">
        <v>989</v>
      </c>
      <c r="C19" s="463">
        <f>SUM(C20:C24)</f>
        <v>53890</v>
      </c>
      <c r="D19" s="464" t="s">
        <v>311</v>
      </c>
      <c r="E19" s="441"/>
      <c r="F19" s="1293"/>
    </row>
    <row r="20" spans="1:6" ht="12.75" customHeight="1">
      <c r="A20" s="465" t="s">
        <v>88</v>
      </c>
      <c r="B20" s="464" t="s">
        <v>391</v>
      </c>
      <c r="C20" s="92">
        <f>4!C57</f>
        <v>53890</v>
      </c>
      <c r="D20" s="464" t="s">
        <v>312</v>
      </c>
      <c r="E20" s="93"/>
      <c r="F20" s="1293"/>
    </row>
    <row r="21" spans="1:6" ht="12.75" customHeight="1">
      <c r="A21" s="465" t="s">
        <v>89</v>
      </c>
      <c r="B21" s="464" t="s">
        <v>392</v>
      </c>
      <c r="C21" s="92">
        <f>4!C58</f>
        <v>0</v>
      </c>
      <c r="D21" s="464" t="s">
        <v>239</v>
      </c>
      <c r="E21" s="93"/>
      <c r="F21" s="1293"/>
    </row>
    <row r="22" spans="1:6" ht="12.75" customHeight="1">
      <c r="A22" s="465" t="s">
        <v>90</v>
      </c>
      <c r="B22" s="464" t="s">
        <v>451</v>
      </c>
      <c r="C22" s="92">
        <f>4!C59</f>
        <v>0</v>
      </c>
      <c r="D22" s="464" t="s">
        <v>240</v>
      </c>
      <c r="E22" s="93"/>
      <c r="F22" s="1293"/>
    </row>
    <row r="23" spans="1:6" ht="12.75" customHeight="1">
      <c r="A23" s="465" t="s">
        <v>91</v>
      </c>
      <c r="B23" s="606" t="s">
        <v>394</v>
      </c>
      <c r="C23" s="92">
        <f>4!C60</f>
        <v>0</v>
      </c>
      <c r="D23" s="462" t="s">
        <v>456</v>
      </c>
      <c r="E23" s="93"/>
      <c r="F23" s="1293"/>
    </row>
    <row r="24" spans="1:6" ht="12.75" customHeight="1">
      <c r="A24" s="465" t="s">
        <v>92</v>
      </c>
      <c r="B24" s="464" t="s">
        <v>452</v>
      </c>
      <c r="C24" s="92">
        <f>4!C61</f>
        <v>0</v>
      </c>
      <c r="D24" s="464" t="s">
        <v>313</v>
      </c>
      <c r="E24" s="93"/>
      <c r="F24" s="1293"/>
    </row>
    <row r="25" spans="1:6" ht="12.75" customHeight="1">
      <c r="A25" s="465" t="s">
        <v>93</v>
      </c>
      <c r="B25" s="464" t="s">
        <v>990</v>
      </c>
      <c r="C25" s="466">
        <f>SUM(C26:C27)</f>
        <v>0</v>
      </c>
      <c r="D25" s="455" t="s">
        <v>314</v>
      </c>
      <c r="E25" s="93"/>
      <c r="F25" s="1293"/>
    </row>
    <row r="26" spans="1:6" ht="12.75" customHeight="1">
      <c r="A26" s="465" t="s">
        <v>94</v>
      </c>
      <c r="B26" s="464" t="s">
        <v>453</v>
      </c>
      <c r="C26" s="466">
        <f>4!C63+4!C64+4!C65</f>
        <v>0</v>
      </c>
      <c r="D26" s="455"/>
      <c r="E26" s="441"/>
      <c r="F26" s="1293"/>
    </row>
    <row r="27" spans="1:6" ht="12.75" customHeight="1">
      <c r="A27" s="465" t="s">
        <v>95</v>
      </c>
      <c r="B27" s="464" t="s">
        <v>401</v>
      </c>
      <c r="C27" s="92">
        <f>4!C67</f>
        <v>0</v>
      </c>
      <c r="D27" s="56"/>
      <c r="E27" s="93"/>
      <c r="F27" s="1293"/>
    </row>
    <row r="28" spans="1:6" ht="12.75" customHeight="1">
      <c r="A28" s="465" t="s">
        <v>96</v>
      </c>
      <c r="B28" s="606" t="s">
        <v>394</v>
      </c>
      <c r="C28" s="92">
        <f>4!C66</f>
        <v>0</v>
      </c>
      <c r="D28" s="464"/>
      <c r="E28" s="93"/>
      <c r="F28" s="1293"/>
    </row>
    <row r="29" spans="1:6" ht="12.75" customHeight="1">
      <c r="A29" s="465" t="s">
        <v>97</v>
      </c>
      <c r="B29" s="464"/>
      <c r="C29" s="92"/>
      <c r="D29" s="462"/>
      <c r="E29" s="93"/>
      <c r="F29" s="1293"/>
    </row>
    <row r="30" spans="1:6" ht="12.75" customHeight="1" thickBot="1">
      <c r="A30" s="465" t="s">
        <v>98</v>
      </c>
      <c r="B30" s="464"/>
      <c r="C30" s="92"/>
      <c r="D30" s="464"/>
      <c r="E30" s="93"/>
      <c r="F30" s="1293"/>
    </row>
    <row r="31" spans="1:6" ht="15.75" customHeight="1" thickBot="1">
      <c r="A31" s="460" t="s">
        <v>99</v>
      </c>
      <c r="B31" s="149" t="s">
        <v>991</v>
      </c>
      <c r="C31" s="436">
        <f>+C19+C25</f>
        <v>53890</v>
      </c>
      <c r="D31" s="149" t="s">
        <v>464</v>
      </c>
      <c r="E31" s="440">
        <f>SUM(E19:E27)</f>
        <v>0</v>
      </c>
      <c r="F31" s="1293"/>
    </row>
    <row r="32" spans="1:6" ht="18" customHeight="1" thickBot="1">
      <c r="A32" s="460" t="s">
        <v>100</v>
      </c>
      <c r="B32" s="467" t="s">
        <v>527</v>
      </c>
      <c r="C32" s="436">
        <f>+C18+C31</f>
        <v>6289134</v>
      </c>
      <c r="D32" s="467" t="s">
        <v>531</v>
      </c>
      <c r="E32" s="440">
        <f>+E18+E31</f>
        <v>5601299</v>
      </c>
      <c r="F32" s="1293"/>
    </row>
    <row r="33" spans="1:6" ht="18" customHeight="1" thickBot="1">
      <c r="A33" s="460" t="s">
        <v>101</v>
      </c>
      <c r="B33" s="149" t="s">
        <v>454</v>
      </c>
      <c r="C33" s="471"/>
      <c r="D33" s="149" t="s">
        <v>457</v>
      </c>
      <c r="E33" s="470"/>
      <c r="F33" s="1293"/>
    </row>
    <row r="34" spans="1:6" ht="13.5" thickBot="1">
      <c r="A34" s="460" t="s">
        <v>102</v>
      </c>
      <c r="B34" s="468" t="s">
        <v>528</v>
      </c>
      <c r="C34" s="469">
        <f>+C32+C33</f>
        <v>6289134</v>
      </c>
      <c r="D34" s="468" t="s">
        <v>532</v>
      </c>
      <c r="E34" s="469">
        <f>+E32+E33</f>
        <v>5601299</v>
      </c>
      <c r="F34" s="1293"/>
    </row>
    <row r="35" spans="1:6" ht="13.5" thickBot="1">
      <c r="A35" s="460" t="s">
        <v>201</v>
      </c>
      <c r="B35" s="468" t="s">
        <v>255</v>
      </c>
      <c r="C35" s="469" t="str">
        <f>IF(C18-E18&lt;0,E18-C18,"-")</f>
        <v>-</v>
      </c>
      <c r="D35" s="468" t="s">
        <v>256</v>
      </c>
      <c r="E35" s="469">
        <f>IF(C18-E18&gt;0,C18-E18,"-")</f>
        <v>633945</v>
      </c>
      <c r="F35" s="1293"/>
    </row>
    <row r="36" spans="1:6" ht="13.5" thickBot="1">
      <c r="A36" s="460">
        <v>31</v>
      </c>
      <c r="B36" s="468" t="s">
        <v>458</v>
      </c>
      <c r="C36" s="469" t="str">
        <f>IF(C18+C19-E32&lt;0,E32-(C18+C19),"-")</f>
        <v>-</v>
      </c>
      <c r="D36" s="468" t="s">
        <v>459</v>
      </c>
      <c r="E36" s="469">
        <f>IF(C18+C19-E32&gt;0,C18+C19-E32,"-")</f>
        <v>687835</v>
      </c>
      <c r="F36" s="1293"/>
    </row>
  </sheetData>
  <sheetProtection/>
  <mergeCells count="2">
    <mergeCell ref="A3:A4"/>
    <mergeCell ref="F1:F36"/>
  </mergeCells>
  <printOptions horizontalCentered="1"/>
  <pageMargins left="0.31496062992125984" right="0.4724409448818898" top="0.31496062992125984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csato.anita</cp:lastModifiedBy>
  <cp:lastPrinted>2013-12-13T06:41:24Z</cp:lastPrinted>
  <dcterms:created xsi:type="dcterms:W3CDTF">1999-10-30T10:30:45Z</dcterms:created>
  <dcterms:modified xsi:type="dcterms:W3CDTF">2013-12-13T06:43:23Z</dcterms:modified>
  <cp:category/>
  <cp:version/>
  <cp:contentType/>
  <cp:contentStatus/>
</cp:coreProperties>
</file>