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2120" windowHeight="2760" tabRatio="803" activeTab="1"/>
  </bookViews>
  <sheets>
    <sheet name="önként2014." sheetId="1" r:id="rId1"/>
    <sheet name="kötelező2014." sheetId="2" r:id="rId2"/>
    <sheet name="Munka1" sheetId="3" r:id="rId3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'kötelező2014.'!$A$1:$N$45</definedName>
    <definedName name="_xlnm.Print_Area" localSheetId="0">'önként2014.'!$A$1:$M$29</definedName>
  </definedNames>
  <calcPr fullCalcOnLoad="1"/>
</workbook>
</file>

<file path=xl/sharedStrings.xml><?xml version="1.0" encoding="utf-8"?>
<sst xmlns="http://schemas.openxmlformats.org/spreadsheetml/2006/main" count="122" uniqueCount="107">
  <si>
    <t>ezer Ft-ban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</si>
  <si>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</si>
  <si>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</si>
  <si>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</si>
  <si>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</si>
  <si>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</si>
  <si>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</si>
  <si>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</si>
  <si>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</si>
  <si>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</si>
  <si>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</si>
  <si>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</si>
  <si>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</si>
  <si>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</si>
  <si>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</si>
  <si>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</si>
  <si>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</si>
  <si>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</si>
  <si>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</si>
  <si>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</si>
  <si>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</si>
  <si>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</si>
  <si>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</si>
  <si>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</si>
  <si>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</si>
  <si>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</si>
  <si>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</si>
  <si>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</si>
  <si>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</si>
  <si>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</si>
  <si>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</si>
  <si>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</si>
  <si>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</si>
  <si>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</si>
  <si>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</si>
  <si>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</si>
  <si>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</si>
  <si>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</si>
  <si>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</si>
  <si>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</si>
  <si>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</si>
  <si>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</si>
  <si>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</si>
  <si>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</si>
  <si>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</si>
  <si>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</si>
  <si>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</si>
  <si>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</si>
  <si>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</si>
  <si>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</si>
  <si>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</t>
  </si>
  <si>
    <t>Pénz-         maradvány fedezete %</t>
  </si>
  <si>
    <t xml:space="preserve">Állami támogatás </t>
  </si>
  <si>
    <t>Szociális ellátás</t>
  </si>
  <si>
    <t>helyi szerv.int.</t>
  </si>
  <si>
    <t>2012.bérkompenz.</t>
  </si>
  <si>
    <t>Blesz</t>
  </si>
  <si>
    <t>Közter-felügy.</t>
  </si>
  <si>
    <t>Közoktatási feladatok</t>
  </si>
  <si>
    <t>Közterület-haszn.tám.</t>
  </si>
  <si>
    <t>Bölcsőde</t>
  </si>
  <si>
    <t>Eszi</t>
  </si>
  <si>
    <t>Játékkal-mesével</t>
  </si>
  <si>
    <t>Tesz-vesz</t>
  </si>
  <si>
    <t>Bástya</t>
  </si>
  <si>
    <t>Balaton</t>
  </si>
  <si>
    <t>2013.bérkopenz.</t>
  </si>
  <si>
    <t>Támogatásértékű bev.</t>
  </si>
  <si>
    <t>Intézményi</t>
  </si>
  <si>
    <t>Polg.Hiv.</t>
  </si>
  <si>
    <t>2013.bérkomp.</t>
  </si>
  <si>
    <t>segély</t>
  </si>
  <si>
    <t>óvodai bér</t>
  </si>
  <si>
    <t>Polgári védelem</t>
  </si>
  <si>
    <t>Állategészségügyi feladatok</t>
  </si>
  <si>
    <t>Közterület felügyeleti kiadások</t>
  </si>
  <si>
    <t>Parkolási feladatok</t>
  </si>
  <si>
    <t>3 Önálló Közterület-felügyelet összesen</t>
  </si>
  <si>
    <t>Diáksport</t>
  </si>
  <si>
    <t>Önkorm.műk. kapcs. Kiadások</t>
  </si>
  <si>
    <t>Parkolási tevékenység tárgyévi kiadásai</t>
  </si>
  <si>
    <t>Közbiztonsági feladatok</t>
  </si>
  <si>
    <t>2014. Működési költségvetés -  Önként vállalt feladatkörök</t>
  </si>
  <si>
    <t>Feladat-mutató 2014.</t>
  </si>
  <si>
    <t>Kiadási előirányzat 100% 2014.</t>
  </si>
  <si>
    <t>Saját intézményi bevételek 2014.</t>
  </si>
  <si>
    <t>Intézm.         bevételek fedezete % 2014.</t>
  </si>
  <si>
    <t>Állami támogatás fedezete % 2014.</t>
  </si>
  <si>
    <t>Átvett pe.  2014.</t>
  </si>
  <si>
    <t>Átvett pe.       fedezete %  2014.</t>
  </si>
  <si>
    <t>Önkorm.       hozzájárulás 2014.</t>
  </si>
  <si>
    <t>Önkormányzati hozzájárulás fedezete % 2014.</t>
  </si>
  <si>
    <t>2014. Működési költségvetés  -  Kötelezően előírt feladatkörök</t>
  </si>
  <si>
    <t>Kiadási előirányzat 100% 
2014.</t>
  </si>
  <si>
    <t>Saját intézményi bevételek
2014.</t>
  </si>
  <si>
    <t>Intézm. bevételek fedezete %
2014.</t>
  </si>
  <si>
    <t>Átvett pe.
2014.</t>
  </si>
  <si>
    <t>Önkorm. hozzájárulás
2014.</t>
  </si>
  <si>
    <t>Állami támogatás + Tb.finansz.2014.</t>
  </si>
  <si>
    <t>Állami támogatás + Tb. finansz.
2014</t>
  </si>
  <si>
    <t>Oktatási Bizottság kiadásai</t>
  </si>
  <si>
    <t>Kulturális Bizottság kiadásai</t>
  </si>
  <si>
    <t>Egészségügyi és szoc.Biz.kiad.</t>
  </si>
  <si>
    <t>Működési kölcsön nyújtása</t>
  </si>
  <si>
    <t>EP választás</t>
  </si>
  <si>
    <t>Országgyűlési választás</t>
  </si>
  <si>
    <t>Helyi önkorm.ésnemzetiségi választás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</si>
</sst>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9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9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shrinkToFit="1"/>
    </xf>
    <xf numFmtId="3" fontId="8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8" fillId="0" borderId="20" xfId="0" applyFont="1" applyFill="1" applyBorder="1" applyAlignment="1">
      <alignment shrinkToFit="1"/>
    </xf>
    <xf numFmtId="3" fontId="9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11" fillId="0" borderId="19" xfId="0" applyFont="1" applyFill="1" applyBorder="1" applyAlignment="1">
      <alignment shrinkToFit="1"/>
    </xf>
    <xf numFmtId="0" fontId="11" fillId="0" borderId="20" xfId="0" applyFont="1" applyFill="1" applyBorder="1" applyAlignment="1">
      <alignment shrinkToFit="1"/>
    </xf>
    <xf numFmtId="2" fontId="8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3" fontId="9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64" fontId="3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 horizontal="right"/>
    </xf>
    <xf numFmtId="172" fontId="9" fillId="0" borderId="14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172" fontId="8" fillId="0" borderId="20" xfId="0" applyNumberFormat="1" applyFont="1" applyFill="1" applyBorder="1" applyAlignment="1">
      <alignment/>
    </xf>
    <xf numFmtId="172" fontId="9" fillId="0" borderId="24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3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8" fillId="0" borderId="20" xfId="0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2" borderId="14" xfId="0" applyNumberFormat="1" applyFill="1" applyBorder="1" applyAlignment="1">
      <alignment/>
    </xf>
    <xf numFmtId="0" fontId="3" fillId="0" borderId="30" xfId="0" applyFont="1" applyFill="1" applyBorder="1" applyAlignment="1">
      <alignment shrinkToFit="1"/>
    </xf>
    <xf numFmtId="3" fontId="9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" fontId="9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shrinkToFit="1"/>
    </xf>
    <xf numFmtId="0" fontId="11" fillId="0" borderId="23" xfId="0" applyFont="1" applyFill="1" applyBorder="1" applyAlignment="1">
      <alignment shrinkToFit="1"/>
    </xf>
    <xf numFmtId="3" fontId="8" fillId="0" borderId="24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5" xfId="0" applyNumberFormat="1" applyFont="1" applyFill="1" applyBorder="1" applyAlignment="1">
      <alignment/>
    </xf>
    <xf numFmtId="2" fontId="11" fillId="0" borderId="33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2" fontId="11" fillId="0" borderId="3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0" fontId="7" fillId="0" borderId="14" xfId="56" applyFont="1" applyFill="1" applyBorder="1" applyAlignment="1">
      <alignment shrinkToFit="1"/>
      <protection/>
    </xf>
    <xf numFmtId="3" fontId="7" fillId="0" borderId="14" xfId="56" applyNumberFormat="1" applyFont="1" applyFill="1" applyBorder="1">
      <alignment/>
      <protection/>
    </xf>
    <xf numFmtId="4" fontId="1" fillId="0" borderId="14" xfId="56" applyNumberFormat="1" applyFill="1" applyBorder="1">
      <alignment/>
      <protection/>
    </xf>
    <xf numFmtId="3" fontId="7" fillId="0" borderId="14" xfId="56" applyNumberFormat="1" applyFont="1" applyFill="1" applyBorder="1" applyAlignment="1">
      <alignment horizontal="right"/>
      <protection/>
    </xf>
    <xf numFmtId="2" fontId="2" fillId="0" borderId="14" xfId="56" applyNumberFormat="1" applyFont="1" applyFill="1" applyBorder="1" applyAlignment="1">
      <alignment horizontal="right"/>
      <protection/>
    </xf>
    <xf numFmtId="3" fontId="2" fillId="0" borderId="14" xfId="56" applyNumberFormat="1" applyFont="1" applyFill="1" applyBorder="1" applyAlignment="1">
      <alignment horizontal="right"/>
      <protection/>
    </xf>
    <xf numFmtId="2" fontId="2" fillId="0" borderId="11" xfId="56" applyNumberFormat="1" applyFont="1" applyFill="1" applyBorder="1" applyAlignment="1">
      <alignment horizontal="right"/>
      <protection/>
    </xf>
    <xf numFmtId="2" fontId="2" fillId="0" borderId="15" xfId="56" applyNumberFormat="1" applyFont="1" applyFill="1" applyBorder="1">
      <alignment/>
      <protection/>
    </xf>
    <xf numFmtId="164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3" fontId="9" fillId="0" borderId="14" xfId="56" applyNumberFormat="1" applyFont="1" applyFill="1" applyBorder="1">
      <alignment/>
      <protection/>
    </xf>
    <xf numFmtId="3" fontId="9" fillId="0" borderId="14" xfId="56" applyNumberFormat="1" applyFont="1" applyFill="1" applyBorder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4" fontId="9" fillId="0" borderId="14" xfId="56" applyNumberFormat="1" applyFont="1" applyFill="1" applyBorder="1" applyAlignment="1">
      <alignment horizontal="right"/>
      <protection/>
    </xf>
    <xf numFmtId="2" fontId="3" fillId="0" borderId="11" xfId="56" applyNumberFormat="1" applyFont="1" applyFill="1" applyBorder="1" applyAlignment="1">
      <alignment horizontal="right"/>
      <protection/>
    </xf>
    <xf numFmtId="3" fontId="9" fillId="0" borderId="11" xfId="56" applyNumberFormat="1" applyFont="1" applyFill="1" applyBorder="1" applyAlignment="1">
      <alignment horizontal="right"/>
      <protection/>
    </xf>
    <xf numFmtId="3" fontId="3" fillId="0" borderId="11" xfId="56" applyNumberFormat="1" applyFont="1" applyFill="1" applyBorder="1" applyAlignment="1">
      <alignment horizontal="right"/>
      <protection/>
    </xf>
    <xf numFmtId="2" fontId="3" fillId="0" borderId="14" xfId="56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D9" sqref="D9"/>
    </sheetView>
  </sheetViews>
  <sheetFormatPr defaultColWidth="9.00390625" defaultRowHeight="12.75"/>
  <cols>
    <col min="1" max="1" width="25.00390625" style="2" customWidth="1"/>
    <col min="2" max="2" width="6.75390625" style="2" customWidth="1"/>
    <col min="3" max="3" width="10.125" style="2" customWidth="1"/>
    <col min="4" max="4" width="9.75390625" style="2" customWidth="1"/>
    <col min="5" max="5" width="9.625" style="2" customWidth="1"/>
    <col min="6" max="6" width="11.375" style="2" customWidth="1"/>
    <col min="7" max="7" width="10.375" style="2" customWidth="1"/>
    <col min="8" max="8" width="8.625" style="2" customWidth="1"/>
    <col min="9" max="9" width="9.375" style="2" customWidth="1"/>
    <col min="10" max="10" width="9.875" style="2" customWidth="1"/>
    <col min="11" max="11" width="9.75390625" style="2" customWidth="1"/>
    <col min="12" max="12" width="11.75390625" style="2" customWidth="1"/>
    <col min="13" max="13" width="13.375" style="2" customWidth="1"/>
    <col min="14" max="16384" width="9.125" style="2" customWidth="1"/>
  </cols>
  <sheetData>
    <row r="1" spans="1:13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119" t="s">
        <v>33</v>
      </c>
      <c r="M1" s="119"/>
    </row>
    <row r="2" spans="1:13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120" t="s">
        <v>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3.5" thickBot="1">
      <c r="A5" s="84"/>
      <c r="B5" s="84"/>
      <c r="C5" s="84"/>
      <c r="D5" s="84"/>
      <c r="E5" s="65"/>
      <c r="F5" s="64"/>
      <c r="G5" s="65"/>
      <c r="H5" s="64"/>
      <c r="I5" s="65"/>
      <c r="J5" s="65"/>
      <c r="K5" s="65"/>
      <c r="L5" s="66"/>
      <c r="M5" s="70" t="s">
        <v>0</v>
      </c>
    </row>
    <row r="6" spans="1:13" ht="67.5" customHeight="1" thickBot="1">
      <c r="A6" s="53" t="s">
        <v>2</v>
      </c>
      <c r="B6" s="71" t="s">
        <v>83</v>
      </c>
      <c r="C6" s="67" t="s">
        <v>84</v>
      </c>
      <c r="D6" s="67" t="s">
        <v>85</v>
      </c>
      <c r="E6" s="68" t="s">
        <v>86</v>
      </c>
      <c r="F6" s="67" t="s">
        <v>98</v>
      </c>
      <c r="G6" s="68" t="s">
        <v>87</v>
      </c>
      <c r="H6" s="67" t="s">
        <v>88</v>
      </c>
      <c r="I6" s="68" t="s">
        <v>89</v>
      </c>
      <c r="J6" s="68" t="s">
        <v>50</v>
      </c>
      <c r="K6" s="68" t="s">
        <v>51</v>
      </c>
      <c r="L6" s="69" t="s">
        <v>90</v>
      </c>
      <c r="M6" s="73" t="s">
        <v>91</v>
      </c>
    </row>
    <row r="7" spans="1:13" ht="12.75">
      <c r="A7" s="12" t="s">
        <v>21</v>
      </c>
      <c r="B7" s="30"/>
      <c r="C7" s="13">
        <f>75270+16475+3400+24475+49599+3450+6236+2990+6434+13171+315+2975+3810+200+300+21540+14312</f>
        <v>244952</v>
      </c>
      <c r="D7" s="13"/>
      <c r="E7" s="58">
        <f>SUM(D7/C7)*100</f>
        <v>0</v>
      </c>
      <c r="F7" s="14"/>
      <c r="G7" s="15">
        <f aca="true" t="shared" si="0" ref="G7:G25">SUM(F7/C7)*100</f>
        <v>0</v>
      </c>
      <c r="H7" s="14"/>
      <c r="I7" s="15">
        <f>SUM(H7/C7*100)</f>
        <v>0</v>
      </c>
      <c r="J7" s="14">
        <f>38+610</f>
        <v>648</v>
      </c>
      <c r="K7" s="15">
        <f>SUM(J7/C7*100)</f>
        <v>0.26454162448153107</v>
      </c>
      <c r="L7" s="19">
        <f>SUM(C7-D7-F7-H7-J7)</f>
        <v>244304</v>
      </c>
      <c r="M7" s="16">
        <f>SUM(L7/C7)*100</f>
        <v>99.73545837551848</v>
      </c>
    </row>
    <row r="8" spans="1:13" ht="12.75">
      <c r="A8" s="12" t="s">
        <v>22</v>
      </c>
      <c r="B8" s="31"/>
      <c r="C8" s="18">
        <v>2224729</v>
      </c>
      <c r="D8" s="18">
        <f>120702-102548</f>
        <v>18154</v>
      </c>
      <c r="E8" s="59">
        <f>SUM(D8/C8)*100</f>
        <v>0.8160095004829803</v>
      </c>
      <c r="F8" s="19"/>
      <c r="G8" s="20">
        <f t="shared" si="0"/>
        <v>0</v>
      </c>
      <c r="H8" s="19"/>
      <c r="I8" s="20">
        <f>SUM(H8/C8*100)</f>
        <v>0</v>
      </c>
      <c r="J8" s="19">
        <v>77</v>
      </c>
      <c r="K8" s="15">
        <f aca="true" t="shared" si="1" ref="K8:K29">SUM(J8/C8*100)</f>
        <v>0.0034610957109832254</v>
      </c>
      <c r="L8" s="19">
        <f aca="true" t="shared" si="2" ref="L8:L18">SUM(C8-D8-F8-H8-J8)</f>
        <v>2206498</v>
      </c>
      <c r="M8" s="21">
        <f>SUM(L8/C8)*100</f>
        <v>99.18052940380603</v>
      </c>
    </row>
    <row r="9" spans="1:13" ht="12.75">
      <c r="A9" s="12" t="s">
        <v>73</v>
      </c>
      <c r="B9" s="31"/>
      <c r="C9" s="18">
        <v>82</v>
      </c>
      <c r="D9" s="18"/>
      <c r="E9" s="59">
        <f>SUM(D9/C9)*100</f>
        <v>0</v>
      </c>
      <c r="F9" s="19"/>
      <c r="G9" s="20">
        <f t="shared" si="0"/>
        <v>0</v>
      </c>
      <c r="H9" s="19"/>
      <c r="I9" s="20">
        <f>SUM(H9/C9*100)</f>
        <v>0</v>
      </c>
      <c r="J9" s="19"/>
      <c r="K9" s="15">
        <f t="shared" si="1"/>
        <v>0</v>
      </c>
      <c r="L9" s="19">
        <f t="shared" si="2"/>
        <v>82</v>
      </c>
      <c r="M9" s="21">
        <f>SUM(L9/C9)*100</f>
        <v>100</v>
      </c>
    </row>
    <row r="10" spans="1:13" ht="12.75">
      <c r="A10" s="12" t="s">
        <v>74</v>
      </c>
      <c r="B10" s="31"/>
      <c r="C10" s="18">
        <v>328</v>
      </c>
      <c r="D10" s="18"/>
      <c r="E10" s="59">
        <f>SUM(D10/C10)*100</f>
        <v>0</v>
      </c>
      <c r="F10" s="19"/>
      <c r="G10" s="20">
        <f t="shared" si="0"/>
        <v>0</v>
      </c>
      <c r="H10" s="19"/>
      <c r="I10" s="20">
        <f>SUM(H10/C10*100)</f>
        <v>0</v>
      </c>
      <c r="J10" s="19">
        <v>9</v>
      </c>
      <c r="K10" s="15">
        <f t="shared" si="1"/>
        <v>2.7439024390243905</v>
      </c>
      <c r="L10" s="19">
        <f t="shared" si="2"/>
        <v>319</v>
      </c>
      <c r="M10" s="21">
        <f>SUM(L10/C10)*100</f>
        <v>97.2560975609756</v>
      </c>
    </row>
    <row r="11" spans="1:13" ht="13.5" customHeight="1">
      <c r="A11" s="17" t="s">
        <v>79</v>
      </c>
      <c r="B11" s="31"/>
      <c r="C11" s="18">
        <v>419918</v>
      </c>
      <c r="D11" s="18"/>
      <c r="E11" s="59">
        <f aca="true" t="shared" si="3" ref="E11:E19">SUM(D11/C11)*100</f>
        <v>0</v>
      </c>
      <c r="F11" s="19"/>
      <c r="G11" s="20">
        <f t="shared" si="0"/>
        <v>0</v>
      </c>
      <c r="H11" s="19"/>
      <c r="I11" s="20">
        <f aca="true" t="shared" si="4" ref="I11:I19">SUM(H11/C11*100)</f>
        <v>0</v>
      </c>
      <c r="J11" s="19">
        <v>179325</v>
      </c>
      <c r="K11" s="15">
        <f t="shared" si="1"/>
        <v>42.70476616863292</v>
      </c>
      <c r="L11" s="19">
        <f t="shared" si="2"/>
        <v>240593</v>
      </c>
      <c r="M11" s="21">
        <f aca="true" t="shared" si="5" ref="M11:M19">SUM(L11/C11)*100</f>
        <v>57.29523383136708</v>
      </c>
    </row>
    <row r="12" spans="1:13" ht="12.75">
      <c r="A12" s="17" t="s">
        <v>1</v>
      </c>
      <c r="B12" s="31"/>
      <c r="C12" s="18">
        <v>18181</v>
      </c>
      <c r="D12" s="18"/>
      <c r="E12" s="59">
        <f t="shared" si="3"/>
        <v>0</v>
      </c>
      <c r="F12" s="19"/>
      <c r="G12" s="20">
        <f t="shared" si="0"/>
        <v>0</v>
      </c>
      <c r="H12" s="19"/>
      <c r="I12" s="20">
        <f t="shared" si="4"/>
        <v>0</v>
      </c>
      <c r="J12" s="19"/>
      <c r="K12" s="15">
        <f t="shared" si="1"/>
        <v>0</v>
      </c>
      <c r="L12" s="19">
        <f t="shared" si="2"/>
        <v>18181</v>
      </c>
      <c r="M12" s="21">
        <f t="shared" si="5"/>
        <v>100</v>
      </c>
    </row>
    <row r="13" spans="1:13" ht="12.75">
      <c r="A13" s="17" t="s">
        <v>26</v>
      </c>
      <c r="B13" s="31"/>
      <c r="C13" s="18">
        <v>66180</v>
      </c>
      <c r="D13" s="18"/>
      <c r="E13" s="59">
        <f t="shared" si="3"/>
        <v>0</v>
      </c>
      <c r="F13" s="19"/>
      <c r="G13" s="20">
        <f t="shared" si="0"/>
        <v>0</v>
      </c>
      <c r="H13" s="19"/>
      <c r="I13" s="20">
        <f t="shared" si="4"/>
        <v>0</v>
      </c>
      <c r="J13" s="19"/>
      <c r="K13" s="15">
        <f t="shared" si="1"/>
        <v>0</v>
      </c>
      <c r="L13" s="19">
        <f t="shared" si="2"/>
        <v>66180</v>
      </c>
      <c r="M13" s="21">
        <f t="shared" si="5"/>
        <v>100</v>
      </c>
    </row>
    <row r="14" spans="1:13" ht="12.75">
      <c r="A14" s="17" t="s">
        <v>27</v>
      </c>
      <c r="B14" s="31"/>
      <c r="C14" s="18">
        <v>561678</v>
      </c>
      <c r="D14" s="18"/>
      <c r="E14" s="59">
        <f t="shared" si="3"/>
        <v>0</v>
      </c>
      <c r="F14" s="19"/>
      <c r="G14" s="20">
        <f t="shared" si="0"/>
        <v>0</v>
      </c>
      <c r="H14" s="19"/>
      <c r="I14" s="20">
        <f t="shared" si="4"/>
        <v>0</v>
      </c>
      <c r="J14" s="19"/>
      <c r="K14" s="15">
        <f t="shared" si="1"/>
        <v>0</v>
      </c>
      <c r="L14" s="19">
        <f t="shared" si="2"/>
        <v>561678</v>
      </c>
      <c r="M14" s="21">
        <f t="shared" si="5"/>
        <v>100</v>
      </c>
    </row>
    <row r="15" spans="1:13" ht="12.75">
      <c r="A15" s="44" t="s">
        <v>100</v>
      </c>
      <c r="B15" s="45"/>
      <c r="C15" s="46">
        <v>2109</v>
      </c>
      <c r="D15" s="46"/>
      <c r="E15" s="59">
        <f t="shared" si="3"/>
        <v>0</v>
      </c>
      <c r="F15" s="47"/>
      <c r="G15" s="20">
        <f t="shared" si="0"/>
        <v>0</v>
      </c>
      <c r="H15" s="47"/>
      <c r="I15" s="20">
        <f t="shared" si="4"/>
        <v>0</v>
      </c>
      <c r="J15" s="47">
        <f>34+176</f>
        <v>210</v>
      </c>
      <c r="K15" s="15">
        <f t="shared" si="1"/>
        <v>9.95732574679943</v>
      </c>
      <c r="L15" s="19">
        <f t="shared" si="2"/>
        <v>1899</v>
      </c>
      <c r="M15" s="21">
        <f t="shared" si="5"/>
        <v>90.04267425320057</v>
      </c>
    </row>
    <row r="16" spans="1:13" ht="12.75">
      <c r="A16" s="17" t="s">
        <v>101</v>
      </c>
      <c r="B16" s="31"/>
      <c r="C16" s="18">
        <v>6257</v>
      </c>
      <c r="D16" s="18"/>
      <c r="E16" s="59">
        <f t="shared" si="3"/>
        <v>0</v>
      </c>
      <c r="F16" s="19"/>
      <c r="G16" s="20">
        <f t="shared" si="0"/>
        <v>0</v>
      </c>
      <c r="H16" s="19"/>
      <c r="I16" s="20">
        <f t="shared" si="4"/>
        <v>0</v>
      </c>
      <c r="J16" s="19">
        <f>2020+2480</f>
        <v>4500</v>
      </c>
      <c r="K16" s="15">
        <f t="shared" si="1"/>
        <v>71.91945021575835</v>
      </c>
      <c r="L16" s="19">
        <f t="shared" si="2"/>
        <v>1757</v>
      </c>
      <c r="M16" s="21">
        <f t="shared" si="5"/>
        <v>28.080549784241647</v>
      </c>
    </row>
    <row r="17" spans="1:13" ht="12.75">
      <c r="A17" s="44" t="s">
        <v>102</v>
      </c>
      <c r="B17" s="45"/>
      <c r="C17" s="46">
        <v>4930</v>
      </c>
      <c r="D17" s="46"/>
      <c r="E17" s="60">
        <f t="shared" si="3"/>
        <v>0</v>
      </c>
      <c r="F17" s="47"/>
      <c r="G17" s="26">
        <f t="shared" si="0"/>
        <v>0</v>
      </c>
      <c r="H17" s="47"/>
      <c r="I17" s="26">
        <f t="shared" si="4"/>
        <v>0</v>
      </c>
      <c r="J17" s="47">
        <v>1764</v>
      </c>
      <c r="K17" s="48">
        <f t="shared" si="1"/>
        <v>35.78093306288033</v>
      </c>
      <c r="L17" s="25">
        <f t="shared" si="2"/>
        <v>3166</v>
      </c>
      <c r="M17" s="27">
        <f t="shared" si="5"/>
        <v>64.21906693711968</v>
      </c>
    </row>
    <row r="18" spans="1:13" ht="13.5" thickBot="1">
      <c r="A18" s="54" t="s">
        <v>103</v>
      </c>
      <c r="B18" s="86"/>
      <c r="C18" s="33">
        <v>1741</v>
      </c>
      <c r="D18" s="33"/>
      <c r="E18" s="60">
        <f t="shared" si="3"/>
        <v>0</v>
      </c>
      <c r="F18" s="34"/>
      <c r="G18" s="26">
        <f t="shared" si="0"/>
        <v>0</v>
      </c>
      <c r="H18" s="34"/>
      <c r="I18" s="26">
        <f t="shared" si="4"/>
        <v>0</v>
      </c>
      <c r="J18" s="34"/>
      <c r="K18" s="55">
        <f t="shared" si="1"/>
        <v>0</v>
      </c>
      <c r="L18" s="25">
        <f t="shared" si="2"/>
        <v>1741</v>
      </c>
      <c r="M18" s="27">
        <f t="shared" si="5"/>
        <v>100</v>
      </c>
    </row>
    <row r="19" spans="1:13" s="43" customFormat="1" ht="13.5" thickBot="1">
      <c r="A19" s="37" t="s">
        <v>41</v>
      </c>
      <c r="B19" s="38"/>
      <c r="C19" s="29">
        <f>SUM(C7:C18)</f>
        <v>3551085</v>
      </c>
      <c r="D19" s="29">
        <f>SUM(D7:D18)</f>
        <v>18154</v>
      </c>
      <c r="E19" s="74">
        <f t="shared" si="3"/>
        <v>0.5112240343444328</v>
      </c>
      <c r="F19" s="29">
        <f>SUM(F7:F14)</f>
        <v>0</v>
      </c>
      <c r="G19" s="75">
        <f>SUM(F19/C19*100)</f>
        <v>0</v>
      </c>
      <c r="H19" s="29">
        <f>SUM(H7:H14)</f>
        <v>0</v>
      </c>
      <c r="I19" s="39">
        <f t="shared" si="4"/>
        <v>0</v>
      </c>
      <c r="J19" s="29">
        <f>SUM(J7:J18)</f>
        <v>186533</v>
      </c>
      <c r="K19" s="39">
        <f t="shared" si="1"/>
        <v>5.252845257153799</v>
      </c>
      <c r="L19" s="29">
        <f>SUM(L7:L18)</f>
        <v>3346398</v>
      </c>
      <c r="M19" s="57">
        <f t="shared" si="5"/>
        <v>94.23593070850177</v>
      </c>
    </row>
    <row r="20" spans="1:13" ht="12.75">
      <c r="A20" s="36" t="s">
        <v>23</v>
      </c>
      <c r="B20" s="98">
        <v>864</v>
      </c>
      <c r="C20" s="99">
        <v>80708</v>
      </c>
      <c r="D20" s="99">
        <v>12358</v>
      </c>
      <c r="E20" s="100">
        <v>15.311988898250483</v>
      </c>
      <c r="F20" s="101">
        <v>61191</v>
      </c>
      <c r="G20" s="102">
        <f t="shared" si="0"/>
        <v>75.81776279922684</v>
      </c>
      <c r="H20" s="101"/>
      <c r="I20" s="102">
        <v>0</v>
      </c>
      <c r="J20" s="103">
        <v>791</v>
      </c>
      <c r="K20" s="104">
        <v>24.504337050805454</v>
      </c>
      <c r="L20" s="103">
        <f>SUM(C20-D20-F20-J20)</f>
        <v>6368</v>
      </c>
      <c r="M20" s="105">
        <v>3.9996035089458295</v>
      </c>
    </row>
    <row r="21" spans="1:13" ht="12.75">
      <c r="A21" s="22" t="s">
        <v>35</v>
      </c>
      <c r="B21" s="98">
        <v>226783</v>
      </c>
      <c r="C21" s="99">
        <v>614198</v>
      </c>
      <c r="D21" s="99">
        <v>42909</v>
      </c>
      <c r="E21" s="100">
        <v>6.986183608543173</v>
      </c>
      <c r="F21" s="101">
        <v>485984</v>
      </c>
      <c r="G21" s="102">
        <f t="shared" si="0"/>
        <v>79.12497272866405</v>
      </c>
      <c r="H21" s="101">
        <v>40</v>
      </c>
      <c r="I21" s="102">
        <v>0.006512557839654313</v>
      </c>
      <c r="J21" s="103">
        <v>59319</v>
      </c>
      <c r="K21" s="104">
        <v>30.110250449224896</v>
      </c>
      <c r="L21" s="103">
        <f>SUM(C21-D21-F21-J21-H21)</f>
        <v>25946</v>
      </c>
      <c r="M21" s="105">
        <v>32.07532424397344</v>
      </c>
    </row>
    <row r="22" spans="1:13" ht="12.75">
      <c r="A22" s="22" t="s">
        <v>24</v>
      </c>
      <c r="B22" s="98">
        <v>28059</v>
      </c>
      <c r="C22" s="99">
        <v>143100</v>
      </c>
      <c r="D22" s="99">
        <v>10776</v>
      </c>
      <c r="E22" s="100">
        <v>7.530398322851154</v>
      </c>
      <c r="F22" s="101">
        <v>53453</v>
      </c>
      <c r="G22" s="102">
        <f t="shared" si="0"/>
        <v>37.353598881900766</v>
      </c>
      <c r="H22" s="101"/>
      <c r="I22" s="102">
        <v>0</v>
      </c>
      <c r="J22" s="103">
        <v>5397</v>
      </c>
      <c r="K22" s="104">
        <v>19.963010911781023</v>
      </c>
      <c r="L22" s="103">
        <f>SUM(C22-D22-F22-J22)</f>
        <v>73474</v>
      </c>
      <c r="M22" s="105">
        <v>18.89238294898672</v>
      </c>
    </row>
    <row r="23" spans="1:13" ht="12.75">
      <c r="A23" s="22" t="s">
        <v>25</v>
      </c>
      <c r="B23" s="98">
        <v>32097</v>
      </c>
      <c r="C23" s="99">
        <v>40591</v>
      </c>
      <c r="D23" s="99">
        <v>11792</v>
      </c>
      <c r="E23" s="100">
        <v>29.050774802296075</v>
      </c>
      <c r="F23" s="101">
        <v>58388</v>
      </c>
      <c r="G23" s="102">
        <f t="shared" si="0"/>
        <v>143.84469463674213</v>
      </c>
      <c r="H23" s="101"/>
      <c r="I23" s="102">
        <v>0</v>
      </c>
      <c r="J23" s="103">
        <v>0</v>
      </c>
      <c r="K23" s="104">
        <v>0</v>
      </c>
      <c r="L23" s="103">
        <f>SUM(C23-D23-F23-J23)</f>
        <v>-29589</v>
      </c>
      <c r="M23" s="105">
        <v>-28.215614298736174</v>
      </c>
    </row>
    <row r="24" spans="1:13" ht="12.75">
      <c r="A24" s="22" t="s">
        <v>36</v>
      </c>
      <c r="B24" s="98">
        <v>6035</v>
      </c>
      <c r="C24" s="99">
        <v>11746</v>
      </c>
      <c r="D24" s="99">
        <v>47282</v>
      </c>
      <c r="E24" s="100">
        <v>402.5370338838754</v>
      </c>
      <c r="F24" s="101"/>
      <c r="G24" s="102">
        <f t="shared" si="0"/>
        <v>0</v>
      </c>
      <c r="H24" s="101"/>
      <c r="I24" s="102">
        <v>0</v>
      </c>
      <c r="J24" s="103">
        <v>786</v>
      </c>
      <c r="K24" s="104">
        <v>-14.187725631768952</v>
      </c>
      <c r="L24" s="103">
        <f>SUM(C24-D24-F24-J24)</f>
        <v>-36322</v>
      </c>
      <c r="M24" s="105">
        <v>-47.16499233781713</v>
      </c>
    </row>
    <row r="25" spans="1:13" ht="13.5" thickBot="1">
      <c r="A25" s="35" t="s">
        <v>37</v>
      </c>
      <c r="B25" s="98">
        <v>1181</v>
      </c>
      <c r="C25" s="99">
        <v>67171</v>
      </c>
      <c r="D25" s="99">
        <v>704</v>
      </c>
      <c r="E25" s="100">
        <v>1.0480713403105506</v>
      </c>
      <c r="F25" s="101">
        <v>4057</v>
      </c>
      <c r="G25" s="102">
        <f t="shared" si="0"/>
        <v>6.039808846079409</v>
      </c>
      <c r="H25" s="101"/>
      <c r="I25" s="102">
        <v>0</v>
      </c>
      <c r="J25" s="103">
        <v>4367</v>
      </c>
      <c r="K25" s="104">
        <v>5.221435745372806</v>
      </c>
      <c r="L25" s="103">
        <f>SUM(C25-D25-F25-J25)</f>
        <v>58043</v>
      </c>
      <c r="M25" s="105">
        <v>124.51206621905287</v>
      </c>
    </row>
    <row r="26" spans="1:13" s="43" customFormat="1" ht="13.5" thickBot="1">
      <c r="A26" s="28" t="s">
        <v>45</v>
      </c>
      <c r="B26" s="32"/>
      <c r="C26" s="29">
        <f>SUM(C20:C25)</f>
        <v>957514</v>
      </c>
      <c r="D26" s="29">
        <f aca="true" t="shared" si="6" ref="D26:L26">SUM(D20:D25)</f>
        <v>125821</v>
      </c>
      <c r="E26" s="61">
        <f>SUM(D26/C26)*100</f>
        <v>13.14038228161677</v>
      </c>
      <c r="F26" s="29">
        <f t="shared" si="6"/>
        <v>663073</v>
      </c>
      <c r="G26" s="39">
        <f>SUM(F26/C26)*100</f>
        <v>69.2494313399073</v>
      </c>
      <c r="H26" s="29">
        <f t="shared" si="6"/>
        <v>40</v>
      </c>
      <c r="I26" s="39">
        <f t="shared" si="6"/>
        <v>0.006512557839654313</v>
      </c>
      <c r="J26" s="29">
        <f>SUM(J20:J25)</f>
        <v>70660</v>
      </c>
      <c r="K26" s="39">
        <f t="shared" si="1"/>
        <v>7.379526565669013</v>
      </c>
      <c r="L26" s="29">
        <f t="shared" si="6"/>
        <v>97920</v>
      </c>
      <c r="M26" s="57">
        <f>SUM(L26/C26)*100</f>
        <v>10.226482328195724</v>
      </c>
    </row>
    <row r="27" spans="1:14" ht="13.5" thickBot="1">
      <c r="A27" s="44" t="s">
        <v>38</v>
      </c>
      <c r="B27" s="45"/>
      <c r="C27" s="46">
        <v>275976</v>
      </c>
      <c r="D27" s="46"/>
      <c r="E27" s="62">
        <f>SUM(D27/C27)*100</f>
        <v>0</v>
      </c>
      <c r="F27" s="47"/>
      <c r="G27" s="48">
        <f>SUM(F27/C27)*100</f>
        <v>0</v>
      </c>
      <c r="H27" s="47">
        <v>1151</v>
      </c>
      <c r="I27" s="48">
        <f>SUM(H27/C27*100)</f>
        <v>0.41706525205090295</v>
      </c>
      <c r="J27" s="47">
        <v>89997</v>
      </c>
      <c r="K27" s="48">
        <f t="shared" si="1"/>
        <v>32.61044438646839</v>
      </c>
      <c r="L27" s="47">
        <f>SUM(C27-D27-F27-H27-J27)</f>
        <v>184828</v>
      </c>
      <c r="M27" s="49">
        <f>SUM(L27/C27)*100</f>
        <v>66.97249036148071</v>
      </c>
      <c r="N27" s="4"/>
    </row>
    <row r="28" spans="1:14" s="43" customFormat="1" ht="13.5" thickBot="1">
      <c r="A28" s="37" t="s">
        <v>42</v>
      </c>
      <c r="B28" s="38"/>
      <c r="C28" s="29">
        <f>SUM(C27)</f>
        <v>275976</v>
      </c>
      <c r="D28" s="29">
        <f aca="true" t="shared" si="7" ref="D28:M28">SUM(D27)</f>
        <v>0</v>
      </c>
      <c r="E28" s="61">
        <f>SUM(D28/C28)*100</f>
        <v>0</v>
      </c>
      <c r="F28" s="29">
        <f t="shared" si="7"/>
        <v>0</v>
      </c>
      <c r="G28" s="39">
        <f>SUM(F28/C28)*100</f>
        <v>0</v>
      </c>
      <c r="H28" s="29">
        <f t="shared" si="7"/>
        <v>1151</v>
      </c>
      <c r="I28" s="39">
        <f t="shared" si="7"/>
        <v>0.41706525205090295</v>
      </c>
      <c r="J28" s="29">
        <f>SUM(J27)</f>
        <v>89997</v>
      </c>
      <c r="K28" s="39">
        <f t="shared" si="1"/>
        <v>32.61044438646839</v>
      </c>
      <c r="L28" s="29">
        <f t="shared" si="7"/>
        <v>184828</v>
      </c>
      <c r="M28" s="57">
        <f t="shared" si="7"/>
        <v>66.97249036148071</v>
      </c>
      <c r="N28" s="50"/>
    </row>
    <row r="29" spans="1:13" s="43" customFormat="1" ht="13.5" thickBot="1">
      <c r="A29" s="28" t="s">
        <v>20</v>
      </c>
      <c r="B29" s="32"/>
      <c r="C29" s="29">
        <f>SUM(C28,C26,C19)</f>
        <v>4784575</v>
      </c>
      <c r="D29" s="29">
        <f>SUM(D28,D26,D19)</f>
        <v>143975</v>
      </c>
      <c r="E29" s="61">
        <f>SUM(D29/C29)*100</f>
        <v>3.009149192979523</v>
      </c>
      <c r="F29" s="29">
        <f>SUM(F28,F26,F19)</f>
        <v>663073</v>
      </c>
      <c r="G29" s="39">
        <f>SUM(F29/C29)*100</f>
        <v>13.858555880093842</v>
      </c>
      <c r="H29" s="29">
        <f>SUM(H28,H26,H19)</f>
        <v>1191</v>
      </c>
      <c r="I29" s="39">
        <f>SUM(H29/C29*100)</f>
        <v>0.024892493063647242</v>
      </c>
      <c r="J29" s="29">
        <f>SUM(J28,J26,J19)</f>
        <v>347190</v>
      </c>
      <c r="K29" s="39">
        <f t="shared" si="1"/>
        <v>7.256443884775554</v>
      </c>
      <c r="L29" s="29">
        <f>SUM(L28,L26,L19)</f>
        <v>3629146</v>
      </c>
      <c r="M29" s="57">
        <f>SUM(L29/C29)*100</f>
        <v>75.85095854908744</v>
      </c>
    </row>
    <row r="30" spans="4:12" ht="12.75">
      <c r="D30" s="5"/>
      <c r="E30" s="3"/>
      <c r="F30" s="4"/>
      <c r="G30" s="3"/>
      <c r="H30" s="4"/>
      <c r="I30" s="3"/>
      <c r="J30" s="3"/>
      <c r="K30" s="3"/>
      <c r="L30" s="5"/>
    </row>
    <row r="31" spans="3:8" ht="12.75">
      <c r="C31" s="4"/>
      <c r="H31" s="52"/>
    </row>
    <row r="32" spans="3:8" ht="12.75">
      <c r="C32" s="4"/>
      <c r="H32" s="52"/>
    </row>
    <row r="33" ht="12.75">
      <c r="C33" s="4"/>
    </row>
    <row r="34" ht="12.75">
      <c r="C34" s="4"/>
    </row>
    <row r="35" ht="12.75">
      <c r="C35" s="4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B16">
      <selection activeCell="B48" sqref="A48:IV61"/>
    </sheetView>
  </sheetViews>
  <sheetFormatPr defaultColWidth="9.00390625" defaultRowHeight="12.75"/>
  <cols>
    <col min="1" max="1" width="1.12109375" style="6" hidden="1" customWidth="1"/>
    <col min="2" max="2" width="33.25390625" style="6" customWidth="1"/>
    <col min="3" max="3" width="8.875" style="6" customWidth="1"/>
    <col min="4" max="4" width="9.875" style="6" customWidth="1"/>
    <col min="5" max="5" width="9.375" style="7" bestFit="1" customWidth="1"/>
    <col min="6" max="6" width="9.75390625" style="11" customWidth="1"/>
    <col min="7" max="7" width="10.875" style="7" customWidth="1"/>
    <col min="8" max="8" width="9.75390625" style="8" customWidth="1"/>
    <col min="9" max="9" width="9.375" style="9" customWidth="1"/>
    <col min="10" max="10" width="8.375" style="95" customWidth="1"/>
    <col min="11" max="11" width="9.75390625" style="9" customWidth="1"/>
    <col min="12" max="12" width="10.00390625" style="95" customWidth="1"/>
    <col min="13" max="13" width="11.125" style="10" customWidth="1"/>
    <col min="14" max="14" width="13.00390625" style="11" customWidth="1"/>
    <col min="15" max="15" width="9.00390625" style="6" customWidth="1"/>
    <col min="16" max="16384" width="9.125" style="6" customWidth="1"/>
  </cols>
  <sheetData>
    <row r="1" spans="13:14" ht="12" customHeight="1">
      <c r="M1" s="122" t="s">
        <v>32</v>
      </c>
      <c r="N1" s="122"/>
    </row>
    <row r="2" spans="2:14" ht="12" customHeight="1">
      <c r="B2" s="121" t="s">
        <v>92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3:14" ht="12" customHeight="1" thickBot="1">
      <c r="M3" s="106"/>
      <c r="N3" s="96" t="s">
        <v>0</v>
      </c>
    </row>
    <row r="4" spans="2:14" s="107" customFormat="1" ht="51.75" customHeight="1" thickBot="1">
      <c r="B4" s="53" t="s">
        <v>2</v>
      </c>
      <c r="C4" s="71" t="s">
        <v>3</v>
      </c>
      <c r="D4" s="67" t="s">
        <v>93</v>
      </c>
      <c r="E4" s="67" t="s">
        <v>94</v>
      </c>
      <c r="F4" s="68" t="s">
        <v>95</v>
      </c>
      <c r="G4" s="67" t="s">
        <v>99</v>
      </c>
      <c r="H4" s="72" t="s">
        <v>87</v>
      </c>
      <c r="I4" s="69" t="s">
        <v>96</v>
      </c>
      <c r="J4" s="68" t="s">
        <v>89</v>
      </c>
      <c r="K4" s="68" t="s">
        <v>50</v>
      </c>
      <c r="L4" s="68" t="s">
        <v>51</v>
      </c>
      <c r="M4" s="69" t="s">
        <v>97</v>
      </c>
      <c r="N4" s="73" t="s">
        <v>91</v>
      </c>
    </row>
    <row r="5" spans="2:14" ht="12" customHeight="1">
      <c r="B5" s="17" t="s">
        <v>39</v>
      </c>
      <c r="C5" s="18"/>
      <c r="D5" s="18">
        <v>50025</v>
      </c>
      <c r="E5" s="19"/>
      <c r="F5" s="20">
        <f>SUM(E5/D5)*100</f>
        <v>0</v>
      </c>
      <c r="G5" s="19"/>
      <c r="H5" s="15">
        <f>SUM(G5/D5)*100</f>
        <v>0</v>
      </c>
      <c r="I5" s="19"/>
      <c r="J5" s="15">
        <f aca="true" t="shared" si="0" ref="J5:J21">SUM(I5/D5)*100</f>
        <v>0</v>
      </c>
      <c r="K5" s="14">
        <v>50</v>
      </c>
      <c r="L5" s="15">
        <f aca="true" t="shared" si="1" ref="L5:L16">SUM(K5/D5)*100</f>
        <v>0.09995002498750624</v>
      </c>
      <c r="M5" s="14">
        <f aca="true" t="shared" si="2" ref="M5:M14">SUM(D5-E5-G5-I5-K5)</f>
        <v>49975</v>
      </c>
      <c r="N5" s="21">
        <f>SUM(M5/D5)*100</f>
        <v>99.9000499750125</v>
      </c>
    </row>
    <row r="6" spans="2:14" ht="12" customHeight="1">
      <c r="B6" s="17" t="s">
        <v>5</v>
      </c>
      <c r="C6" s="18"/>
      <c r="D6" s="18">
        <v>80317</v>
      </c>
      <c r="E6" s="19"/>
      <c r="F6" s="20">
        <f>SUM(E6/D6)*100</f>
        <v>0</v>
      </c>
      <c r="G6" s="19">
        <f>18557+9922+6817-31+16012+642+736</f>
        <v>52655</v>
      </c>
      <c r="H6" s="15">
        <f>SUM(G6/D6)*100</f>
        <v>65.55897257118667</v>
      </c>
      <c r="I6" s="19">
        <v>502</v>
      </c>
      <c r="J6" s="15">
        <f t="shared" si="0"/>
        <v>0.6250233449954555</v>
      </c>
      <c r="K6" s="14"/>
      <c r="L6" s="15">
        <f t="shared" si="1"/>
        <v>0</v>
      </c>
      <c r="M6" s="14">
        <f t="shared" si="2"/>
        <v>27160</v>
      </c>
      <c r="N6" s="21">
        <f>SUM(M6/D6)*100</f>
        <v>33.81600408381787</v>
      </c>
    </row>
    <row r="7" spans="2:14" ht="12" customHeight="1">
      <c r="B7" s="17" t="s">
        <v>6</v>
      </c>
      <c r="C7" s="18"/>
      <c r="D7" s="18">
        <v>206982</v>
      </c>
      <c r="E7" s="19"/>
      <c r="F7" s="20">
        <f>SUM(E7/D7)*100</f>
        <v>0</v>
      </c>
      <c r="G7" s="19">
        <v>10520</v>
      </c>
      <c r="H7" s="15">
        <f>SUM(G7/D7)*100</f>
        <v>5.0825675662618</v>
      </c>
      <c r="I7" s="19"/>
      <c r="J7" s="15">
        <f t="shared" si="0"/>
        <v>0</v>
      </c>
      <c r="K7" s="14"/>
      <c r="L7" s="15">
        <f t="shared" si="1"/>
        <v>0</v>
      </c>
      <c r="M7" s="14">
        <f t="shared" si="2"/>
        <v>196462</v>
      </c>
      <c r="N7" s="21">
        <f>SUM(M7/D7)*100</f>
        <v>94.9174324337382</v>
      </c>
    </row>
    <row r="8" spans="2:14" ht="12" customHeight="1">
      <c r="B8" s="17" t="s">
        <v>16</v>
      </c>
      <c r="C8" s="18"/>
      <c r="D8" s="18">
        <v>149996</v>
      </c>
      <c r="E8" s="19"/>
      <c r="F8" s="20">
        <f aca="true" t="shared" si="3" ref="F8:F16">SUM(E8/D8)*100</f>
        <v>0</v>
      </c>
      <c r="G8" s="19"/>
      <c r="H8" s="20">
        <f aca="true" t="shared" si="4" ref="H8:H21">SUM(G8/D8)*100</f>
        <v>0</v>
      </c>
      <c r="I8" s="19"/>
      <c r="J8" s="15">
        <f t="shared" si="0"/>
        <v>0</v>
      </c>
      <c r="K8" s="14">
        <v>2</v>
      </c>
      <c r="L8" s="15">
        <f t="shared" si="1"/>
        <v>0.0013333688898370622</v>
      </c>
      <c r="M8" s="14">
        <f t="shared" si="2"/>
        <v>149994</v>
      </c>
      <c r="N8" s="21">
        <f aca="true" t="shared" si="5" ref="N8:N16">SUM(M8/D8)*100</f>
        <v>99.99866663111017</v>
      </c>
    </row>
    <row r="9" spans="2:14" ht="12" customHeight="1">
      <c r="B9" s="17" t="s">
        <v>17</v>
      </c>
      <c r="C9" s="18"/>
      <c r="D9" s="18">
        <v>561224</v>
      </c>
      <c r="E9" s="19"/>
      <c r="F9" s="20">
        <f t="shared" si="3"/>
        <v>0</v>
      </c>
      <c r="G9" s="19"/>
      <c r="H9" s="20">
        <f t="shared" si="4"/>
        <v>0</v>
      </c>
      <c r="I9" s="19">
        <f>119139+1073</f>
        <v>120212</v>
      </c>
      <c r="J9" s="15">
        <f t="shared" si="0"/>
        <v>21.419611420751785</v>
      </c>
      <c r="K9" s="14"/>
      <c r="L9" s="15">
        <f t="shared" si="1"/>
        <v>0</v>
      </c>
      <c r="M9" s="14">
        <f t="shared" si="2"/>
        <v>441012</v>
      </c>
      <c r="N9" s="21">
        <f t="shared" si="5"/>
        <v>78.58038857924822</v>
      </c>
    </row>
    <row r="10" spans="2:14" ht="12" customHeight="1">
      <c r="B10" s="17" t="s">
        <v>18</v>
      </c>
      <c r="C10" s="18"/>
      <c r="D10" s="18">
        <v>413492</v>
      </c>
      <c r="E10" s="19"/>
      <c r="F10" s="20">
        <f t="shared" si="3"/>
        <v>0</v>
      </c>
      <c r="G10" s="19"/>
      <c r="H10" s="20">
        <f t="shared" si="4"/>
        <v>0</v>
      </c>
      <c r="I10" s="19"/>
      <c r="J10" s="15">
        <f t="shared" si="0"/>
        <v>0</v>
      </c>
      <c r="K10" s="14"/>
      <c r="L10" s="15">
        <f t="shared" si="1"/>
        <v>0</v>
      </c>
      <c r="M10" s="14">
        <f t="shared" si="2"/>
        <v>413492</v>
      </c>
      <c r="N10" s="21">
        <f t="shared" si="5"/>
        <v>100</v>
      </c>
    </row>
    <row r="11" spans="2:14" ht="12" customHeight="1">
      <c r="B11" s="17" t="s">
        <v>19</v>
      </c>
      <c r="C11" s="18"/>
      <c r="D11" s="18">
        <v>1465810</v>
      </c>
      <c r="E11" s="19">
        <v>1850636</v>
      </c>
      <c r="F11" s="20">
        <f t="shared" si="3"/>
        <v>126.25347077724945</v>
      </c>
      <c r="G11" s="19"/>
      <c r="H11" s="20">
        <f t="shared" si="4"/>
        <v>0</v>
      </c>
      <c r="I11" s="19"/>
      <c r="J11" s="15">
        <f t="shared" si="0"/>
        <v>0</v>
      </c>
      <c r="K11" s="14">
        <v>91237</v>
      </c>
      <c r="L11" s="15">
        <f t="shared" si="1"/>
        <v>6.2243401259371955</v>
      </c>
      <c r="M11" s="14">
        <f t="shared" si="2"/>
        <v>-476063</v>
      </c>
      <c r="N11" s="21">
        <f t="shared" si="5"/>
        <v>-32.47781090318663</v>
      </c>
    </row>
    <row r="12" spans="2:14" ht="12" customHeight="1">
      <c r="B12" s="23" t="s">
        <v>78</v>
      </c>
      <c r="C12" s="24"/>
      <c r="D12" s="24">
        <v>2255</v>
      </c>
      <c r="E12" s="25"/>
      <c r="F12" s="26">
        <f t="shared" si="3"/>
        <v>0</v>
      </c>
      <c r="G12" s="25"/>
      <c r="H12" s="26">
        <f t="shared" si="4"/>
        <v>0</v>
      </c>
      <c r="I12" s="25"/>
      <c r="J12" s="15">
        <f t="shared" si="0"/>
        <v>0</v>
      </c>
      <c r="K12" s="19"/>
      <c r="L12" s="15">
        <f t="shared" si="1"/>
        <v>0</v>
      </c>
      <c r="M12" s="14">
        <f t="shared" si="2"/>
        <v>2255</v>
      </c>
      <c r="N12" s="27">
        <f t="shared" si="5"/>
        <v>100</v>
      </c>
    </row>
    <row r="13" spans="2:14" ht="12" customHeight="1">
      <c r="B13" s="23" t="s">
        <v>81</v>
      </c>
      <c r="C13" s="24"/>
      <c r="D13" s="24">
        <f>28105+112500</f>
        <v>140605</v>
      </c>
      <c r="E13" s="25"/>
      <c r="F13" s="26">
        <f t="shared" si="3"/>
        <v>0</v>
      </c>
      <c r="G13" s="25"/>
      <c r="H13" s="26">
        <f t="shared" si="4"/>
        <v>0</v>
      </c>
      <c r="I13" s="25"/>
      <c r="J13" s="15">
        <f t="shared" si="0"/>
        <v>0</v>
      </c>
      <c r="K13" s="19">
        <v>32</v>
      </c>
      <c r="L13" s="15">
        <f t="shared" si="1"/>
        <v>0.022758792361580314</v>
      </c>
      <c r="M13" s="14">
        <f t="shared" si="2"/>
        <v>140573</v>
      </c>
      <c r="N13" s="27">
        <f t="shared" si="5"/>
        <v>99.97724120763843</v>
      </c>
    </row>
    <row r="14" spans="2:14" ht="12" customHeight="1">
      <c r="B14" s="23" t="s">
        <v>80</v>
      </c>
      <c r="C14" s="24"/>
      <c r="D14" s="24">
        <f>950929+284105</f>
        <v>1235034</v>
      </c>
      <c r="E14" s="25">
        <v>3003109</v>
      </c>
      <c r="F14" s="26">
        <f t="shared" si="3"/>
        <v>243.1600263636467</v>
      </c>
      <c r="G14" s="25"/>
      <c r="H14" s="26">
        <f t="shared" si="4"/>
        <v>0</v>
      </c>
      <c r="I14" s="25"/>
      <c r="J14" s="15">
        <f t="shared" si="0"/>
        <v>0</v>
      </c>
      <c r="K14" s="47">
        <v>453</v>
      </c>
      <c r="L14" s="15">
        <f t="shared" si="1"/>
        <v>0.036679152152896195</v>
      </c>
      <c r="M14" s="14">
        <f t="shared" si="2"/>
        <v>-1768528</v>
      </c>
      <c r="N14" s="27">
        <f t="shared" si="5"/>
        <v>-143.19670551579958</v>
      </c>
    </row>
    <row r="15" spans="2:14" ht="12" customHeight="1" thickBot="1">
      <c r="B15" s="23" t="s">
        <v>31</v>
      </c>
      <c r="C15" s="24"/>
      <c r="D15" s="24">
        <v>440332</v>
      </c>
      <c r="E15" s="25">
        <v>51650</v>
      </c>
      <c r="F15" s="26">
        <f>SUM(E15/D15)*100</f>
        <v>11.729785707148242</v>
      </c>
      <c r="G15" s="25">
        <f>47638+1250+46+2095-1073+12324</f>
        <v>62280</v>
      </c>
      <c r="H15" s="26">
        <f>SUM(G15/D15)*100</f>
        <v>14.143873259268005</v>
      </c>
      <c r="I15" s="25"/>
      <c r="J15" s="48">
        <f>SUM(I15/D15)*100</f>
        <v>0</v>
      </c>
      <c r="K15" s="25"/>
      <c r="L15" s="48">
        <f>SUM(K15/D15)*100</f>
        <v>0</v>
      </c>
      <c r="M15" s="47">
        <f>SUM(D15-E15-G15-I15-K15)</f>
        <v>326402</v>
      </c>
      <c r="N15" s="27">
        <f>SUM(M15/D15)*100</f>
        <v>74.12634103358376</v>
      </c>
    </row>
    <row r="16" spans="2:14" s="108" customFormat="1" ht="12" customHeight="1" thickBot="1">
      <c r="B16" s="37" t="s">
        <v>41</v>
      </c>
      <c r="C16" s="29"/>
      <c r="D16" s="29">
        <f>SUM(D5:D15)</f>
        <v>4746072</v>
      </c>
      <c r="E16" s="29">
        <f>SUM(E5:E15)</f>
        <v>4905395</v>
      </c>
      <c r="F16" s="75">
        <f t="shared" si="3"/>
        <v>103.35694443742109</v>
      </c>
      <c r="G16" s="29">
        <f>SUM(G5:G15)</f>
        <v>125455</v>
      </c>
      <c r="H16" s="39">
        <f t="shared" si="4"/>
        <v>2.643343800936859</v>
      </c>
      <c r="I16" s="29">
        <f>SUM(I5:I15)</f>
        <v>120714</v>
      </c>
      <c r="J16" s="39">
        <f t="shared" si="0"/>
        <v>2.5434506682578775</v>
      </c>
      <c r="K16" s="29">
        <f>SUM(K5:K15)</f>
        <v>91774</v>
      </c>
      <c r="L16" s="39">
        <f t="shared" si="1"/>
        <v>1.9336832648135132</v>
      </c>
      <c r="M16" s="29">
        <f>SUM(M5:M15)</f>
        <v>-497266</v>
      </c>
      <c r="N16" s="57">
        <f t="shared" si="5"/>
        <v>-10.477422171429343</v>
      </c>
    </row>
    <row r="17" spans="2:14" s="117" customFormat="1" ht="12" customHeight="1">
      <c r="B17" s="22" t="s">
        <v>15</v>
      </c>
      <c r="C17" s="109">
        <v>25188</v>
      </c>
      <c r="D17" s="109">
        <v>70537</v>
      </c>
      <c r="E17" s="110">
        <v>3844</v>
      </c>
      <c r="F17" s="111">
        <v>5.449622184101961</v>
      </c>
      <c r="G17" s="110">
        <v>19036</v>
      </c>
      <c r="H17" s="112">
        <f t="shared" si="4"/>
        <v>26.987254915859758</v>
      </c>
      <c r="I17" s="110"/>
      <c r="J17" s="113">
        <f t="shared" si="0"/>
        <v>0</v>
      </c>
      <c r="K17" s="114">
        <v>573</v>
      </c>
      <c r="L17" s="113">
        <v>2.12797563783563</v>
      </c>
      <c r="M17" s="115">
        <f>SUM(D17-E17-G17-K17)</f>
        <v>47084</v>
      </c>
      <c r="N17" s="116">
        <v>38.17429150658519</v>
      </c>
    </row>
    <row r="18" spans="2:14" s="117" customFormat="1" ht="12" customHeight="1">
      <c r="B18" s="22" t="s">
        <v>28</v>
      </c>
      <c r="C18" s="109">
        <v>6891</v>
      </c>
      <c r="D18" s="109">
        <v>45245</v>
      </c>
      <c r="E18" s="110">
        <v>341</v>
      </c>
      <c r="F18" s="111">
        <v>0.7536744391645486</v>
      </c>
      <c r="G18" s="110">
        <v>21347</v>
      </c>
      <c r="H18" s="112">
        <f t="shared" si="4"/>
        <v>47.1809039672892</v>
      </c>
      <c r="I18" s="110"/>
      <c r="J18" s="113">
        <f t="shared" si="0"/>
        <v>0</v>
      </c>
      <c r="K18" s="114">
        <v>1691</v>
      </c>
      <c r="L18" s="113">
        <v>5.1061388410786</v>
      </c>
      <c r="M18" s="115">
        <f>SUM(D18-E18-G18-K18)</f>
        <v>21866</v>
      </c>
      <c r="N18" s="116">
        <v>73.19482815780749</v>
      </c>
    </row>
    <row r="19" spans="2:14" s="117" customFormat="1" ht="12" customHeight="1">
      <c r="B19" s="22" t="s">
        <v>34</v>
      </c>
      <c r="C19" s="109"/>
      <c r="D19" s="109">
        <v>63264</v>
      </c>
      <c r="E19" s="110">
        <v>8277</v>
      </c>
      <c r="F19" s="111">
        <v>13.083270106221548</v>
      </c>
      <c r="G19" s="110">
        <v>40982</v>
      </c>
      <c r="H19" s="112">
        <f t="shared" si="4"/>
        <v>64.77933737986848</v>
      </c>
      <c r="I19" s="110"/>
      <c r="J19" s="113">
        <f t="shared" si="0"/>
        <v>0</v>
      </c>
      <c r="K19" s="114">
        <v>5627</v>
      </c>
      <c r="L19" s="113">
        <v>26.367086828171125</v>
      </c>
      <c r="M19" s="115">
        <f>SUM(D19-E19-G19-K19)</f>
        <v>8378</v>
      </c>
      <c r="N19" s="116">
        <v>33.733244815376835</v>
      </c>
    </row>
    <row r="20" spans="2:14" s="117" customFormat="1" ht="12" customHeight="1">
      <c r="B20" s="22" t="s">
        <v>30</v>
      </c>
      <c r="C20" s="109"/>
      <c r="D20" s="109">
        <v>24810</v>
      </c>
      <c r="E20" s="110">
        <v>3232</v>
      </c>
      <c r="F20" s="111">
        <v>13.027005239822653</v>
      </c>
      <c r="G20" s="110">
        <v>16002</v>
      </c>
      <c r="H20" s="112">
        <f t="shared" si="4"/>
        <v>64.49818621523579</v>
      </c>
      <c r="I20" s="110"/>
      <c r="J20" s="113">
        <f t="shared" si="0"/>
        <v>0</v>
      </c>
      <c r="K20" s="114">
        <v>632</v>
      </c>
      <c r="L20" s="113">
        <v>31.087063453025088</v>
      </c>
      <c r="M20" s="115">
        <f>SUM(D20-E20-G20-K20)</f>
        <v>4944</v>
      </c>
      <c r="N20" s="116">
        <v>8.194276501410721</v>
      </c>
    </row>
    <row r="21" spans="2:14" s="117" customFormat="1" ht="12" customHeight="1" thickBot="1">
      <c r="B21" s="35" t="s">
        <v>29</v>
      </c>
      <c r="C21" s="109">
        <v>200</v>
      </c>
      <c r="D21" s="109">
        <v>28100</v>
      </c>
      <c r="E21" s="110">
        <v>405</v>
      </c>
      <c r="F21" s="111">
        <v>1.4412811387900355</v>
      </c>
      <c r="G21" s="110">
        <v>2002</v>
      </c>
      <c r="H21" s="112">
        <f t="shared" si="4"/>
        <v>7.124555160142348</v>
      </c>
      <c r="I21" s="110"/>
      <c r="J21" s="113">
        <f t="shared" si="0"/>
        <v>0</v>
      </c>
      <c r="K21" s="114">
        <v>6828</v>
      </c>
      <c r="L21" s="113">
        <v>62.53892654332295</v>
      </c>
      <c r="M21" s="115">
        <f>SUM(D21-E21-G21-K21)</f>
        <v>18865</v>
      </c>
      <c r="N21" s="116">
        <v>38.854092526690394</v>
      </c>
    </row>
    <row r="22" spans="2:14" s="108" customFormat="1" ht="12" customHeight="1" thickBot="1">
      <c r="B22" s="37" t="s">
        <v>40</v>
      </c>
      <c r="C22" s="29"/>
      <c r="D22" s="29">
        <f>SUM(D17:D21)</f>
        <v>231956</v>
      </c>
      <c r="E22" s="29">
        <f aca="true" t="shared" si="6" ref="E22:M22">SUM(E17:E21)</f>
        <v>16099</v>
      </c>
      <c r="F22" s="39">
        <f>SUM(E22/D22)*100</f>
        <v>6.940540447326217</v>
      </c>
      <c r="G22" s="29">
        <f t="shared" si="6"/>
        <v>99369</v>
      </c>
      <c r="H22" s="39">
        <f>SUM(G22/D22)*100</f>
        <v>42.839590267119625</v>
      </c>
      <c r="I22" s="29">
        <f t="shared" si="6"/>
        <v>0</v>
      </c>
      <c r="J22" s="39">
        <f aca="true" t="shared" si="7" ref="J22:J32">SUM(I22/D22)*100</f>
        <v>0</v>
      </c>
      <c r="K22" s="29">
        <f>SUM(K17:K21)</f>
        <v>15351</v>
      </c>
      <c r="L22" s="39">
        <f aca="true" t="shared" si="8" ref="L22:L32">SUM(K22/D22)*100</f>
        <v>6.61806549518012</v>
      </c>
      <c r="M22" s="29">
        <f t="shared" si="6"/>
        <v>101137</v>
      </c>
      <c r="N22" s="57">
        <f>SUM(M22/D22)*100</f>
        <v>43.601803790374035</v>
      </c>
    </row>
    <row r="23" spans="2:14" ht="12" customHeight="1">
      <c r="B23" s="79" t="s">
        <v>75</v>
      </c>
      <c r="C23" s="80"/>
      <c r="D23" s="80">
        <v>354307</v>
      </c>
      <c r="E23" s="81">
        <v>106000</v>
      </c>
      <c r="F23" s="82">
        <f>SUM(E23/D23)*100</f>
        <v>29.91755737256108</v>
      </c>
      <c r="G23" s="81">
        <v>849</v>
      </c>
      <c r="H23" s="82">
        <f>SUM(G23/D23)*100</f>
        <v>0.239622700087777</v>
      </c>
      <c r="I23" s="81"/>
      <c r="J23" s="82">
        <f>SUM(I23/D23)*100</f>
        <v>0</v>
      </c>
      <c r="K23" s="97">
        <v>4483</v>
      </c>
      <c r="L23" s="82">
        <f>SUM(K23/D23)*100</f>
        <v>1.2652868839735032</v>
      </c>
      <c r="M23" s="81">
        <f>SUM(D23-E23-G23-I23-K23)</f>
        <v>242975</v>
      </c>
      <c r="N23" s="83">
        <f>SUM(M23/D23)*100</f>
        <v>68.57753304337764</v>
      </c>
    </row>
    <row r="24" spans="2:14" ht="12" customHeight="1" thickBot="1">
      <c r="B24" s="54" t="s">
        <v>76</v>
      </c>
      <c r="C24" s="85"/>
      <c r="D24" s="33">
        <v>487860</v>
      </c>
      <c r="E24" s="34">
        <f>194000+50000+23751</f>
        <v>267751</v>
      </c>
      <c r="F24" s="55">
        <f>SUM(E24/D24)*100</f>
        <v>54.88275324888288</v>
      </c>
      <c r="G24" s="34">
        <v>1242</v>
      </c>
      <c r="H24" s="55">
        <f>SUM(G24/D24)*100</f>
        <v>0.25458123232074775</v>
      </c>
      <c r="I24" s="55"/>
      <c r="J24" s="55">
        <f>SUM(I24/D24)*100</f>
        <v>0</v>
      </c>
      <c r="K24" s="47">
        <v>6560</v>
      </c>
      <c r="L24" s="55">
        <f>SUM(K24/D24)*100</f>
        <v>1.344648054769811</v>
      </c>
      <c r="M24" s="34">
        <f>SUM(D24-E24-G24-I24-K24)</f>
        <v>212307</v>
      </c>
      <c r="N24" s="56">
        <f>SUM(M24/D24)*100</f>
        <v>43.51801746402656</v>
      </c>
    </row>
    <row r="25" spans="2:14" ht="12" customHeight="1" thickBot="1">
      <c r="B25" s="37" t="s">
        <v>77</v>
      </c>
      <c r="C25" s="29"/>
      <c r="D25" s="29">
        <f>SUM(D23:D24)</f>
        <v>842167</v>
      </c>
      <c r="E25" s="29">
        <f>SUM(E23:E24)</f>
        <v>373751</v>
      </c>
      <c r="F25" s="75">
        <f>SUM(E25/D25)*100</f>
        <v>44.37967766488119</v>
      </c>
      <c r="G25" s="29">
        <f aca="true" t="shared" si="9" ref="G25:M25">SUM(G23:G24)</f>
        <v>2091</v>
      </c>
      <c r="H25" s="39">
        <f>SUM(G25/D25)*100</f>
        <v>0.24828804738252627</v>
      </c>
      <c r="I25" s="29">
        <f t="shared" si="9"/>
        <v>0</v>
      </c>
      <c r="J25" s="39">
        <f t="shared" si="9"/>
        <v>0</v>
      </c>
      <c r="K25" s="29">
        <f t="shared" si="9"/>
        <v>11043</v>
      </c>
      <c r="L25" s="39">
        <f>SUM(K25/D25)*100</f>
        <v>1.3112601182425814</v>
      </c>
      <c r="M25" s="29">
        <f t="shared" si="9"/>
        <v>455282</v>
      </c>
      <c r="N25" s="57">
        <f>SUM(M25/D25)*100</f>
        <v>54.0607741694937</v>
      </c>
    </row>
    <row r="26" spans="2:14" ht="12" customHeight="1">
      <c r="B26" s="44" t="s">
        <v>4</v>
      </c>
      <c r="C26" s="46"/>
      <c r="D26" s="46">
        <f>2496311-D27-D28-D29</f>
        <v>2479493</v>
      </c>
      <c r="E26" s="47">
        <v>284552</v>
      </c>
      <c r="F26" s="48">
        <f aca="true" t="shared" si="10" ref="F26:F45">SUM(E26/D26)*100</f>
        <v>11.476217113740592</v>
      </c>
      <c r="G26" s="47">
        <f>123370+309+1242+39+915+299+908+3644</f>
        <v>130726</v>
      </c>
      <c r="H26" s="48">
        <f aca="true" t="shared" si="11" ref="H26:H45">SUM(G26/D26)*100</f>
        <v>5.272287520069628</v>
      </c>
      <c r="I26" s="51"/>
      <c r="J26" s="48">
        <f t="shared" si="7"/>
        <v>0</v>
      </c>
      <c r="K26" s="47"/>
      <c r="L26" s="48">
        <f t="shared" si="8"/>
        <v>0</v>
      </c>
      <c r="M26" s="47">
        <f>SUM(D26-E26-G26-I26-K26)</f>
        <v>2064215</v>
      </c>
      <c r="N26" s="49">
        <f aca="true" t="shared" si="12" ref="N26:N45">SUM(M26/D26)*100</f>
        <v>83.25149536618977</v>
      </c>
    </row>
    <row r="27" spans="2:14" ht="12" customHeight="1">
      <c r="B27" s="17" t="s">
        <v>105</v>
      </c>
      <c r="C27" s="18"/>
      <c r="D27" s="18">
        <v>6416</v>
      </c>
      <c r="E27" s="19"/>
      <c r="F27" s="20">
        <f t="shared" si="10"/>
        <v>0</v>
      </c>
      <c r="G27" s="19"/>
      <c r="H27" s="20">
        <f t="shared" si="11"/>
        <v>0</v>
      </c>
      <c r="I27" s="19">
        <v>4699</v>
      </c>
      <c r="J27" s="20">
        <f t="shared" si="7"/>
        <v>73.23877805486283</v>
      </c>
      <c r="K27" s="19"/>
      <c r="L27" s="20">
        <f t="shared" si="8"/>
        <v>0</v>
      </c>
      <c r="M27" s="19">
        <f>SUM(D27-E27-G27-I27-K27)</f>
        <v>1717</v>
      </c>
      <c r="N27" s="21">
        <f t="shared" si="12"/>
        <v>26.76122194513716</v>
      </c>
    </row>
    <row r="28" spans="2:14" ht="12" customHeight="1">
      <c r="B28" s="44" t="s">
        <v>104</v>
      </c>
      <c r="C28" s="46"/>
      <c r="D28" s="46">
        <f>3864+1405</f>
        <v>5269</v>
      </c>
      <c r="E28" s="47"/>
      <c r="F28" s="48">
        <f t="shared" si="10"/>
        <v>0</v>
      </c>
      <c r="G28" s="47"/>
      <c r="H28" s="48">
        <f t="shared" si="11"/>
        <v>0</v>
      </c>
      <c r="I28" s="47">
        <v>3832</v>
      </c>
      <c r="J28" s="48">
        <f t="shared" si="7"/>
        <v>72.72727272727273</v>
      </c>
      <c r="K28" s="47"/>
      <c r="L28" s="48">
        <f t="shared" si="8"/>
        <v>0</v>
      </c>
      <c r="M28" s="47">
        <f>SUM(D28-E28-G28-I28-K28)</f>
        <v>1437</v>
      </c>
      <c r="N28" s="49">
        <f t="shared" si="12"/>
        <v>27.27272727272727</v>
      </c>
    </row>
    <row r="29" spans="2:14" ht="12" customHeight="1" thickBot="1">
      <c r="B29" s="54" t="s">
        <v>106</v>
      </c>
      <c r="C29" s="33"/>
      <c r="D29" s="33">
        <v>5133</v>
      </c>
      <c r="E29" s="34"/>
      <c r="F29" s="55">
        <f t="shared" si="10"/>
        <v>0</v>
      </c>
      <c r="G29" s="34"/>
      <c r="H29" s="55">
        <f t="shared" si="11"/>
        <v>0</v>
      </c>
      <c r="I29" s="34">
        <v>3832</v>
      </c>
      <c r="J29" s="55">
        <f t="shared" si="7"/>
        <v>74.65419832456654</v>
      </c>
      <c r="K29" s="34"/>
      <c r="L29" s="55">
        <f t="shared" si="8"/>
        <v>0</v>
      </c>
      <c r="M29" s="34">
        <f>SUM(D29-E29-G29-I29-K29)</f>
        <v>1301</v>
      </c>
      <c r="N29" s="56">
        <f t="shared" si="12"/>
        <v>25.34580167543347</v>
      </c>
    </row>
    <row r="30" spans="2:14" ht="12" customHeight="1" thickBot="1">
      <c r="B30" s="37" t="s">
        <v>42</v>
      </c>
      <c r="C30" s="29"/>
      <c r="D30" s="29">
        <f>SUM(D26:D29)</f>
        <v>2496311</v>
      </c>
      <c r="E30" s="29">
        <f>SUM(E26:E28)</f>
        <v>284552</v>
      </c>
      <c r="F30" s="39">
        <f t="shared" si="10"/>
        <v>11.398900217160442</v>
      </c>
      <c r="G30" s="29">
        <f>SUM(G26:G28)</f>
        <v>130726</v>
      </c>
      <c r="H30" s="39">
        <f t="shared" si="11"/>
        <v>5.236767373936981</v>
      </c>
      <c r="I30" s="29">
        <f>SUM(I26:I29)</f>
        <v>12363</v>
      </c>
      <c r="J30" s="39">
        <f t="shared" si="7"/>
        <v>0.49525079206877665</v>
      </c>
      <c r="K30" s="29">
        <f>SUM(K26)</f>
        <v>0</v>
      </c>
      <c r="L30" s="39">
        <f t="shared" si="8"/>
        <v>0</v>
      </c>
      <c r="M30" s="29">
        <f>SUM(M26:M29)</f>
        <v>2068670</v>
      </c>
      <c r="N30" s="57">
        <f t="shared" si="12"/>
        <v>82.8690816168338</v>
      </c>
    </row>
    <row r="31" spans="2:14" ht="12" customHeight="1" thickBot="1">
      <c r="B31" s="44" t="s">
        <v>7</v>
      </c>
      <c r="C31" s="46">
        <v>85</v>
      </c>
      <c r="D31" s="46">
        <v>171082</v>
      </c>
      <c r="E31" s="47">
        <v>24175</v>
      </c>
      <c r="F31" s="48">
        <f t="shared" si="10"/>
        <v>14.130650799032043</v>
      </c>
      <c r="G31" s="47">
        <f>46733+2787+1250+338+870+992+99+7955+297+1966+6621+1338+966</f>
        <v>72212</v>
      </c>
      <c r="H31" s="48">
        <f t="shared" si="11"/>
        <v>42.20899919336926</v>
      </c>
      <c r="I31" s="51"/>
      <c r="J31" s="48">
        <f t="shared" si="7"/>
        <v>0</v>
      </c>
      <c r="K31" s="47">
        <v>1405</v>
      </c>
      <c r="L31" s="48">
        <f t="shared" si="8"/>
        <v>0.8212436141733204</v>
      </c>
      <c r="M31" s="47">
        <f>SUM(D31-E31-G31-I31-K31)</f>
        <v>73290</v>
      </c>
      <c r="N31" s="49">
        <f t="shared" si="12"/>
        <v>42.839106393425375</v>
      </c>
    </row>
    <row r="32" spans="2:14" ht="12" customHeight="1" thickBot="1">
      <c r="B32" s="37" t="s">
        <v>43</v>
      </c>
      <c r="C32" s="29"/>
      <c r="D32" s="29">
        <f>SUM(D31)</f>
        <v>171082</v>
      </c>
      <c r="E32" s="40">
        <f>SUM(E31)</f>
        <v>24175</v>
      </c>
      <c r="F32" s="41">
        <f t="shared" si="10"/>
        <v>14.130650799032043</v>
      </c>
      <c r="G32" s="40">
        <f>SUM(G31)</f>
        <v>72212</v>
      </c>
      <c r="H32" s="41">
        <f t="shared" si="11"/>
        <v>42.20899919336926</v>
      </c>
      <c r="I32" s="40">
        <f>SUM(I31)</f>
        <v>0</v>
      </c>
      <c r="J32" s="41">
        <f t="shared" si="7"/>
        <v>0</v>
      </c>
      <c r="K32" s="40">
        <f>SUM(K31)</f>
        <v>1405</v>
      </c>
      <c r="L32" s="41">
        <f t="shared" si="8"/>
        <v>0.8212436141733204</v>
      </c>
      <c r="M32" s="40">
        <f>SUM(M31)</f>
        <v>73290</v>
      </c>
      <c r="N32" s="42">
        <f t="shared" si="12"/>
        <v>42.839106393425375</v>
      </c>
    </row>
    <row r="33" spans="2:14" ht="12" customHeight="1">
      <c r="B33" s="12" t="s">
        <v>8</v>
      </c>
      <c r="C33" s="13">
        <v>250</v>
      </c>
      <c r="D33" s="13">
        <v>161163</v>
      </c>
      <c r="E33" s="14">
        <v>9302</v>
      </c>
      <c r="F33" s="15">
        <f aca="true" t="shared" si="13" ref="F33:F40">SUM(E33/D33)*100</f>
        <v>5.771796255964459</v>
      </c>
      <c r="G33" s="14">
        <v>32691</v>
      </c>
      <c r="H33" s="15">
        <f aca="true" t="shared" si="14" ref="H33:H40">SUM(G33/D33)*100</f>
        <v>20.284432531040004</v>
      </c>
      <c r="I33" s="14">
        <v>282</v>
      </c>
      <c r="J33" s="15">
        <f aca="true" t="shared" si="15" ref="J33:J40">SUM(I33/D33)*100</f>
        <v>0.17497812773403326</v>
      </c>
      <c r="K33" s="14">
        <v>315</v>
      </c>
      <c r="L33" s="15">
        <f aca="true" t="shared" si="16" ref="L33:L40">SUM(K33/D33)*100</f>
        <v>0.19545429161780312</v>
      </c>
      <c r="M33" s="14">
        <f>SUM(D33-E33-G33-I33-K33)</f>
        <v>118573</v>
      </c>
      <c r="N33" s="16">
        <f t="shared" si="12"/>
        <v>73.5733387936437</v>
      </c>
    </row>
    <row r="34" spans="2:14" ht="12" customHeight="1">
      <c r="B34" s="17" t="s">
        <v>9</v>
      </c>
      <c r="C34" s="18">
        <v>88</v>
      </c>
      <c r="D34" s="18">
        <v>93451</v>
      </c>
      <c r="E34" s="19">
        <v>13291</v>
      </c>
      <c r="F34" s="20">
        <f t="shared" si="13"/>
        <v>14.222426726305764</v>
      </c>
      <c r="G34" s="19">
        <v>13856</v>
      </c>
      <c r="H34" s="20">
        <f t="shared" si="14"/>
        <v>14.827021647708424</v>
      </c>
      <c r="I34" s="19">
        <v>981</v>
      </c>
      <c r="J34" s="15">
        <f t="shared" si="15"/>
        <v>1.0497479962761231</v>
      </c>
      <c r="K34" s="14">
        <v>792</v>
      </c>
      <c r="L34" s="15">
        <f t="shared" si="16"/>
        <v>0.8475029694706318</v>
      </c>
      <c r="M34" s="14">
        <f aca="true" t="shared" si="17" ref="M34:M39">SUM(D34-E34-G34-I34-K34)</f>
        <v>64531</v>
      </c>
      <c r="N34" s="21">
        <f t="shared" si="12"/>
        <v>69.05330066023906</v>
      </c>
    </row>
    <row r="35" spans="2:14" ht="12" customHeight="1">
      <c r="B35" s="17" t="s">
        <v>10</v>
      </c>
      <c r="C35" s="18">
        <v>14</v>
      </c>
      <c r="D35" s="18">
        <v>39006</v>
      </c>
      <c r="E35" s="19">
        <v>10319</v>
      </c>
      <c r="F35" s="20">
        <f t="shared" si="13"/>
        <v>26.4549043736861</v>
      </c>
      <c r="G35" s="19">
        <v>22860</v>
      </c>
      <c r="H35" s="20">
        <f t="shared" si="14"/>
        <v>58.6063682510383</v>
      </c>
      <c r="I35" s="19"/>
      <c r="J35" s="15">
        <f t="shared" si="15"/>
        <v>0</v>
      </c>
      <c r="K35" s="14"/>
      <c r="L35" s="15">
        <f t="shared" si="16"/>
        <v>0</v>
      </c>
      <c r="M35" s="14">
        <f t="shared" si="17"/>
        <v>5827</v>
      </c>
      <c r="N35" s="21">
        <f t="shared" si="12"/>
        <v>14.9387273752756</v>
      </c>
    </row>
    <row r="36" spans="2:14" ht="12" customHeight="1">
      <c r="B36" s="17" t="s">
        <v>11</v>
      </c>
      <c r="C36" s="18">
        <v>510</v>
      </c>
      <c r="D36" s="18">
        <v>79338</v>
      </c>
      <c r="E36" s="19">
        <v>23204</v>
      </c>
      <c r="F36" s="20">
        <f t="shared" si="13"/>
        <v>29.24701908291109</v>
      </c>
      <c r="G36" s="19">
        <v>28234</v>
      </c>
      <c r="H36" s="20">
        <f t="shared" si="14"/>
        <v>35.586982278353375</v>
      </c>
      <c r="I36" s="19"/>
      <c r="J36" s="15">
        <f t="shared" si="15"/>
        <v>0</v>
      </c>
      <c r="K36" s="14">
        <v>2115</v>
      </c>
      <c r="L36" s="15">
        <f t="shared" si="16"/>
        <v>2.665809574226726</v>
      </c>
      <c r="M36" s="14">
        <f t="shared" si="17"/>
        <v>25785</v>
      </c>
      <c r="N36" s="21">
        <f t="shared" si="12"/>
        <v>32.50018906450881</v>
      </c>
    </row>
    <row r="37" spans="2:14" ht="12" customHeight="1">
      <c r="B37" s="17" t="s">
        <v>12</v>
      </c>
      <c r="C37" s="18"/>
      <c r="D37" s="18">
        <v>35515</v>
      </c>
      <c r="E37" s="19"/>
      <c r="F37" s="20">
        <f t="shared" si="13"/>
        <v>0</v>
      </c>
      <c r="G37" s="19"/>
      <c r="H37" s="20">
        <f t="shared" si="14"/>
        <v>0</v>
      </c>
      <c r="I37" s="19">
        <v>33253</v>
      </c>
      <c r="J37" s="15">
        <f t="shared" si="15"/>
        <v>93.63086019991553</v>
      </c>
      <c r="K37" s="14">
        <v>1107</v>
      </c>
      <c r="L37" s="15">
        <f t="shared" si="16"/>
        <v>3.1169928199352386</v>
      </c>
      <c r="M37" s="14">
        <f t="shared" si="17"/>
        <v>1155</v>
      </c>
      <c r="N37" s="21">
        <f t="shared" si="12"/>
        <v>3.2521469801492326</v>
      </c>
    </row>
    <row r="38" spans="2:14" ht="12" customHeight="1">
      <c r="B38" s="17" t="s">
        <v>13</v>
      </c>
      <c r="C38" s="18">
        <v>26300</v>
      </c>
      <c r="D38" s="18">
        <v>200118</v>
      </c>
      <c r="E38" s="19">
        <v>11834</v>
      </c>
      <c r="F38" s="20">
        <f t="shared" si="13"/>
        <v>5.913511028493189</v>
      </c>
      <c r="G38" s="19">
        <v>24973</v>
      </c>
      <c r="H38" s="20">
        <f t="shared" si="14"/>
        <v>12.479137308987697</v>
      </c>
      <c r="I38" s="19">
        <v>281</v>
      </c>
      <c r="J38" s="15">
        <f t="shared" si="15"/>
        <v>0.14041715387921125</v>
      </c>
      <c r="K38" s="14">
        <v>6100</v>
      </c>
      <c r="L38" s="15">
        <f t="shared" si="16"/>
        <v>3.0482015610789635</v>
      </c>
      <c r="M38" s="14">
        <f t="shared" si="17"/>
        <v>156930</v>
      </c>
      <c r="N38" s="21">
        <f t="shared" si="12"/>
        <v>78.41873294756094</v>
      </c>
    </row>
    <row r="39" spans="2:14" ht="12" customHeight="1" thickBot="1">
      <c r="B39" s="23" t="s">
        <v>14</v>
      </c>
      <c r="C39" s="24"/>
      <c r="D39" s="24">
        <v>11946</v>
      </c>
      <c r="E39" s="25"/>
      <c r="F39" s="26">
        <f t="shared" si="13"/>
        <v>0</v>
      </c>
      <c r="G39" s="25"/>
      <c r="H39" s="26">
        <f t="shared" si="14"/>
        <v>0</v>
      </c>
      <c r="I39" s="25">
        <v>8150</v>
      </c>
      <c r="J39" s="48">
        <f t="shared" si="15"/>
        <v>68.22367319604888</v>
      </c>
      <c r="K39" s="47"/>
      <c r="L39" s="48">
        <f t="shared" si="16"/>
        <v>0</v>
      </c>
      <c r="M39" s="47">
        <f t="shared" si="17"/>
        <v>3796</v>
      </c>
      <c r="N39" s="27">
        <f t="shared" si="12"/>
        <v>31.776326803951115</v>
      </c>
    </row>
    <row r="40" spans="2:14" s="108" customFormat="1" ht="12" customHeight="1" thickBot="1">
      <c r="B40" s="37" t="s">
        <v>44</v>
      </c>
      <c r="C40" s="29"/>
      <c r="D40" s="29">
        <f>SUM(D33:D39)</f>
        <v>620537</v>
      </c>
      <c r="E40" s="40">
        <f>SUM(E33:E39)</f>
        <v>67950</v>
      </c>
      <c r="F40" s="41">
        <f t="shared" si="13"/>
        <v>10.950193139168173</v>
      </c>
      <c r="G40" s="40">
        <f>SUM(G33:G39)</f>
        <v>122614</v>
      </c>
      <c r="H40" s="41">
        <f t="shared" si="14"/>
        <v>19.759337477056164</v>
      </c>
      <c r="I40" s="40">
        <f>SUM(I33:I39)</f>
        <v>42947</v>
      </c>
      <c r="J40" s="41">
        <f t="shared" si="15"/>
        <v>6.920941055891913</v>
      </c>
      <c r="K40" s="40">
        <f>SUM(K33:K39)</f>
        <v>10429</v>
      </c>
      <c r="L40" s="41">
        <f t="shared" si="16"/>
        <v>1.6806411221248694</v>
      </c>
      <c r="M40" s="40">
        <f>SUM(M33:M39)</f>
        <v>376597</v>
      </c>
      <c r="N40" s="42">
        <f t="shared" si="12"/>
        <v>60.68888720575888</v>
      </c>
    </row>
    <row r="41" spans="2:14" s="108" customFormat="1" ht="12" customHeight="1" thickBot="1">
      <c r="B41" s="87" t="s">
        <v>46</v>
      </c>
      <c r="C41" s="88"/>
      <c r="D41" s="88">
        <v>121936</v>
      </c>
      <c r="E41" s="89">
        <v>9068</v>
      </c>
      <c r="F41" s="90">
        <f t="shared" si="10"/>
        <v>7.436688098674715</v>
      </c>
      <c r="G41" s="89">
        <f>74182+211+115+140-987-162+21+2154+98+607+127</f>
        <v>76506</v>
      </c>
      <c r="H41" s="90">
        <f t="shared" si="11"/>
        <v>62.742750295236846</v>
      </c>
      <c r="I41" s="89"/>
      <c r="J41" s="90">
        <f>SUM(I41/D41)*100</f>
        <v>0</v>
      </c>
      <c r="K41" s="89">
        <v>2065</v>
      </c>
      <c r="L41" s="41">
        <f>SUM(K41/D41)*100</f>
        <v>1.6935113502165071</v>
      </c>
      <c r="M41" s="89">
        <f>SUM(D41-E41-G41-I41-K41)</f>
        <v>34297</v>
      </c>
      <c r="N41" s="91">
        <f t="shared" si="12"/>
        <v>28.127050255871932</v>
      </c>
    </row>
    <row r="42" spans="2:14" s="108" customFormat="1" ht="12" customHeight="1" thickBot="1">
      <c r="B42" s="37" t="s">
        <v>47</v>
      </c>
      <c r="C42" s="29"/>
      <c r="D42" s="29">
        <v>83088</v>
      </c>
      <c r="E42" s="40">
        <v>9871</v>
      </c>
      <c r="F42" s="41">
        <f t="shared" si="10"/>
        <v>11.880175235894473</v>
      </c>
      <c r="G42" s="40">
        <f>47711+700+418+90-670-110+136+1592+412+420+88</f>
        <v>50787</v>
      </c>
      <c r="H42" s="41">
        <f t="shared" si="11"/>
        <v>61.12435008665511</v>
      </c>
      <c r="I42" s="40"/>
      <c r="J42" s="41">
        <f>SUM(I42/D42)*100</f>
        <v>0</v>
      </c>
      <c r="K42" s="40">
        <v>885</v>
      </c>
      <c r="L42" s="92">
        <f>SUM(K42/D42)*100</f>
        <v>1.0651357596764877</v>
      </c>
      <c r="M42" s="93">
        <f>SUM(D42-E42-G42-I42-K42)</f>
        <v>21545</v>
      </c>
      <c r="N42" s="94">
        <f t="shared" si="12"/>
        <v>25.930338917773927</v>
      </c>
    </row>
    <row r="43" spans="2:14" s="108" customFormat="1" ht="12" customHeight="1" thickBot="1">
      <c r="B43" s="37" t="s">
        <v>48</v>
      </c>
      <c r="C43" s="29"/>
      <c r="D43" s="29">
        <v>136253</v>
      </c>
      <c r="E43" s="40">
        <v>13725</v>
      </c>
      <c r="F43" s="41">
        <f t="shared" si="10"/>
        <v>10.07317270078457</v>
      </c>
      <c r="G43" s="40">
        <f>73042+892+556+130-1128-152+182+2060+546+701+118</f>
        <v>76947</v>
      </c>
      <c r="H43" s="41">
        <f t="shared" si="11"/>
        <v>56.473618929491465</v>
      </c>
      <c r="I43" s="40"/>
      <c r="J43" s="41">
        <f>SUM(I43/D43)*100</f>
        <v>0</v>
      </c>
      <c r="K43" s="40">
        <v>917</v>
      </c>
      <c r="L43" s="92">
        <f>SUM(K43/D43)*100</f>
        <v>0.6730127043074281</v>
      </c>
      <c r="M43" s="93">
        <f>SUM(D43-E43-G43-I43-K43)</f>
        <v>44664</v>
      </c>
      <c r="N43" s="94">
        <f t="shared" si="12"/>
        <v>32.78019566541654</v>
      </c>
    </row>
    <row r="44" spans="2:14" s="108" customFormat="1" ht="12" customHeight="1" thickBot="1">
      <c r="B44" s="87" t="s">
        <v>49</v>
      </c>
      <c r="C44" s="88"/>
      <c r="D44" s="88">
        <v>107370</v>
      </c>
      <c r="E44" s="89">
        <v>27475</v>
      </c>
      <c r="F44" s="90">
        <f t="shared" si="10"/>
        <v>25.589084474247926</v>
      </c>
      <c r="G44" s="89">
        <f>55598+308+166+92-740-99+52+1592+160+467+78</f>
        <v>57674</v>
      </c>
      <c r="H44" s="90">
        <f t="shared" si="11"/>
        <v>53.71519046288535</v>
      </c>
      <c r="I44" s="89"/>
      <c r="J44" s="90">
        <f>SUM(I44/D44)*100</f>
        <v>0</v>
      </c>
      <c r="K44" s="89">
        <v>1063</v>
      </c>
      <c r="L44" s="41">
        <f>SUM(K44/D44)*100</f>
        <v>0.9900344602775449</v>
      </c>
      <c r="M44" s="89">
        <f>SUM(D44-E44-G44-I44-K44)</f>
        <v>21158</v>
      </c>
      <c r="N44" s="91">
        <f t="shared" si="12"/>
        <v>19.705690602589176</v>
      </c>
    </row>
    <row r="45" spans="2:14" s="118" customFormat="1" ht="12" customHeight="1" thickBot="1">
      <c r="B45" s="28" t="s">
        <v>20</v>
      </c>
      <c r="C45" s="29"/>
      <c r="D45" s="29">
        <f>SUM(D40,D32,D30,D22,D16,D41,D42,D43,D44,D25)</f>
        <v>9556772</v>
      </c>
      <c r="E45" s="29">
        <f>SUM(E40,E32,E30,E22,E16,E41,E42,E43,E44,E25)</f>
        <v>5732061</v>
      </c>
      <c r="F45" s="39">
        <f t="shared" si="10"/>
        <v>59.97904941124472</v>
      </c>
      <c r="G45" s="29">
        <f>SUM(G40,G32,G30,G22,G16,G41,G42,G43,G44,G25)</f>
        <v>814381</v>
      </c>
      <c r="H45" s="39">
        <f t="shared" si="11"/>
        <v>8.521507052799837</v>
      </c>
      <c r="I45" s="29">
        <f>SUM(I40,I32,I30,I22,I16,I41,I42,I43,I44)</f>
        <v>176024</v>
      </c>
      <c r="J45" s="39">
        <f>SUM(I45/D45)*100</f>
        <v>1.8418771526620077</v>
      </c>
      <c r="K45" s="29">
        <f>SUM(K40,K32,K30,K22,K16,K41,K42,K43,K44,K25)</f>
        <v>134932</v>
      </c>
      <c r="L45" s="41">
        <f>SUM(K45/D45)*100</f>
        <v>1.4118993316990298</v>
      </c>
      <c r="M45" s="29">
        <f>SUM(M40,M32,M30,M22,M16,M41,M42,M43,M44,M25)</f>
        <v>2699374</v>
      </c>
      <c r="N45" s="57">
        <f t="shared" si="12"/>
        <v>28.24566705159441</v>
      </c>
    </row>
  </sheetData>
  <sheetProtection/>
  <mergeCells count="2">
    <mergeCell ref="B2:N2"/>
    <mergeCell ref="M1:N1"/>
  </mergeCells>
  <printOptions/>
  <pageMargins left="0.1968503937007874" right="0.15748031496062992" top="0.1968503937007874" bottom="0.2362204724409449" header="0.15748031496062992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17.875" style="0" customWidth="1"/>
    <col min="2" max="2" width="9.125" style="1" customWidth="1"/>
    <col min="3" max="3" width="14.875" style="1" customWidth="1"/>
    <col min="4" max="4" width="16.25390625" style="1" customWidth="1"/>
    <col min="5" max="5" width="9.125" style="1" customWidth="1"/>
    <col min="6" max="6" width="13.00390625" style="0" customWidth="1"/>
    <col min="8" max="8" width="12.625" style="0" customWidth="1"/>
  </cols>
  <sheetData>
    <row r="1" spans="1:4" ht="12.75">
      <c r="A1" t="s">
        <v>52</v>
      </c>
      <c r="C1" s="1" t="s">
        <v>54</v>
      </c>
      <c r="D1" s="1" t="s">
        <v>55</v>
      </c>
    </row>
    <row r="2" spans="4:9" ht="12.75">
      <c r="D2" s="1" t="s">
        <v>66</v>
      </c>
      <c r="F2" t="s">
        <v>70</v>
      </c>
      <c r="G2" t="s">
        <v>71</v>
      </c>
      <c r="H2" t="s">
        <v>54</v>
      </c>
      <c r="I2" t="s">
        <v>72</v>
      </c>
    </row>
    <row r="3" spans="1:11" ht="12.75">
      <c r="A3" t="s">
        <v>53</v>
      </c>
      <c r="B3" s="1">
        <f>1629+9330+2236+90+4303+547</f>
        <v>18135</v>
      </c>
      <c r="E3" s="1">
        <f>SUM(B3:D3)</f>
        <v>18135</v>
      </c>
      <c r="F3" s="1"/>
      <c r="G3" s="1">
        <f>730+4815+1311+50+3604+190</f>
        <v>10700</v>
      </c>
      <c r="H3" s="1"/>
      <c r="I3" s="1"/>
      <c r="J3" s="1"/>
      <c r="K3" s="1">
        <f>SUM(G3:J3)</f>
        <v>10700</v>
      </c>
    </row>
    <row r="4" spans="5:10" ht="12.75">
      <c r="E4" s="1">
        <f aca="true" t="shared" si="0" ref="E4:E17">SUM(B4:D4)</f>
        <v>0</v>
      </c>
      <c r="F4" s="1"/>
      <c r="G4" s="1"/>
      <c r="H4" s="1"/>
      <c r="I4" s="1"/>
      <c r="J4" s="1"/>
    </row>
    <row r="5" spans="1:11" ht="12.75">
      <c r="A5" s="76" t="s">
        <v>69</v>
      </c>
      <c r="B5" s="77"/>
      <c r="C5" s="77">
        <v>2733</v>
      </c>
      <c r="D5" s="77">
        <f>494+2195</f>
        <v>2689</v>
      </c>
      <c r="E5" s="77">
        <f t="shared" si="0"/>
        <v>5422</v>
      </c>
      <c r="F5" s="78">
        <v>1659</v>
      </c>
      <c r="G5" s="77"/>
      <c r="H5" s="77">
        <v>911</v>
      </c>
      <c r="I5" s="77"/>
      <c r="J5" s="77"/>
      <c r="K5" s="77">
        <f>SUM(F5:I5)</f>
        <v>2570</v>
      </c>
    </row>
    <row r="6" spans="1:11" ht="12.75">
      <c r="A6" s="76" t="s">
        <v>56</v>
      </c>
      <c r="B6" s="77"/>
      <c r="C6" s="77"/>
      <c r="D6" s="77">
        <f>1161+7225</f>
        <v>8386</v>
      </c>
      <c r="E6" s="77">
        <f t="shared" si="0"/>
        <v>8386</v>
      </c>
      <c r="F6" s="78">
        <v>5377</v>
      </c>
      <c r="G6" s="77"/>
      <c r="H6" s="77"/>
      <c r="I6" s="77"/>
      <c r="J6" s="77"/>
      <c r="K6" s="77">
        <f aca="true" t="shared" si="1" ref="K6:K17">SUM(F6:I6)</f>
        <v>5377</v>
      </c>
    </row>
    <row r="7" spans="1:11" ht="12.75">
      <c r="A7" s="76" t="s">
        <v>57</v>
      </c>
      <c r="B7" s="77"/>
      <c r="C7" s="77"/>
      <c r="D7" s="77">
        <f>273+1579</f>
        <v>1852</v>
      </c>
      <c r="E7" s="77">
        <f t="shared" si="0"/>
        <v>1852</v>
      </c>
      <c r="F7" s="78">
        <v>1190</v>
      </c>
      <c r="G7" s="77"/>
      <c r="H7" s="77"/>
      <c r="I7" s="77"/>
      <c r="J7" s="77"/>
      <c r="K7" s="77">
        <f t="shared" si="1"/>
        <v>1190</v>
      </c>
    </row>
    <row r="8" spans="1:11" ht="12.75">
      <c r="A8" s="76" t="s">
        <v>58</v>
      </c>
      <c r="B8" s="77"/>
      <c r="C8" s="77"/>
      <c r="D8" s="77">
        <f>2288+617-172-46</f>
        <v>2687</v>
      </c>
      <c r="E8" s="77">
        <f t="shared" si="0"/>
        <v>2687</v>
      </c>
      <c r="F8" s="77"/>
      <c r="G8" s="77"/>
      <c r="H8" s="77"/>
      <c r="I8" s="77"/>
      <c r="J8" s="77"/>
      <c r="K8" s="77">
        <f t="shared" si="1"/>
        <v>0</v>
      </c>
    </row>
    <row r="9" spans="1:11" ht="12.75">
      <c r="A9" s="76" t="s">
        <v>59</v>
      </c>
      <c r="B9" s="77"/>
      <c r="C9" s="77"/>
      <c r="D9" s="77">
        <f>37+84</f>
        <v>121</v>
      </c>
      <c r="E9" s="77">
        <f t="shared" si="0"/>
        <v>121</v>
      </c>
      <c r="F9" s="78">
        <v>117</v>
      </c>
      <c r="G9" s="77"/>
      <c r="H9" s="77"/>
      <c r="I9" s="77"/>
      <c r="J9" s="77"/>
      <c r="K9" s="77">
        <f t="shared" si="1"/>
        <v>117</v>
      </c>
    </row>
    <row r="10" spans="1:11" ht="12.75">
      <c r="A10" s="76"/>
      <c r="B10" s="77"/>
      <c r="C10" s="77"/>
      <c r="D10" s="77"/>
      <c r="E10" s="77">
        <f t="shared" si="0"/>
        <v>0</v>
      </c>
      <c r="F10" s="77"/>
      <c r="G10" s="77"/>
      <c r="H10" s="77"/>
      <c r="I10" s="77"/>
      <c r="J10" s="77"/>
      <c r="K10" s="77">
        <f t="shared" si="1"/>
        <v>0</v>
      </c>
    </row>
    <row r="11" spans="1:11" ht="12.75">
      <c r="A11" s="76" t="s">
        <v>60</v>
      </c>
      <c r="B11" s="77"/>
      <c r="C11" s="77"/>
      <c r="D11" s="77">
        <v>2525</v>
      </c>
      <c r="E11" s="77">
        <f t="shared" si="0"/>
        <v>2525</v>
      </c>
      <c r="F11" s="78">
        <v>1734</v>
      </c>
      <c r="G11" s="77"/>
      <c r="H11" s="77"/>
      <c r="I11" s="77"/>
      <c r="J11" s="77"/>
      <c r="K11" s="77">
        <f t="shared" si="1"/>
        <v>1734</v>
      </c>
    </row>
    <row r="12" spans="1:11" ht="12.75">
      <c r="A12" s="76" t="s">
        <v>61</v>
      </c>
      <c r="B12" s="77"/>
      <c r="C12" s="77"/>
      <c r="D12" s="77">
        <v>2378</v>
      </c>
      <c r="E12" s="77">
        <f t="shared" si="0"/>
        <v>2378</v>
      </c>
      <c r="F12" s="78">
        <v>1482</v>
      </c>
      <c r="G12" s="77"/>
      <c r="H12" s="77"/>
      <c r="I12" s="77"/>
      <c r="J12" s="77"/>
      <c r="K12" s="77">
        <f t="shared" si="1"/>
        <v>1482</v>
      </c>
    </row>
    <row r="13" spans="1:11" ht="12.75">
      <c r="A13" s="76" t="s">
        <v>62</v>
      </c>
      <c r="B13" s="77"/>
      <c r="C13" s="77"/>
      <c r="D13" s="77">
        <v>1243</v>
      </c>
      <c r="E13" s="77">
        <f t="shared" si="0"/>
        <v>1243</v>
      </c>
      <c r="F13" s="78">
        <v>670</v>
      </c>
      <c r="G13" s="77"/>
      <c r="H13" s="77"/>
      <c r="I13" s="77">
        <v>3117</v>
      </c>
      <c r="J13" s="77"/>
      <c r="K13" s="77">
        <f t="shared" si="1"/>
        <v>3787</v>
      </c>
    </row>
    <row r="14" spans="1:11" ht="12.75">
      <c r="A14" s="76" t="s">
        <v>63</v>
      </c>
      <c r="B14" s="77"/>
      <c r="C14" s="77"/>
      <c r="D14" s="77">
        <v>1477</v>
      </c>
      <c r="E14" s="77">
        <f t="shared" si="0"/>
        <v>1477</v>
      </c>
      <c r="F14" s="78">
        <v>971</v>
      </c>
      <c r="G14" s="77"/>
      <c r="H14" s="77"/>
      <c r="I14" s="77">
        <v>2078</v>
      </c>
      <c r="J14" s="77"/>
      <c r="K14" s="77">
        <f t="shared" si="1"/>
        <v>3049</v>
      </c>
    </row>
    <row r="15" spans="1:11" ht="12.75">
      <c r="A15" s="76" t="s">
        <v>64</v>
      </c>
      <c r="B15" s="77"/>
      <c r="C15" s="77"/>
      <c r="D15" s="77">
        <v>2072</v>
      </c>
      <c r="E15" s="77">
        <f t="shared" si="0"/>
        <v>2072</v>
      </c>
      <c r="F15" s="78">
        <v>1175</v>
      </c>
      <c r="G15" s="77"/>
      <c r="H15" s="77"/>
      <c r="I15" s="77">
        <v>3463</v>
      </c>
      <c r="J15" s="77"/>
      <c r="K15" s="77">
        <f t="shared" si="1"/>
        <v>4638</v>
      </c>
    </row>
    <row r="16" spans="1:11" ht="12.75">
      <c r="A16" s="76" t="s">
        <v>65</v>
      </c>
      <c r="B16" s="77"/>
      <c r="C16" s="77"/>
      <c r="D16" s="77">
        <v>1138</v>
      </c>
      <c r="E16" s="77">
        <f t="shared" si="0"/>
        <v>1138</v>
      </c>
      <c r="F16" s="78">
        <v>663</v>
      </c>
      <c r="G16" s="77"/>
      <c r="H16" s="77"/>
      <c r="I16" s="77">
        <v>2655</v>
      </c>
      <c r="J16" s="77"/>
      <c r="K16" s="77">
        <f t="shared" si="1"/>
        <v>3318</v>
      </c>
    </row>
    <row r="17" spans="1:11" ht="12.75">
      <c r="A17" s="76"/>
      <c r="B17" s="77">
        <f>SUM(B3:B16)</f>
        <v>18135</v>
      </c>
      <c r="C17" s="77">
        <f>SUM(C3:C16)</f>
        <v>2733</v>
      </c>
      <c r="D17" s="77">
        <f>SUM(D3:D16)</f>
        <v>26568</v>
      </c>
      <c r="E17" s="77">
        <f t="shared" si="0"/>
        <v>47436</v>
      </c>
      <c r="F17" s="77">
        <f>SUM(F5:F16)</f>
        <v>15038</v>
      </c>
      <c r="G17" s="77">
        <f>SUM(G3:G16)</f>
        <v>10700</v>
      </c>
      <c r="H17" s="77">
        <v>911</v>
      </c>
      <c r="I17" s="77">
        <v>11313</v>
      </c>
      <c r="J17" s="77"/>
      <c r="K17" s="77">
        <f t="shared" si="1"/>
        <v>37962</v>
      </c>
    </row>
    <row r="18" spans="6:10" ht="12.75">
      <c r="F18" s="1"/>
      <c r="G18" s="1"/>
      <c r="H18" s="1"/>
      <c r="I18" s="1"/>
      <c r="J18" s="1"/>
    </row>
    <row r="19" spans="6:10" ht="12.75">
      <c r="F19" s="1"/>
      <c r="G19" s="1">
        <f>SUM(F11:F16)</f>
        <v>6695</v>
      </c>
      <c r="H19" s="1"/>
      <c r="I19" s="1"/>
      <c r="J19" s="1"/>
    </row>
    <row r="20" spans="1:10" ht="12.75">
      <c r="A20" t="s">
        <v>67</v>
      </c>
      <c r="F20" s="1"/>
      <c r="G20" s="1"/>
      <c r="H20" s="1"/>
      <c r="I20" s="1"/>
      <c r="J20" s="1"/>
    </row>
    <row r="21" spans="6:10" ht="12.75">
      <c r="F21" s="1"/>
      <c r="G21" s="1"/>
      <c r="H21" s="1"/>
      <c r="I21" s="1"/>
      <c r="J21" s="1"/>
    </row>
    <row r="22" spans="1:10" ht="12.75">
      <c r="A22" t="s">
        <v>53</v>
      </c>
      <c r="B22" s="1">
        <f>230</f>
        <v>230</v>
      </c>
      <c r="E22" s="1">
        <f>SUM(B22:D22)</f>
        <v>230</v>
      </c>
      <c r="F22" s="1"/>
      <c r="G22" s="1"/>
      <c r="H22" s="1"/>
      <c r="I22" s="1"/>
      <c r="J22" s="1"/>
    </row>
    <row r="23" spans="1:10" ht="12.75">
      <c r="A23" t="s">
        <v>58</v>
      </c>
      <c r="B23" s="1">
        <f>464+978</f>
        <v>1442</v>
      </c>
      <c r="E23" s="1">
        <f>SUM(B23:D23)</f>
        <v>1442</v>
      </c>
      <c r="F23" s="1"/>
      <c r="G23" s="1"/>
      <c r="H23" s="1"/>
      <c r="I23" s="1"/>
      <c r="J23" s="1"/>
    </row>
    <row r="24" spans="1:10" ht="13.5" thickBot="1">
      <c r="A24" t="s">
        <v>61</v>
      </c>
      <c r="B24" s="1">
        <v>28690</v>
      </c>
      <c r="E24" s="1">
        <f>SUM(B24:D24)</f>
        <v>28690</v>
      </c>
      <c r="F24" s="1"/>
      <c r="G24" s="1"/>
      <c r="H24" s="1"/>
      <c r="I24" s="1"/>
      <c r="J24" s="1"/>
    </row>
    <row r="25" spans="5:10" ht="13.5" thickBot="1">
      <c r="E25" s="63">
        <f>SUM(E22:E24)</f>
        <v>30362</v>
      </c>
      <c r="F25" s="1"/>
      <c r="G25" s="1"/>
      <c r="H25" s="1"/>
      <c r="I25" s="1"/>
      <c r="J25" s="1"/>
    </row>
    <row r="26" spans="6:10" ht="12.75">
      <c r="F26" s="1"/>
      <c r="G26" s="1"/>
      <c r="H26" s="1"/>
      <c r="I26" s="1"/>
      <c r="J26" s="1"/>
    </row>
    <row r="27" spans="1:10" ht="12.75">
      <c r="A27" t="s">
        <v>68</v>
      </c>
      <c r="F27" s="1"/>
      <c r="G27" s="1"/>
      <c r="H27" s="1"/>
      <c r="I27" s="1"/>
      <c r="J27" s="1"/>
    </row>
    <row r="28" spans="6:10" ht="13.5" thickBot="1">
      <c r="F28" s="1"/>
      <c r="G28" s="1"/>
      <c r="H28" s="1"/>
      <c r="I28" s="1"/>
      <c r="J28" s="1"/>
    </row>
    <row r="29" spans="1:10" ht="13.5" thickBot="1">
      <c r="A29" t="s">
        <v>65</v>
      </c>
      <c r="E29" s="63">
        <v>843</v>
      </c>
      <c r="F29" s="1"/>
      <c r="G29" s="1"/>
      <c r="H29" s="1"/>
      <c r="I29" s="1"/>
      <c r="J29" s="1"/>
    </row>
    <row r="30" spans="6:10" ht="13.5" thickBot="1">
      <c r="F30" s="1"/>
      <c r="G30" s="1"/>
      <c r="H30" s="1"/>
      <c r="I30" s="1"/>
      <c r="J30" s="1"/>
    </row>
    <row r="31" spans="5:10" ht="13.5" thickBot="1">
      <c r="E31" s="63">
        <f>SUM(E17,E25,E29)</f>
        <v>78641</v>
      </c>
      <c r="F31" s="1"/>
      <c r="G31" s="1"/>
      <c r="H31" s="1"/>
      <c r="I31" s="1"/>
      <c r="J31" s="1"/>
    </row>
    <row r="32" spans="6:10" ht="12.75">
      <c r="F32" s="1"/>
      <c r="G32" s="1"/>
      <c r="H32" s="1"/>
      <c r="I32" s="1"/>
      <c r="J32" s="1"/>
    </row>
    <row r="33" spans="6:10" ht="12.75">
      <c r="F33" s="1"/>
      <c r="G33" s="1"/>
      <c r="H33" s="1"/>
      <c r="I33" s="1"/>
      <c r="J33" s="1"/>
    </row>
    <row r="34" spans="6:10" ht="12.75">
      <c r="F34" s="1"/>
      <c r="G34" s="1"/>
      <c r="H34" s="1"/>
      <c r="I34" s="1"/>
      <c r="J34" s="1"/>
    </row>
    <row r="35" spans="6:10" ht="12.75">
      <c r="F35" s="1"/>
      <c r="G35" s="1"/>
      <c r="H35" s="1"/>
      <c r="I35" s="1"/>
      <c r="J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2015-05-07T09:54:28Z</cp:lastPrinted>
  <dcterms:created xsi:type="dcterms:W3CDTF">2009-02-04T11:37:44Z</dcterms:created>
  <dcterms:modified xsi:type="dcterms:W3CDTF">2015-05-21T11:30:10Z</dcterms:modified>
  <cp:category/>
  <cp:version/>
  <cp:contentType/>
  <cp:contentStatus/>
</cp:coreProperties>
</file>