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<sst xmlns="http://schemas.openxmlformats.org/spreadsheetml/2006/main" count="316" uniqueCount="273">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</sst>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 applyProtection="1">
      <alignment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Protection="1">
      <alignment/>
      <protection/>
    </xf>
    <xf numFmtId="0" fontId="23" fillId="0" borderId="14" xfId="71" applyFont="1" applyFill="1" applyBorder="1" applyAlignment="1" applyProtection="1">
      <alignment horizontal="center" vertical="center" wrapText="1"/>
      <protection/>
    </xf>
    <xf numFmtId="0" fontId="23" fillId="0" borderId="15" xfId="71" applyFont="1" applyFill="1" applyBorder="1" applyAlignment="1" applyProtection="1">
      <alignment horizontal="center" vertical="center" wrapText="1"/>
      <protection/>
    </xf>
    <xf numFmtId="0" fontId="23" fillId="0" borderId="16" xfId="7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 applyProtection="1">
      <alignment/>
      <protection/>
    </xf>
    <xf numFmtId="0" fontId="23" fillId="0" borderId="11" xfId="71" applyFont="1" applyFill="1" applyBorder="1" applyAlignment="1" applyProtection="1">
      <alignment horizontal="left" vertical="center" wrapText="1" inden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 applyProtection="1">
      <alignment/>
      <protection/>
    </xf>
    <xf numFmtId="49" fontId="24" fillId="0" borderId="18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6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6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71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7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0" xfId="0" applyFont="1" applyBorder="1" applyAlignment="1" applyProtection="1">
      <alignment vertical="center" wrapText="1"/>
      <protection/>
    </xf>
    <xf numFmtId="0" fontId="27" fillId="0" borderId="31" xfId="0" applyFont="1" applyBorder="1" applyAlignment="1" applyProtection="1">
      <alignment wrapText="1"/>
      <protection/>
    </xf>
    <xf numFmtId="164" fontId="23" fillId="0" borderId="32" xfId="71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71" applyFont="1" applyFill="1" applyBorder="1" applyAlignment="1" applyProtection="1">
      <alignment horizontal="center" vertical="center" wrapText="1"/>
      <protection/>
    </xf>
    <xf numFmtId="0" fontId="19" fillId="0" borderId="0" xfId="71" applyFont="1" applyFill="1" applyBorder="1" applyAlignment="1" applyProtection="1">
      <alignment vertical="center" wrapText="1"/>
      <protection/>
    </xf>
    <xf numFmtId="164" fontId="19" fillId="0" borderId="0" xfId="71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1" applyFill="1" applyAlignment="1" applyProtection="1">
      <alignment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center" vertical="center" wrapText="1"/>
      <protection/>
    </xf>
    <xf numFmtId="0" fontId="23" fillId="0" borderId="14" xfId="71" applyFont="1" applyFill="1" applyBorder="1" applyAlignment="1" applyProtection="1">
      <alignment horizontal="left" vertical="center" wrapText="1" indent="1"/>
      <protection/>
    </xf>
    <xf numFmtId="0" fontId="23" fillId="0" borderId="15" xfId="71" applyFont="1" applyFill="1" applyBorder="1" applyAlignment="1" applyProtection="1">
      <alignment vertical="center" wrapText="1"/>
      <protection/>
    </xf>
    <xf numFmtId="164" fontId="23" fillId="0" borderId="33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71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71" applyFont="1" applyFill="1" applyBorder="1" applyAlignment="1" applyProtection="1">
      <alignment horizontal="left" vertical="center" wrapText="1" indent="1"/>
      <protection/>
    </xf>
    <xf numFmtId="164" fontId="24" fillId="0" borderId="3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71" applyFont="1" applyFill="1" applyBorder="1" applyAlignment="1" applyProtection="1">
      <alignment horizontal="left" vertical="center" wrapText="1" indent="1"/>
      <protection/>
    </xf>
    <xf numFmtId="164" fontId="24" fillId="0" borderId="23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71" applyFont="1" applyFill="1" applyBorder="1" applyAlignment="1" applyProtection="1">
      <alignment horizontal="left" vertical="center" wrapText="1" indent="1"/>
      <protection/>
    </xf>
    <xf numFmtId="0" fontId="24" fillId="0" borderId="27" xfId="71" applyFont="1" applyFill="1" applyBorder="1" applyAlignment="1" applyProtection="1">
      <alignment horizontal="left" vertical="center" wrapText="1" indent="6"/>
      <protection/>
    </xf>
    <xf numFmtId="0" fontId="24" fillId="0" borderId="23" xfId="71" applyFont="1" applyFill="1" applyBorder="1" applyAlignment="1" applyProtection="1">
      <alignment horizontal="left" indent="6"/>
      <protection/>
    </xf>
    <xf numFmtId="0" fontId="24" fillId="0" borderId="23" xfId="71" applyFont="1" applyFill="1" applyBorder="1" applyAlignment="1" applyProtection="1">
      <alignment horizontal="left" vertical="center" wrapText="1" indent="6"/>
      <protection/>
    </xf>
    <xf numFmtId="164" fontId="26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71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71" applyFont="1" applyFill="1" applyBorder="1" applyAlignment="1" applyProtection="1">
      <alignment horizontal="left" vertical="center" wrapText="1" indent="7"/>
      <protection/>
    </xf>
    <xf numFmtId="164" fontId="26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71" applyFont="1" applyFill="1" applyBorder="1" applyAlignment="1" applyProtection="1">
      <alignment horizontal="left" vertical="center" wrapText="1" indent="1"/>
      <protection/>
    </xf>
    <xf numFmtId="0" fontId="23" fillId="0" borderId="31" xfId="71" applyFont="1" applyFill="1" applyBorder="1" applyAlignment="1" applyProtection="1">
      <alignment vertical="center" wrapText="1"/>
      <protection/>
    </xf>
    <xf numFmtId="164" fontId="23" fillId="0" borderId="32" xfId="71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71" applyFont="1" applyFill="1" applyBorder="1" applyAlignment="1" applyProtection="1">
      <alignment horizontal="left" vertical="center" wrapText="1" indent="1"/>
      <protection/>
    </xf>
    <xf numFmtId="164" fontId="26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71" applyFont="1" applyFill="1" applyBorder="1" applyAlignment="1" applyProtection="1">
      <alignment horizontal="left" vertical="center" wrapText="1" indent="6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0" fontId="24" fillId="0" borderId="19" xfId="71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1" applyFont="1" applyFill="1" applyProtection="1">
      <alignment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 applyAlignment="1" applyProtection="1">
      <alignment horizontal="right" vertical="center" indent="1"/>
      <protection/>
    </xf>
    <xf numFmtId="0" fontId="19" fillId="0" borderId="0" xfId="71" applyFont="1" applyFill="1" applyAlignment="1" applyProtection="1">
      <alignment horizontal="center"/>
      <protection/>
    </xf>
    <xf numFmtId="0" fontId="23" fillId="0" borderId="12" xfId="71" applyFont="1" applyFill="1" applyBorder="1" applyAlignment="1" applyProtection="1">
      <alignment vertical="center" wrapText="1"/>
      <protection/>
    </xf>
    <xf numFmtId="164" fontId="18" fillId="0" borderId="0" xfId="71" applyNumberFormat="1" applyFill="1" applyProtection="1">
      <alignment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0"/>
  <sheetViews>
    <sheetView tabSelected="1" view="pageLayout" zoomScaleNormal="115" zoomScaleSheetLayoutView="100" workbookViewId="0" topLeftCell="A1">
      <selection activeCell="B111" sqref="B111"/>
    </sheetView>
  </sheetViews>
  <sheetFormatPr defaultColWidth="9.00390625" defaultRowHeight="12.75"/>
  <cols>
    <col min="1" max="1" width="9.50390625" style="8" customWidth="1"/>
    <col min="2" max="2" width="79.00390625" style="8" customWidth="1"/>
    <col min="3" max="3" width="21.625" style="112" customWidth="1"/>
    <col min="4" max="4" width="19.375" style="2" hidden="1" customWidth="1"/>
    <col min="5" max="5" width="15.875" style="2" hidden="1" customWidth="1"/>
    <col min="6" max="6" width="21.8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1071189122</v>
      </c>
      <c r="D5" s="16">
        <f>+D6+D7+D8+D9+D10+D11</f>
        <v>1071189122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t="shared" si="0"/>
        <v>228418282</v>
      </c>
      <c r="D6" s="22">
        <f>227512539+905743</f>
        <v>228418282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219569080</v>
      </c>
      <c r="D7" s="27">
        <f>218107294+10461768-4721982-4278000</f>
        <v>219569080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6">
        <f t="shared" si="0"/>
        <v>369494435</v>
      </c>
      <c r="D8" s="27">
        <f>121200000+67844165+177597260+4526280+11511000+24250000-35761000-1673270</f>
        <v>369494435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9">
        <f t="shared" si="0"/>
        <v>31342308</v>
      </c>
      <c r="D9" s="27">
        <f>4412740+15262320+10629000-4412740+4412740+1038248</f>
        <v>31342308</v>
      </c>
      <c r="E9" s="28"/>
      <c r="F9" s="28"/>
    </row>
    <row r="10" spans="1:6" s="18" customFormat="1" ht="12" customHeight="1">
      <c r="A10" s="24" t="s">
        <v>22</v>
      </c>
      <c r="B10" s="30" t="s">
        <v>23</v>
      </c>
      <c r="C10" s="26">
        <f t="shared" si="0"/>
        <v>222365017</v>
      </c>
      <c r="D10" s="27">
        <f>1060845+3551000+168707597+128000+58000+13957152+413944+49094027+4501192-4412740-15000000+306000</f>
        <v>222365017</v>
      </c>
      <c r="E10" s="28"/>
      <c r="F10" s="28"/>
    </row>
    <row r="11" spans="1:6" s="18" customFormat="1" ht="12" customHeight="1" thickBot="1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</row>
    <row r="12" spans="1:6" s="18" customFormat="1" ht="12" customHeight="1" thickBot="1">
      <c r="A12" s="13" t="s">
        <v>26</v>
      </c>
      <c r="B12" s="36" t="s">
        <v>27</v>
      </c>
      <c r="C12" s="15">
        <f t="shared" si="0"/>
        <v>499903092</v>
      </c>
      <c r="D12" s="16">
        <f>+D13+D14+D15+D16+D17</f>
        <v>499903092</v>
      </c>
      <c r="E12" s="17">
        <f>+E13+E14+E15+E16+E17</f>
        <v>0</v>
      </c>
      <c r="F12" s="17">
        <f>+F13+F14+F15+F16+F17</f>
        <v>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7"/>
      <c r="E13" s="38"/>
      <c r="F13" s="38"/>
    </row>
    <row r="14" spans="1:6" s="18" customFormat="1" ht="12" customHeight="1">
      <c r="A14" s="24" t="s">
        <v>30</v>
      </c>
      <c r="B14" s="25" t="s">
        <v>31</v>
      </c>
      <c r="C14" s="29">
        <f t="shared" si="0"/>
        <v>0</v>
      </c>
      <c r="D14" s="34"/>
      <c r="E14" s="35"/>
      <c r="F14" s="35"/>
    </row>
    <row r="15" spans="1:6" s="18" customFormat="1" ht="12" customHeight="1">
      <c r="A15" s="24" t="s">
        <v>32</v>
      </c>
      <c r="B15" s="25" t="s">
        <v>33</v>
      </c>
      <c r="C15" s="29">
        <f t="shared" si="0"/>
        <v>0</v>
      </c>
      <c r="D15" s="34"/>
      <c r="E15" s="35"/>
      <c r="F15" s="35"/>
    </row>
    <row r="16" spans="1:6" s="18" customFormat="1" ht="12" customHeight="1">
      <c r="A16" s="24" t="s">
        <v>34</v>
      </c>
      <c r="B16" s="25" t="s">
        <v>35</v>
      </c>
      <c r="C16" s="29">
        <f t="shared" si="0"/>
        <v>0</v>
      </c>
      <c r="D16" s="34"/>
      <c r="E16" s="35"/>
      <c r="F16" s="35"/>
    </row>
    <row r="17" spans="1:6" s="18" customFormat="1" ht="12" customHeight="1">
      <c r="A17" s="24" t="s">
        <v>36</v>
      </c>
      <c r="B17" s="25" t="s">
        <v>37</v>
      </c>
      <c r="C17" s="26">
        <f t="shared" si="0"/>
        <v>499903092</v>
      </c>
      <c r="D17" s="27">
        <f>210000+65342000+25310845+9303887+291175856+362000+94906504+6840000+1770000+4682000</f>
        <v>499903092</v>
      </c>
      <c r="E17" s="39"/>
      <c r="F17" s="28"/>
    </row>
    <row r="18" spans="1:6" s="18" customFormat="1" ht="12" customHeight="1" thickBot="1">
      <c r="A18" s="31" t="s">
        <v>38</v>
      </c>
      <c r="B18" s="32" t="s">
        <v>39</v>
      </c>
      <c r="C18" s="33">
        <f t="shared" si="0"/>
        <v>0</v>
      </c>
      <c r="D18" s="40"/>
      <c r="E18" s="41"/>
      <c r="F18" s="41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342623644</v>
      </c>
      <c r="D19" s="16">
        <f>+D20+D21+D22+D23+D24</f>
        <v>342623644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15690532</v>
      </c>
      <c r="D20" s="22">
        <v>15690532</v>
      </c>
      <c r="E20" s="42"/>
      <c r="F20" s="42"/>
    </row>
    <row r="21" spans="1:6" s="18" customFormat="1" ht="12" customHeight="1">
      <c r="A21" s="24" t="s">
        <v>44</v>
      </c>
      <c r="B21" s="25" t="s">
        <v>45</v>
      </c>
      <c r="C21" s="29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9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9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9">
        <f t="shared" si="0"/>
        <v>326933112</v>
      </c>
      <c r="D24" s="27">
        <f>3797300+15179276+2160000+75588869+15956160+214128350+123157</f>
        <v>326933112</v>
      </c>
      <c r="E24" s="28"/>
      <c r="F24" s="28"/>
    </row>
    <row r="25" spans="1:6" s="18" customFormat="1" ht="12" customHeight="1" thickBot="1">
      <c r="A25" s="31" t="s">
        <v>52</v>
      </c>
      <c r="B25" s="43" t="s">
        <v>53</v>
      </c>
      <c r="C25" s="33">
        <f t="shared" si="0"/>
        <v>309470679</v>
      </c>
      <c r="D25" s="44">
        <f>3797300+75588869+15956160+214128350</f>
        <v>309470679</v>
      </c>
      <c r="E25" s="41"/>
      <c r="F25" s="45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356490000</v>
      </c>
      <c r="D26" s="46">
        <f>+D27+D31+D32+D33</f>
        <v>356490000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 t="shared" si="0"/>
        <v>317830000</v>
      </c>
      <c r="D27" s="47">
        <f>SUM(D28:D30)</f>
        <v>317830000</v>
      </c>
      <c r="E27" s="48"/>
      <c r="F27" s="48"/>
    </row>
    <row r="28" spans="1:6" s="18" customFormat="1" ht="12" customHeight="1">
      <c r="A28" s="24" t="s">
        <v>58</v>
      </c>
      <c r="B28" s="25" t="s">
        <v>59</v>
      </c>
      <c r="C28" s="29">
        <f t="shared" si="0"/>
        <v>78990000</v>
      </c>
      <c r="D28" s="34">
        <f>8990000+70000000</f>
        <v>78990000</v>
      </c>
      <c r="E28" s="35"/>
      <c r="F28" s="35"/>
    </row>
    <row r="29" spans="1:6" s="18" customFormat="1" ht="12" customHeight="1">
      <c r="A29" s="24" t="s">
        <v>60</v>
      </c>
      <c r="B29" s="25" t="s">
        <v>61</v>
      </c>
      <c r="C29" s="29">
        <f t="shared" si="0"/>
        <v>238840000</v>
      </c>
      <c r="D29" s="34">
        <f>203840000+35000000</f>
        <v>238840000</v>
      </c>
      <c r="E29" s="35"/>
      <c r="F29" s="35"/>
    </row>
    <row r="30" spans="1:6" s="18" customFormat="1" ht="12" customHeight="1">
      <c r="A30" s="24" t="s">
        <v>62</v>
      </c>
      <c r="B30" s="25" t="s">
        <v>63</v>
      </c>
      <c r="C30" s="29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9">
        <f t="shared" si="0"/>
        <v>27000000</v>
      </c>
      <c r="D31" s="34">
        <f>27000000</f>
        <v>27000000</v>
      </c>
      <c r="E31" s="35"/>
      <c r="F31" s="28"/>
    </row>
    <row r="32" spans="1:6" s="18" customFormat="1" ht="12" customHeight="1">
      <c r="A32" s="24" t="s">
        <v>66</v>
      </c>
      <c r="B32" s="25" t="s">
        <v>67</v>
      </c>
      <c r="C32" s="29">
        <f t="shared" si="0"/>
        <v>60000</v>
      </c>
      <c r="D32" s="34">
        <f>4060000-4000000</f>
        <v>60000</v>
      </c>
      <c r="E32" s="35"/>
      <c r="F32" s="28"/>
    </row>
    <row r="33" spans="1:6" s="18" customFormat="1" ht="12" customHeight="1" thickBot="1">
      <c r="A33" s="31" t="s">
        <v>68</v>
      </c>
      <c r="B33" s="43" t="s">
        <v>69</v>
      </c>
      <c r="C33" s="33">
        <f t="shared" si="0"/>
        <v>11600000</v>
      </c>
      <c r="D33" s="44">
        <f>5500000+4000000+2100000</f>
        <v>11600000</v>
      </c>
      <c r="E33" s="41"/>
      <c r="F33" s="41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222259601</v>
      </c>
      <c r="D34" s="16">
        <f>SUM(D35:D45)</f>
        <v>43165325</v>
      </c>
      <c r="E34" s="17">
        <f>SUM(E35:E45)</f>
        <v>2748500</v>
      </c>
      <c r="F34" s="17">
        <f>SUM(F35:F45)</f>
        <v>176345776</v>
      </c>
    </row>
    <row r="35" spans="1:6" s="18" customFormat="1" ht="12" customHeight="1">
      <c r="A35" s="19" t="s">
        <v>72</v>
      </c>
      <c r="B35" s="20" t="s">
        <v>73</v>
      </c>
      <c r="C35" s="49">
        <f t="shared" si="0"/>
        <v>9242694</v>
      </c>
      <c r="D35" s="22">
        <f>4000000+5000000+222694-130000</f>
        <v>9092694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6">
        <f t="shared" si="0"/>
        <v>42731177</v>
      </c>
      <c r="D36" s="27">
        <f>100000+12004000+33071+555000-470800</f>
        <v>12221271</v>
      </c>
      <c r="E36" s="28">
        <v>2164000</v>
      </c>
      <c r="F36" s="23">
        <v>28345906</v>
      </c>
    </row>
    <row r="37" spans="1:6" s="18" customFormat="1" ht="12" customHeight="1">
      <c r="A37" s="24" t="s">
        <v>76</v>
      </c>
      <c r="B37" s="25" t="s">
        <v>77</v>
      </c>
      <c r="C37" s="26">
        <f t="shared" si="0"/>
        <v>82221218</v>
      </c>
      <c r="D37" s="27">
        <f>8458000+947000+918292+143307-195228+206000+158027+700000+157480-4705000+240000</f>
        <v>7027878</v>
      </c>
      <c r="E37" s="28"/>
      <c r="F37" s="23">
        <v>75193340</v>
      </c>
    </row>
    <row r="38" spans="1:6" s="18" customFormat="1" ht="12" customHeight="1">
      <c r="A38" s="24" t="s">
        <v>78</v>
      </c>
      <c r="B38" s="25" t="s">
        <v>79</v>
      </c>
      <c r="C38" s="29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9">
        <f t="shared" si="0"/>
        <v>23819682</v>
      </c>
      <c r="D39" s="27"/>
      <c r="E39" s="28"/>
      <c r="F39" s="23">
        <v>23819682</v>
      </c>
    </row>
    <row r="40" spans="1:6" s="18" customFormat="1" ht="12" customHeight="1">
      <c r="A40" s="24" t="s">
        <v>82</v>
      </c>
      <c r="B40" s="25" t="s">
        <v>83</v>
      </c>
      <c r="C40" s="26">
        <f t="shared" si="0"/>
        <v>42652512</v>
      </c>
      <c r="D40" s="27">
        <f>3242000+5853000+378000+600000+1350000+270000+682000+47622+195228+206000+40410+27000-91096+189000</f>
        <v>12989164</v>
      </c>
      <c r="E40" s="28">
        <v>584500</v>
      </c>
      <c r="F40" s="23">
        <v>29078848</v>
      </c>
    </row>
    <row r="41" spans="1:6" s="18" customFormat="1" ht="12" customHeight="1">
      <c r="A41" s="24" t="s">
        <v>84</v>
      </c>
      <c r="B41" s="25" t="s">
        <v>85</v>
      </c>
      <c r="C41" s="29">
        <f t="shared" si="0"/>
        <v>19748000</v>
      </c>
      <c r="D41" s="27"/>
      <c r="E41" s="28"/>
      <c r="F41" s="23">
        <f>21034000-1286000</f>
        <v>19748000</v>
      </c>
    </row>
    <row r="42" spans="1:6" s="18" customFormat="1" ht="12" customHeight="1">
      <c r="A42" s="24" t="s">
        <v>86</v>
      </c>
      <c r="B42" s="25" t="s">
        <v>87</v>
      </c>
      <c r="C42" s="29">
        <f t="shared" si="0"/>
        <v>10000</v>
      </c>
      <c r="D42" s="27"/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9">
        <f t="shared" si="0"/>
        <v>0</v>
      </c>
      <c r="D43" s="27"/>
      <c r="E43" s="28"/>
      <c r="F43" s="23"/>
    </row>
    <row r="44" spans="1:6" s="18" customFormat="1" ht="12" customHeight="1">
      <c r="A44" s="31" t="s">
        <v>90</v>
      </c>
      <c r="B44" s="43" t="s">
        <v>91</v>
      </c>
      <c r="C44" s="29">
        <f t="shared" si="0"/>
        <v>500000</v>
      </c>
      <c r="D44" s="44">
        <f>500000</f>
        <v>500000</v>
      </c>
      <c r="E44" s="41"/>
      <c r="F44" s="41"/>
    </row>
    <row r="45" spans="1:6" s="18" customFormat="1" ht="12" customHeight="1" thickBot="1">
      <c r="A45" s="31" t="s">
        <v>92</v>
      </c>
      <c r="B45" s="32" t="s">
        <v>93</v>
      </c>
      <c r="C45" s="33">
        <f t="shared" si="0"/>
        <v>904318</v>
      </c>
      <c r="D45" s="44">
        <f>704000+200318</f>
        <v>904318</v>
      </c>
      <c r="E45" s="41"/>
      <c r="F45" s="50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47179000</v>
      </c>
      <c r="D46" s="16">
        <f>SUM(D47:D51)</f>
        <v>47179000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9">
        <f t="shared" si="0"/>
        <v>47179000</v>
      </c>
      <c r="D48" s="27">
        <f>25179000+22000000</f>
        <v>47179000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9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9">
        <f t="shared" si="0"/>
        <v>0</v>
      </c>
      <c r="D50" s="27"/>
      <c r="E50" s="28"/>
      <c r="F50" s="28"/>
    </row>
    <row r="51" spans="1:6" s="18" customFormat="1" ht="12" customHeight="1" thickBot="1">
      <c r="A51" s="31" t="s">
        <v>104</v>
      </c>
      <c r="B51" s="32" t="s">
        <v>105</v>
      </c>
      <c r="C51" s="33">
        <f t="shared" si="0"/>
        <v>0</v>
      </c>
      <c r="D51" s="44"/>
      <c r="E51" s="41"/>
      <c r="F51" s="41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4538000</v>
      </c>
      <c r="D52" s="16">
        <f>SUM(D53:D55)</f>
        <v>4538000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7"/>
      <c r="E53" s="38"/>
      <c r="F53" s="38"/>
    </row>
    <row r="54" spans="1:6" s="18" customFormat="1" ht="12" customHeight="1">
      <c r="A54" s="24" t="s">
        <v>110</v>
      </c>
      <c r="B54" s="25" t="s">
        <v>111</v>
      </c>
      <c r="C54" s="29">
        <f t="shared" si="0"/>
        <v>383000</v>
      </c>
      <c r="D54" s="27">
        <v>383000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6">
        <f t="shared" si="0"/>
        <v>4155000</v>
      </c>
      <c r="D55" s="27">
        <f>4075000+80000</f>
        <v>4155000</v>
      </c>
      <c r="E55" s="28"/>
      <c r="F55" s="28"/>
    </row>
    <row r="56" spans="1:6" s="18" customFormat="1" ht="12" customHeight="1" thickBot="1">
      <c r="A56" s="31" t="s">
        <v>114</v>
      </c>
      <c r="B56" s="32" t="s">
        <v>115</v>
      </c>
      <c r="C56" s="33">
        <f t="shared" si="0"/>
        <v>0</v>
      </c>
      <c r="D56" s="40"/>
      <c r="E56" s="45"/>
      <c r="F56" s="45"/>
    </row>
    <row r="57" spans="1:6" s="18" customFormat="1" ht="12" customHeight="1" thickBot="1">
      <c r="A57" s="13" t="s">
        <v>116</v>
      </c>
      <c r="B57" s="36" t="s">
        <v>117</v>
      </c>
      <c r="C57" s="51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9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9">
        <f t="shared" si="0"/>
        <v>0</v>
      </c>
      <c r="D60" s="27"/>
      <c r="E60" s="28"/>
      <c r="F60" s="28"/>
    </row>
    <row r="61" spans="1:6" s="18" customFormat="1" ht="12" customHeight="1" thickBot="1">
      <c r="A61" s="31" t="s">
        <v>124</v>
      </c>
      <c r="B61" s="32" t="s">
        <v>125</v>
      </c>
      <c r="C61" s="33">
        <f t="shared" si="0"/>
        <v>0</v>
      </c>
      <c r="D61" s="27"/>
      <c r="E61" s="28"/>
      <c r="F61" s="28"/>
    </row>
    <row r="62" spans="1:6" s="18" customFormat="1" ht="12" customHeight="1" thickBot="1">
      <c r="A62" s="52" t="s">
        <v>126</v>
      </c>
      <c r="B62" s="14" t="s">
        <v>127</v>
      </c>
      <c r="C62" s="15">
        <f t="shared" si="0"/>
        <v>2544182459</v>
      </c>
      <c r="D62" s="46">
        <f>+D5+D12+D19+D26+D34+D46+D52+D57</f>
        <v>2365088183</v>
      </c>
      <c r="E62" s="15">
        <f>+E5+E12+E19+E26+E34+E46+E52+E57</f>
        <v>2748500</v>
      </c>
      <c r="F62" s="15">
        <f>+F5+F12+F19+F26+F34+F46+F52+F57</f>
        <v>176345776</v>
      </c>
    </row>
    <row r="63" spans="1:6" s="18" customFormat="1" ht="12" customHeight="1" thickBot="1">
      <c r="A63" s="53" t="s">
        <v>128</v>
      </c>
      <c r="B63" s="36" t="s">
        <v>129</v>
      </c>
      <c r="C63" s="51">
        <f t="shared" si="0"/>
        <v>5500000</v>
      </c>
      <c r="D63" s="16">
        <f>SUM(D64:D66)</f>
        <v>5500000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5500000</v>
      </c>
      <c r="D64" s="27">
        <v>5500000</v>
      </c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9">
        <f t="shared" si="0"/>
        <v>0</v>
      </c>
      <c r="D65" s="27"/>
      <c r="E65" s="28"/>
      <c r="F65" s="28"/>
    </row>
    <row r="66" spans="1:6" s="18" customFormat="1" ht="12" customHeight="1" thickBot="1">
      <c r="A66" s="31" t="s">
        <v>134</v>
      </c>
      <c r="B66" s="54" t="s">
        <v>135</v>
      </c>
      <c r="C66" s="33">
        <f t="shared" si="0"/>
        <v>0</v>
      </c>
      <c r="D66" s="27"/>
      <c r="E66" s="28"/>
      <c r="F66" s="28"/>
    </row>
    <row r="67" spans="1:6" s="18" customFormat="1" ht="12" customHeight="1" thickBot="1">
      <c r="A67" s="53" t="s">
        <v>136</v>
      </c>
      <c r="B67" s="36" t="s">
        <v>137</v>
      </c>
      <c r="C67" s="51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9">
        <f aca="true" t="shared" si="1" ref="C69:C87"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9">
        <f t="shared" si="1"/>
        <v>0</v>
      </c>
      <c r="D70" s="27"/>
      <c r="E70" s="28"/>
      <c r="F70" s="28"/>
    </row>
    <row r="71" spans="1:6" s="18" customFormat="1" ht="12" customHeight="1" thickBot="1">
      <c r="A71" s="31" t="s">
        <v>144</v>
      </c>
      <c r="B71" s="32" t="s">
        <v>145</v>
      </c>
      <c r="C71" s="33">
        <f t="shared" si="1"/>
        <v>0</v>
      </c>
      <c r="D71" s="27"/>
      <c r="E71" s="28"/>
      <c r="F71" s="28"/>
    </row>
    <row r="72" spans="1:6" s="18" customFormat="1" ht="12" customHeight="1" thickBot="1">
      <c r="A72" s="53" t="s">
        <v>146</v>
      </c>
      <c r="B72" s="36" t="s">
        <v>147</v>
      </c>
      <c r="C72" s="15">
        <f t="shared" si="1"/>
        <v>292133965</v>
      </c>
      <c r="D72" s="16">
        <f>SUM(D73:D74)</f>
        <v>289331423</v>
      </c>
      <c r="E72" s="17">
        <f>SUM(E73:E74)</f>
        <v>0</v>
      </c>
      <c r="F72" s="17">
        <f>SUM(F73:F74)</f>
        <v>2802542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292133965</v>
      </c>
      <c r="D73" s="27">
        <v>289331423</v>
      </c>
      <c r="E73" s="28"/>
      <c r="F73" s="28">
        <v>2802542</v>
      </c>
    </row>
    <row r="74" spans="1:6" s="18" customFormat="1" ht="12" customHeight="1" thickBot="1">
      <c r="A74" s="31" t="s">
        <v>150</v>
      </c>
      <c r="B74" s="32" t="s">
        <v>151</v>
      </c>
      <c r="C74" s="33">
        <f t="shared" si="1"/>
        <v>0</v>
      </c>
      <c r="D74" s="27"/>
      <c r="E74" s="28"/>
      <c r="F74" s="28"/>
    </row>
    <row r="75" spans="1:6" s="18" customFormat="1" ht="12" customHeight="1" thickBot="1">
      <c r="A75" s="53" t="s">
        <v>152</v>
      </c>
      <c r="B75" s="36" t="s">
        <v>153</v>
      </c>
      <c r="C75" s="51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9">
        <f t="shared" si="1"/>
        <v>0</v>
      </c>
      <c r="D77" s="27"/>
      <c r="E77" s="28"/>
      <c r="F77" s="28"/>
    </row>
    <row r="78" spans="1:6" s="18" customFormat="1" ht="12" customHeight="1" thickBot="1">
      <c r="A78" s="31" t="s">
        <v>158</v>
      </c>
      <c r="B78" s="32" t="s">
        <v>159</v>
      </c>
      <c r="C78" s="33">
        <f t="shared" si="1"/>
        <v>0</v>
      </c>
      <c r="D78" s="27"/>
      <c r="E78" s="28"/>
      <c r="F78" s="28"/>
    </row>
    <row r="79" spans="1:6" s="18" customFormat="1" ht="12" customHeight="1" thickBot="1">
      <c r="A79" s="53" t="s">
        <v>160</v>
      </c>
      <c r="B79" s="36" t="s">
        <v>161</v>
      </c>
      <c r="C79" s="51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5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6" t="s">
        <v>164</v>
      </c>
      <c r="B81" s="25" t="s">
        <v>165</v>
      </c>
      <c r="C81" s="29">
        <f t="shared" si="1"/>
        <v>0</v>
      </c>
      <c r="D81" s="27"/>
      <c r="E81" s="28"/>
      <c r="F81" s="28"/>
    </row>
    <row r="82" spans="1:6" s="18" customFormat="1" ht="12" customHeight="1">
      <c r="A82" s="56" t="s">
        <v>166</v>
      </c>
      <c r="B82" s="25" t="s">
        <v>167</v>
      </c>
      <c r="C82" s="29">
        <f t="shared" si="1"/>
        <v>0</v>
      </c>
      <c r="D82" s="27"/>
      <c r="E82" s="28"/>
      <c r="F82" s="28"/>
    </row>
    <row r="83" spans="1:6" s="18" customFormat="1" ht="12" customHeight="1" thickBot="1">
      <c r="A83" s="57" t="s">
        <v>168</v>
      </c>
      <c r="B83" s="32" t="s">
        <v>169</v>
      </c>
      <c r="C83" s="33">
        <f t="shared" si="1"/>
        <v>0</v>
      </c>
      <c r="D83" s="27"/>
      <c r="E83" s="28"/>
      <c r="F83" s="28"/>
    </row>
    <row r="84" spans="1:6" s="18" customFormat="1" ht="12" customHeight="1" thickBot="1">
      <c r="A84" s="53" t="s">
        <v>170</v>
      </c>
      <c r="B84" s="36" t="s">
        <v>171</v>
      </c>
      <c r="C84" s="58">
        <f t="shared" si="1"/>
        <v>0</v>
      </c>
      <c r="D84" s="59"/>
      <c r="E84" s="60"/>
      <c r="F84" s="60"/>
    </row>
    <row r="85" spans="1:6" s="18" customFormat="1" ht="13.5" customHeight="1" thickBot="1">
      <c r="A85" s="53" t="s">
        <v>172</v>
      </c>
      <c r="B85" s="36" t="s">
        <v>173</v>
      </c>
      <c r="C85" s="51">
        <f t="shared" si="1"/>
        <v>0</v>
      </c>
      <c r="D85" s="59"/>
      <c r="E85" s="60"/>
      <c r="F85" s="60"/>
    </row>
    <row r="86" spans="1:6" s="18" customFormat="1" ht="15.75" customHeight="1" thickBot="1">
      <c r="A86" s="53" t="s">
        <v>174</v>
      </c>
      <c r="B86" s="61" t="s">
        <v>175</v>
      </c>
      <c r="C86" s="15">
        <f t="shared" si="1"/>
        <v>297633965</v>
      </c>
      <c r="D86" s="46">
        <f>+D63+D67+D72+D75+D79+D85+D84</f>
        <v>294831423</v>
      </c>
      <c r="E86" s="15">
        <f>+E63+E67+E72+E75+E79+E85+E84</f>
        <v>0</v>
      </c>
      <c r="F86" s="15">
        <f>+F63+F67+F72+F75+F79+F85+F84</f>
        <v>2802542</v>
      </c>
    </row>
    <row r="87" spans="1:6" s="18" customFormat="1" ht="16.5" customHeight="1" thickBot="1">
      <c r="A87" s="62" t="s">
        <v>176</v>
      </c>
      <c r="B87" s="63" t="s">
        <v>177</v>
      </c>
      <c r="C87" s="64">
        <f t="shared" si="1"/>
        <v>2841816424</v>
      </c>
      <c r="D87" s="46">
        <f>+D62+D86</f>
        <v>2659919606</v>
      </c>
      <c r="E87" s="15">
        <f>+E62+E86</f>
        <v>2748500</v>
      </c>
      <c r="F87" s="15">
        <f>+F62+F86</f>
        <v>179148318</v>
      </c>
    </row>
    <row r="88" spans="1:3" s="18" customFormat="1" ht="83.25" customHeight="1">
      <c r="A88" s="65"/>
      <c r="B88" s="66"/>
      <c r="C88" s="67"/>
    </row>
    <row r="89" spans="1:3" ht="16.5" customHeight="1">
      <c r="A89" s="1" t="s">
        <v>178</v>
      </c>
      <c r="B89" s="1"/>
      <c r="C89" s="1"/>
    </row>
    <row r="90" spans="1:3" s="70" customFormat="1" ht="16.5" customHeight="1" thickBot="1">
      <c r="A90" s="68" t="s">
        <v>179</v>
      </c>
      <c r="B90" s="68"/>
      <c r="C90" s="69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1" t="s">
        <v>9</v>
      </c>
      <c r="B92" s="72" t="s">
        <v>10</v>
      </c>
      <c r="C92" s="11" t="s">
        <v>11</v>
      </c>
    </row>
    <row r="93" spans="1:6" ht="12" customHeight="1" thickBot="1">
      <c r="A93" s="73" t="s">
        <v>12</v>
      </c>
      <c r="B93" s="74" t="s">
        <v>181</v>
      </c>
      <c r="C93" s="15">
        <f aca="true" t="shared" si="2" ref="C93:C154">SUM(D93:F93)</f>
        <v>1999333547</v>
      </c>
      <c r="D93" s="75">
        <f>+D94+D95+D96+D97+D98+D111</f>
        <v>1115158383</v>
      </c>
      <c r="E93" s="76">
        <f>+E94+E95+E96+E97+E98+E111</f>
        <v>26260350</v>
      </c>
      <c r="F93" s="77">
        <f>F94+F95+F96+F97+F98+F111</f>
        <v>857914814</v>
      </c>
    </row>
    <row r="94" spans="1:6" ht="12" customHeight="1">
      <c r="A94" s="78" t="s">
        <v>14</v>
      </c>
      <c r="B94" s="79" t="s">
        <v>182</v>
      </c>
      <c r="C94" s="49">
        <f t="shared" si="2"/>
        <v>923379166</v>
      </c>
      <c r="D94" s="80">
        <f>25364000+1932000+165142000+105000+48000+8381882+232903371+281000+326126+85501355+54000-231000-1302308+140000+50000+124089+1643675-132000-1343902+1090963-199331+2037000+101222+240000-395935-18339</f>
        <v>521842868</v>
      </c>
      <c r="E94" s="81">
        <v>579000</v>
      </c>
      <c r="F94" s="82">
        <f>400743120+112360+2034476-1932658</f>
        <v>400957298</v>
      </c>
    </row>
    <row r="95" spans="1:6" ht="12" customHeight="1">
      <c r="A95" s="24" t="s">
        <v>16</v>
      </c>
      <c r="B95" s="83" t="s">
        <v>183</v>
      </c>
      <c r="C95" s="26">
        <f t="shared" si="2"/>
        <v>156332466</v>
      </c>
      <c r="D95" s="27">
        <f>5239000+425000+14000+19299000+23000+10000+922005+25618911+31000+35874+9405149+12000-45738-286508+51864+21830+69499+315700-26136-235888+208612+21425+448140+47520-65445</f>
        <v>61559814</v>
      </c>
      <c r="E95" s="28">
        <v>231000</v>
      </c>
      <c r="F95" s="84">
        <f>94550329+22247+440742-471666</f>
        <v>94541652</v>
      </c>
    </row>
    <row r="96" spans="1:6" ht="12" customHeight="1">
      <c r="A96" s="24" t="s">
        <v>18</v>
      </c>
      <c r="B96" s="83" t="s">
        <v>184</v>
      </c>
      <c r="C96" s="26">
        <f t="shared" si="2"/>
        <v>677571485</v>
      </c>
      <c r="D96" s="44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+108500+433000+46000+8760131+1174136-2866987+1246500+68374+300000+199094+214000-4705000+254000+381000+2749550+394000+326000+454000+2267725-558800+1524000+1905000-2694940+2837893+896339</f>
        <v>313955271</v>
      </c>
      <c r="E96" s="41">
        <f>1141350+59000</f>
        <v>1200350</v>
      </c>
      <c r="F96" s="84">
        <f>377214048+80000-14878184</f>
        <v>362415864</v>
      </c>
    </row>
    <row r="97" spans="1:6" ht="12" customHeight="1">
      <c r="A97" s="24" t="s">
        <v>20</v>
      </c>
      <c r="B97" s="83" t="s">
        <v>185</v>
      </c>
      <c r="C97" s="26">
        <f t="shared" si="2"/>
        <v>88328740</v>
      </c>
      <c r="D97" s="44">
        <f>70980000+5000-6906260</f>
        <v>64078740</v>
      </c>
      <c r="E97" s="41">
        <v>24250000</v>
      </c>
      <c r="F97" s="84"/>
    </row>
    <row r="98" spans="1:6" ht="12" customHeight="1">
      <c r="A98" s="24" t="s">
        <v>186</v>
      </c>
      <c r="B98" s="85" t="s">
        <v>187</v>
      </c>
      <c r="C98" s="29">
        <f t="shared" si="2"/>
        <v>65099007</v>
      </c>
      <c r="D98" s="44">
        <f>SUM(D99:D110)</f>
        <v>65099007</v>
      </c>
      <c r="E98" s="41">
        <f>SUM(E99:E110)</f>
        <v>0</v>
      </c>
      <c r="F98" s="41"/>
    </row>
    <row r="99" spans="1:6" ht="12" customHeight="1">
      <c r="A99" s="24" t="s">
        <v>24</v>
      </c>
      <c r="B99" s="83" t="s">
        <v>188</v>
      </c>
      <c r="C99" s="26">
        <f t="shared" si="2"/>
        <v>7358007</v>
      </c>
      <c r="D99" s="44">
        <f>1500+6098534+1143510+114463</f>
        <v>7358007</v>
      </c>
      <c r="E99" s="41"/>
      <c r="F99" s="41"/>
    </row>
    <row r="100" spans="1:6" ht="12" customHeight="1">
      <c r="A100" s="24" t="s">
        <v>189</v>
      </c>
      <c r="B100" s="86" t="s">
        <v>190</v>
      </c>
      <c r="C100" s="29">
        <f t="shared" si="2"/>
        <v>0</v>
      </c>
      <c r="D100" s="44"/>
      <c r="E100" s="41"/>
      <c r="F100" s="41"/>
    </row>
    <row r="101" spans="1:6" ht="12" customHeight="1">
      <c r="A101" s="24" t="s">
        <v>191</v>
      </c>
      <c r="B101" s="86" t="s">
        <v>192</v>
      </c>
      <c r="C101" s="29">
        <f t="shared" si="2"/>
        <v>0</v>
      </c>
      <c r="D101" s="44"/>
      <c r="E101" s="41"/>
      <c r="F101" s="41"/>
    </row>
    <row r="102" spans="1:6" ht="12" customHeight="1">
      <c r="A102" s="24" t="s">
        <v>193</v>
      </c>
      <c r="B102" s="87" t="s">
        <v>194</v>
      </c>
      <c r="C102" s="29">
        <f t="shared" si="2"/>
        <v>0</v>
      </c>
      <c r="D102" s="44"/>
      <c r="E102" s="41"/>
      <c r="F102" s="41"/>
    </row>
    <row r="103" spans="1:6" ht="12" customHeight="1">
      <c r="A103" s="24" t="s">
        <v>195</v>
      </c>
      <c r="B103" s="88" t="s">
        <v>196</v>
      </c>
      <c r="C103" s="29">
        <f t="shared" si="2"/>
        <v>0</v>
      </c>
      <c r="D103" s="44"/>
      <c r="E103" s="41"/>
      <c r="F103" s="41"/>
    </row>
    <row r="104" spans="1:6" ht="12" customHeight="1">
      <c r="A104" s="24" t="s">
        <v>197</v>
      </c>
      <c r="B104" s="88" t="s">
        <v>198</v>
      </c>
      <c r="C104" s="29">
        <f t="shared" si="2"/>
        <v>0</v>
      </c>
      <c r="D104" s="44"/>
      <c r="E104" s="41"/>
      <c r="F104" s="41"/>
    </row>
    <row r="105" spans="1:6" ht="12" customHeight="1">
      <c r="A105" s="24" t="s">
        <v>199</v>
      </c>
      <c r="B105" s="87" t="s">
        <v>200</v>
      </c>
      <c r="C105" s="29">
        <f t="shared" si="2"/>
        <v>0</v>
      </c>
      <c r="D105" s="44">
        <f>60754-60754</f>
        <v>0</v>
      </c>
      <c r="E105" s="41"/>
      <c r="F105" s="41"/>
    </row>
    <row r="106" spans="1:6" ht="12" customHeight="1">
      <c r="A106" s="24" t="s">
        <v>201</v>
      </c>
      <c r="B106" s="87" t="s">
        <v>202</v>
      </c>
      <c r="C106" s="29">
        <f t="shared" si="2"/>
        <v>0</v>
      </c>
      <c r="D106" s="89"/>
      <c r="E106" s="41"/>
      <c r="F106" s="41"/>
    </row>
    <row r="107" spans="1:6" ht="12" customHeight="1">
      <c r="A107" s="24" t="s">
        <v>203</v>
      </c>
      <c r="B107" s="88" t="s">
        <v>204</v>
      </c>
      <c r="C107" s="29">
        <f t="shared" si="2"/>
        <v>0</v>
      </c>
      <c r="D107" s="44"/>
      <c r="E107" s="41"/>
      <c r="F107" s="41"/>
    </row>
    <row r="108" spans="1:6" ht="12" customHeight="1">
      <c r="A108" s="90" t="s">
        <v>205</v>
      </c>
      <c r="B108" s="86" t="s">
        <v>206</v>
      </c>
      <c r="C108" s="29">
        <f t="shared" si="2"/>
        <v>0</v>
      </c>
      <c r="D108" s="44"/>
      <c r="E108" s="41"/>
      <c r="F108" s="41"/>
    </row>
    <row r="109" spans="1:6" ht="12" customHeight="1">
      <c r="A109" s="24" t="s">
        <v>207</v>
      </c>
      <c r="B109" s="86" t="s">
        <v>208</v>
      </c>
      <c r="C109" s="29">
        <f t="shared" si="2"/>
        <v>0</v>
      </c>
      <c r="D109" s="44"/>
      <c r="E109" s="41"/>
      <c r="F109" s="41"/>
    </row>
    <row r="110" spans="1:6" ht="12" customHeight="1">
      <c r="A110" s="31" t="s">
        <v>209</v>
      </c>
      <c r="B110" s="86" t="s">
        <v>210</v>
      </c>
      <c r="C110" s="26">
        <f t="shared" si="2"/>
        <v>57741000</v>
      </c>
      <c r="D110" s="27">
        <f>536000+1500000+500000+4000000+200000+189000+7562000+16678000+3500000+6600000+2000000+4000000+7351000+2875000+250000</f>
        <v>57741000</v>
      </c>
      <c r="E110" s="28"/>
      <c r="F110" s="41"/>
    </row>
    <row r="111" spans="1:6" ht="12" customHeight="1">
      <c r="A111" s="24" t="s">
        <v>211</v>
      </c>
      <c r="B111" s="83" t="s">
        <v>212</v>
      </c>
      <c r="C111" s="29">
        <f t="shared" si="2"/>
        <v>88622683</v>
      </c>
      <c r="D111" s="27">
        <f>SUM(D112:D113)</f>
        <v>88622683</v>
      </c>
      <c r="E111" s="28"/>
      <c r="F111" s="28">
        <f>SUM(F112:F113)</f>
        <v>0</v>
      </c>
    </row>
    <row r="112" spans="1:6" ht="12" customHeight="1">
      <c r="A112" s="24" t="s">
        <v>213</v>
      </c>
      <c r="B112" s="83" t="s">
        <v>214</v>
      </c>
      <c r="C112" s="26">
        <f t="shared" si="2"/>
        <v>18133361</v>
      </c>
      <c r="D112" s="44">
        <f>20000000-9172313+8719388-4010722-1042502-1846399+5485909</f>
        <v>18133361</v>
      </c>
      <c r="E112" s="41"/>
      <c r="F112" s="28"/>
    </row>
    <row r="113" spans="1:6" ht="12" customHeight="1" thickBot="1">
      <c r="A113" s="91" t="s">
        <v>215</v>
      </c>
      <c r="B113" s="92" t="s">
        <v>216</v>
      </c>
      <c r="C113" s="93">
        <f t="shared" si="2"/>
        <v>70489322</v>
      </c>
      <c r="D113" s="94">
        <f>111113300-8373330-1600000-8539600-6323156-7948000-7343244+31158286-32066515+411581</f>
        <v>70489322</v>
      </c>
      <c r="E113" s="95"/>
      <c r="F113" s="95"/>
    </row>
    <row r="114" spans="1:6" ht="12" customHeight="1" thickBot="1">
      <c r="A114" s="96" t="s">
        <v>26</v>
      </c>
      <c r="B114" s="97" t="s">
        <v>217</v>
      </c>
      <c r="C114" s="15">
        <f t="shared" si="2"/>
        <v>514927853</v>
      </c>
      <c r="D114" s="16">
        <f>+D115+D117+D119</f>
        <v>508475433</v>
      </c>
      <c r="E114" s="17">
        <f>+E115+E117+E119</f>
        <v>0</v>
      </c>
      <c r="F114" s="98">
        <f>+F115+F117+F119</f>
        <v>6452420</v>
      </c>
    </row>
    <row r="115" spans="1:6" ht="18.75" customHeight="1">
      <c r="A115" s="19" t="s">
        <v>28</v>
      </c>
      <c r="B115" s="83" t="s">
        <v>218</v>
      </c>
      <c r="C115" s="49">
        <f t="shared" si="2"/>
        <v>370332302</v>
      </c>
      <c r="D115" s="22">
        <f>6621000+787402+10624171+3081125+529000+1654000+447000+2237000+6604000+204000+15179276+979170-1000000+90000+2160000+4226991+40000+71809476+15956160+214128350+180000+1238248+151042-2768918+2707800+12700+370002+35000+349250-127000-254000+5001260+2694940+11000-979170</f>
        <v>364980275</v>
      </c>
      <c r="E115" s="23"/>
      <c r="F115" s="23">
        <f>5617027-265000</f>
        <v>5352027</v>
      </c>
    </row>
    <row r="116" spans="1:6" ht="12" customHeight="1">
      <c r="A116" s="19" t="s">
        <v>30</v>
      </c>
      <c r="B116" s="99" t="s">
        <v>219</v>
      </c>
      <c r="C116" s="29">
        <f t="shared" si="2"/>
        <v>315386684</v>
      </c>
      <c r="D116" s="22">
        <f>14492698-1000000+71809476+15956160+214128350</f>
        <v>315386684</v>
      </c>
      <c r="E116" s="23"/>
      <c r="F116" s="23"/>
    </row>
    <row r="117" spans="1:6" ht="12" customHeight="1">
      <c r="A117" s="19" t="s">
        <v>32</v>
      </c>
      <c r="B117" s="99" t="s">
        <v>220</v>
      </c>
      <c r="C117" s="26">
        <f t="shared" si="2"/>
        <v>98770551</v>
      </c>
      <c r="D117" s="27">
        <f>53340000+1513000+2996000+809000+7509510+1000000-60160+600000+18459450+2866987+5566352+3795044+200000+5929-203244-1286510+558800</f>
        <v>97670158</v>
      </c>
      <c r="E117" s="28"/>
      <c r="F117" s="28">
        <f>500000-134607+578000+157000</f>
        <v>1100393</v>
      </c>
    </row>
    <row r="118" spans="1:6" ht="12" customHeight="1">
      <c r="A118" s="19" t="s">
        <v>34</v>
      </c>
      <c r="B118" s="99" t="s">
        <v>221</v>
      </c>
      <c r="C118" s="26">
        <f t="shared" si="2"/>
        <v>57931800</v>
      </c>
      <c r="D118" s="27">
        <f>53340000+1000000+3795044-203244</f>
        <v>57931800</v>
      </c>
      <c r="E118" s="100"/>
      <c r="F118" s="100"/>
    </row>
    <row r="119" spans="1:6" ht="12" customHeight="1">
      <c r="A119" s="19" t="s">
        <v>36</v>
      </c>
      <c r="B119" s="32" t="s">
        <v>222</v>
      </c>
      <c r="C119" s="29">
        <f t="shared" si="2"/>
        <v>45825000</v>
      </c>
      <c r="D119" s="44">
        <f>SUM(D120:D127)</f>
        <v>45825000</v>
      </c>
      <c r="E119" s="27"/>
      <c r="F119" s="27"/>
    </row>
    <row r="120" spans="1:6" ht="12" customHeight="1">
      <c r="A120" s="19" t="s">
        <v>38</v>
      </c>
      <c r="B120" s="30" t="s">
        <v>223</v>
      </c>
      <c r="C120" s="29">
        <f t="shared" si="2"/>
        <v>0</v>
      </c>
      <c r="D120" s="34"/>
      <c r="E120" s="34"/>
      <c r="F120" s="34"/>
    </row>
    <row r="121" spans="1:6" ht="12" customHeight="1">
      <c r="A121" s="19" t="s">
        <v>224</v>
      </c>
      <c r="B121" s="101" t="s">
        <v>225</v>
      </c>
      <c r="C121" s="29">
        <f t="shared" si="2"/>
        <v>0</v>
      </c>
      <c r="D121" s="34"/>
      <c r="E121" s="34"/>
      <c r="F121" s="34"/>
    </row>
    <row r="122" spans="1:6" ht="15.75">
      <c r="A122" s="19" t="s">
        <v>226</v>
      </c>
      <c r="B122" s="88" t="s">
        <v>198</v>
      </c>
      <c r="C122" s="29">
        <f t="shared" si="2"/>
        <v>0</v>
      </c>
      <c r="D122" s="34"/>
      <c r="E122" s="34"/>
      <c r="F122" s="34"/>
    </row>
    <row r="123" spans="1:6" ht="12" customHeight="1">
      <c r="A123" s="19" t="s">
        <v>227</v>
      </c>
      <c r="B123" s="88" t="s">
        <v>228</v>
      </c>
      <c r="C123" s="29">
        <f t="shared" si="2"/>
        <v>0</v>
      </c>
      <c r="D123" s="34"/>
      <c r="E123" s="34"/>
      <c r="F123" s="34"/>
    </row>
    <row r="124" spans="1:6" ht="12" customHeight="1">
      <c r="A124" s="19" t="s">
        <v>229</v>
      </c>
      <c r="B124" s="88" t="s">
        <v>230</v>
      </c>
      <c r="C124" s="29">
        <f t="shared" si="2"/>
        <v>0</v>
      </c>
      <c r="D124" s="34"/>
      <c r="E124" s="34"/>
      <c r="F124" s="34"/>
    </row>
    <row r="125" spans="1:6" ht="12" customHeight="1">
      <c r="A125" s="19" t="s">
        <v>231</v>
      </c>
      <c r="B125" s="88" t="s">
        <v>204</v>
      </c>
      <c r="C125" s="29">
        <f t="shared" si="2"/>
        <v>5000</v>
      </c>
      <c r="D125" s="34">
        <v>5000</v>
      </c>
      <c r="E125" s="34"/>
      <c r="F125" s="34"/>
    </row>
    <row r="126" spans="1:6" ht="12" customHeight="1">
      <c r="A126" s="19" t="s">
        <v>232</v>
      </c>
      <c r="B126" s="88" t="s">
        <v>233</v>
      </c>
      <c r="C126" s="29">
        <f t="shared" si="2"/>
        <v>0</v>
      </c>
      <c r="D126" s="34"/>
      <c r="E126" s="34"/>
      <c r="F126" s="34"/>
    </row>
    <row r="127" spans="1:6" ht="16.5" thickBot="1">
      <c r="A127" s="90" t="s">
        <v>234</v>
      </c>
      <c r="B127" s="88" t="s">
        <v>235</v>
      </c>
      <c r="C127" s="33">
        <f t="shared" si="2"/>
        <v>45820000</v>
      </c>
      <c r="D127" s="40">
        <f>42072000+2400000+1348000</f>
        <v>45820000</v>
      </c>
      <c r="E127" s="44"/>
      <c r="F127" s="40"/>
    </row>
    <row r="128" spans="1:6" ht="12" customHeight="1" thickBot="1">
      <c r="A128" s="13" t="s">
        <v>40</v>
      </c>
      <c r="B128" s="102" t="s">
        <v>236</v>
      </c>
      <c r="C128" s="15">
        <f t="shared" si="2"/>
        <v>2514261400</v>
      </c>
      <c r="D128" s="16">
        <f>+D93+D114</f>
        <v>1623633816</v>
      </c>
      <c r="E128" s="17">
        <f>+E93+E114</f>
        <v>26260350</v>
      </c>
      <c r="F128" s="17">
        <f>+F93+F114</f>
        <v>864367234</v>
      </c>
    </row>
    <row r="129" spans="1:6" ht="12" customHeight="1" thickBot="1">
      <c r="A129" s="13" t="s">
        <v>237</v>
      </c>
      <c r="B129" s="102" t="s">
        <v>238</v>
      </c>
      <c r="C129" s="51">
        <f t="shared" si="2"/>
        <v>0</v>
      </c>
      <c r="D129" s="16">
        <f>+D130+D131+D132</f>
        <v>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99" t="s">
        <v>239</v>
      </c>
      <c r="C130" s="21">
        <f t="shared" si="2"/>
        <v>0</v>
      </c>
      <c r="D130" s="27"/>
      <c r="E130" s="27"/>
      <c r="F130" s="27"/>
    </row>
    <row r="131" spans="1:6" ht="12" customHeight="1">
      <c r="A131" s="19" t="s">
        <v>64</v>
      </c>
      <c r="B131" s="99" t="s">
        <v>240</v>
      </c>
      <c r="C131" s="29">
        <f t="shared" si="2"/>
        <v>0</v>
      </c>
      <c r="D131" s="34"/>
      <c r="E131" s="34"/>
      <c r="F131" s="34"/>
    </row>
    <row r="132" spans="1:6" ht="12" customHeight="1" thickBot="1">
      <c r="A132" s="90" t="s">
        <v>66</v>
      </c>
      <c r="B132" s="99" t="s">
        <v>241</v>
      </c>
      <c r="C132" s="33">
        <f t="shared" si="2"/>
        <v>0</v>
      </c>
      <c r="D132" s="34"/>
      <c r="E132" s="34"/>
      <c r="F132" s="34"/>
    </row>
    <row r="133" spans="1:6" ht="12" customHeight="1" thickBot="1">
      <c r="A133" s="13" t="s">
        <v>70</v>
      </c>
      <c r="B133" s="102" t="s">
        <v>242</v>
      </c>
      <c r="C133" s="51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3" t="s">
        <v>243</v>
      </c>
      <c r="C134" s="21">
        <f t="shared" si="2"/>
        <v>0</v>
      </c>
      <c r="D134" s="34"/>
      <c r="E134" s="34"/>
      <c r="F134" s="34"/>
    </row>
    <row r="135" spans="1:6" ht="12" customHeight="1">
      <c r="A135" s="19" t="s">
        <v>74</v>
      </c>
      <c r="B135" s="103" t="s">
        <v>244</v>
      </c>
      <c r="C135" s="29">
        <f t="shared" si="2"/>
        <v>0</v>
      </c>
      <c r="D135" s="34"/>
      <c r="E135" s="34"/>
      <c r="F135" s="34"/>
    </row>
    <row r="136" spans="1:6" ht="12" customHeight="1">
      <c r="A136" s="19" t="s">
        <v>76</v>
      </c>
      <c r="B136" s="103" t="s">
        <v>245</v>
      </c>
      <c r="C136" s="29">
        <f t="shared" si="2"/>
        <v>0</v>
      </c>
      <c r="D136" s="34"/>
      <c r="E136" s="34"/>
      <c r="F136" s="34"/>
    </row>
    <row r="137" spans="1:6" ht="12" customHeight="1">
      <c r="A137" s="19" t="s">
        <v>78</v>
      </c>
      <c r="B137" s="103" t="s">
        <v>246</v>
      </c>
      <c r="C137" s="29">
        <f t="shared" si="2"/>
        <v>0</v>
      </c>
      <c r="D137" s="34"/>
      <c r="E137" s="34"/>
      <c r="F137" s="34"/>
    </row>
    <row r="138" spans="1:6" ht="12" customHeight="1">
      <c r="A138" s="19" t="s">
        <v>80</v>
      </c>
      <c r="B138" s="103" t="s">
        <v>247</v>
      </c>
      <c r="C138" s="29">
        <f t="shared" si="2"/>
        <v>0</v>
      </c>
      <c r="D138" s="34"/>
      <c r="E138" s="34"/>
      <c r="F138" s="34"/>
    </row>
    <row r="139" spans="1:6" ht="12" customHeight="1" thickBot="1">
      <c r="A139" s="90" t="s">
        <v>82</v>
      </c>
      <c r="B139" s="103" t="s">
        <v>248</v>
      </c>
      <c r="C139" s="33">
        <f t="shared" si="2"/>
        <v>0</v>
      </c>
      <c r="D139" s="34"/>
      <c r="E139" s="34"/>
      <c r="F139" s="34"/>
    </row>
    <row r="140" spans="1:6" ht="12" customHeight="1" thickBot="1">
      <c r="A140" s="13" t="s">
        <v>94</v>
      </c>
      <c r="B140" s="102" t="s">
        <v>249</v>
      </c>
      <c r="C140" s="15">
        <f t="shared" si="2"/>
        <v>35164932</v>
      </c>
      <c r="D140" s="46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3" t="s">
        <v>250</v>
      </c>
      <c r="C141" s="21">
        <f t="shared" si="2"/>
        <v>0</v>
      </c>
      <c r="D141" s="34"/>
      <c r="E141" s="34"/>
      <c r="F141" s="34"/>
    </row>
    <row r="142" spans="1:6" ht="12" customHeight="1">
      <c r="A142" s="19" t="s">
        <v>98</v>
      </c>
      <c r="B142" s="103" t="s">
        <v>251</v>
      </c>
      <c r="C142" s="29">
        <f t="shared" si="2"/>
        <v>35164932</v>
      </c>
      <c r="D142" s="34">
        <v>35164932</v>
      </c>
      <c r="E142" s="34"/>
      <c r="F142" s="34"/>
    </row>
    <row r="143" spans="1:6" ht="12" customHeight="1">
      <c r="A143" s="19" t="s">
        <v>100</v>
      </c>
      <c r="B143" s="103" t="s">
        <v>252</v>
      </c>
      <c r="C143" s="29">
        <f t="shared" si="2"/>
        <v>0</v>
      </c>
      <c r="D143" s="34"/>
      <c r="E143" s="34"/>
      <c r="F143" s="34"/>
    </row>
    <row r="144" spans="1:6" ht="12" customHeight="1" thickBot="1">
      <c r="A144" s="90" t="s">
        <v>102</v>
      </c>
      <c r="B144" s="85" t="s">
        <v>253</v>
      </c>
      <c r="C144" s="33">
        <f t="shared" si="2"/>
        <v>0</v>
      </c>
      <c r="D144" s="34"/>
      <c r="E144" s="34"/>
      <c r="F144" s="34"/>
    </row>
    <row r="145" spans="1:6" ht="12" customHeight="1" thickBot="1">
      <c r="A145" s="13" t="s">
        <v>254</v>
      </c>
      <c r="B145" s="102" t="s">
        <v>255</v>
      </c>
      <c r="C145" s="51">
        <f t="shared" si="2"/>
        <v>0</v>
      </c>
      <c r="D145" s="104">
        <f>+D146+D147+D148+D149+D150</f>
        <v>0</v>
      </c>
      <c r="E145" s="105">
        <f>+E146+E147+E148+E149+E150</f>
        <v>0</v>
      </c>
      <c r="F145" s="105">
        <f>SUM(F146:F150)</f>
        <v>0</v>
      </c>
    </row>
    <row r="146" spans="1:6" ht="12" customHeight="1">
      <c r="A146" s="19" t="s">
        <v>108</v>
      </c>
      <c r="B146" s="103" t="s">
        <v>256</v>
      </c>
      <c r="C146" s="21">
        <f t="shared" si="2"/>
        <v>0</v>
      </c>
      <c r="D146" s="34"/>
      <c r="E146" s="34"/>
      <c r="F146" s="34"/>
    </row>
    <row r="147" spans="1:6" ht="12" customHeight="1">
      <c r="A147" s="19" t="s">
        <v>110</v>
      </c>
      <c r="B147" s="103" t="s">
        <v>257</v>
      </c>
      <c r="C147" s="29">
        <f t="shared" si="2"/>
        <v>0</v>
      </c>
      <c r="D147" s="34"/>
      <c r="E147" s="34"/>
      <c r="F147" s="34"/>
    </row>
    <row r="148" spans="1:6" ht="12" customHeight="1">
      <c r="A148" s="19" t="s">
        <v>112</v>
      </c>
      <c r="B148" s="103" t="s">
        <v>258</v>
      </c>
      <c r="C148" s="29">
        <f t="shared" si="2"/>
        <v>0</v>
      </c>
      <c r="D148" s="34"/>
      <c r="E148" s="34"/>
      <c r="F148" s="34"/>
    </row>
    <row r="149" spans="1:6" ht="12" customHeight="1">
      <c r="A149" s="19" t="s">
        <v>114</v>
      </c>
      <c r="B149" s="103" t="s">
        <v>259</v>
      </c>
      <c r="C149" s="29">
        <f t="shared" si="2"/>
        <v>0</v>
      </c>
      <c r="D149" s="34"/>
      <c r="E149" s="34"/>
      <c r="F149" s="34"/>
    </row>
    <row r="150" spans="1:6" ht="12" customHeight="1" thickBot="1">
      <c r="A150" s="19" t="s">
        <v>260</v>
      </c>
      <c r="B150" s="103" t="s">
        <v>261</v>
      </c>
      <c r="C150" s="33">
        <f t="shared" si="2"/>
        <v>0</v>
      </c>
      <c r="D150" s="40"/>
      <c r="E150" s="40"/>
      <c r="F150" s="34"/>
    </row>
    <row r="151" spans="1:6" ht="12" customHeight="1" thickBot="1">
      <c r="A151" s="13" t="s">
        <v>116</v>
      </c>
      <c r="B151" s="102" t="s">
        <v>262</v>
      </c>
      <c r="C151" s="17">
        <f t="shared" si="2"/>
        <v>0</v>
      </c>
      <c r="D151" s="104"/>
      <c r="E151" s="105"/>
      <c r="F151" s="106"/>
    </row>
    <row r="152" spans="1:6" ht="12" customHeight="1" thickBot="1">
      <c r="A152" s="13" t="s">
        <v>263</v>
      </c>
      <c r="B152" s="102" t="s">
        <v>264</v>
      </c>
      <c r="C152" s="76">
        <f t="shared" si="2"/>
        <v>0</v>
      </c>
      <c r="D152" s="104"/>
      <c r="E152" s="105"/>
      <c r="F152" s="106"/>
    </row>
    <row r="153" spans="1:9" ht="15" customHeight="1" thickBot="1">
      <c r="A153" s="13" t="s">
        <v>265</v>
      </c>
      <c r="B153" s="102" t="s">
        <v>266</v>
      </c>
      <c r="C153" s="76">
        <f t="shared" si="2"/>
        <v>35164932</v>
      </c>
      <c r="D153" s="107">
        <f>+D129+D133+D140+D145+D151+D152</f>
        <v>35164932</v>
      </c>
      <c r="E153" s="108">
        <f>+E129+E133+E140+E145+E151+E152</f>
        <v>0</v>
      </c>
      <c r="F153" s="108">
        <f>+F129+F133+F140+F145+F151+F152</f>
        <v>0</v>
      </c>
      <c r="G153" s="109"/>
      <c r="H153" s="109"/>
      <c r="I153" s="109"/>
    </row>
    <row r="154" spans="1:6" s="18" customFormat="1" ht="12.75" customHeight="1" thickBot="1">
      <c r="A154" s="110" t="s">
        <v>267</v>
      </c>
      <c r="B154" s="111" t="s">
        <v>268</v>
      </c>
      <c r="C154" s="17">
        <f t="shared" si="2"/>
        <v>2549426332</v>
      </c>
      <c r="D154" s="107">
        <f>+D128+D153</f>
        <v>1658798748</v>
      </c>
      <c r="E154" s="108">
        <f>+E128+E153</f>
        <v>26260350</v>
      </c>
      <c r="F154" s="108">
        <f>+F128+F153</f>
        <v>864367234</v>
      </c>
    </row>
    <row r="155" ht="7.5" customHeight="1"/>
    <row r="156" spans="1:3" ht="15.75">
      <c r="A156" s="113" t="s">
        <v>269</v>
      </c>
      <c r="B156" s="113"/>
      <c r="C156" s="113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4" t="s">
        <v>271</v>
      </c>
      <c r="C158" s="17">
        <f>+C62-C128</f>
        <v>29921059</v>
      </c>
    </row>
    <row r="159" spans="1:3" ht="27.75" customHeight="1" thickBot="1">
      <c r="A159" s="13" t="s">
        <v>26</v>
      </c>
      <c r="B159" s="114" t="s">
        <v>272</v>
      </c>
      <c r="C159" s="17">
        <f>+C86-C153</f>
        <v>262469033</v>
      </c>
    </row>
    <row r="160" ht="15.75">
      <c r="F160" s="115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25/2017.(IX.29.)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2017-09-28T09:12:35Z</dcterms:created>
  <dcterms:modified xsi:type="dcterms:W3CDTF">2017-09-28T09:12:35Z</dcterms:modified>
  <cp:category/>
  <cp:version/>
  <cp:contentType/>
  <cp:contentStatus/>
</cp:coreProperties>
</file>