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2" activeTab="1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definedNames>
    <definedName name="_Hlk501090860" localSheetId="4">'5'!$A$38</definedName>
    <definedName name="_Hlk505704241" localSheetId="4">'5'!$A$40</definedName>
    <definedName name="_xlnm.Print_Titles" localSheetId="1">'2'!$3:$4</definedName>
    <definedName name="_xlnm.Print_Titles" localSheetId="4">'5'!$6:$6</definedName>
    <definedName name="_xlnm.Print_Titles" localSheetId="6">'7'!$5:$5</definedName>
    <definedName name="_xlnm.Print_Area" localSheetId="6">'7'!$A$1:$R$64</definedName>
  </definedNames>
  <calcPr fullCalcOnLoad="1" refMode="R1C1"/>
</workbook>
</file>

<file path=xl/sharedStrings.xml><?xml version="1.0" encoding="utf-8"?>
<sst xmlns="http://schemas.openxmlformats.org/spreadsheetml/2006/main" count="1152" uniqueCount="608">
  <si>
    <t>KÖLTSÉGVETÉS MÉRLEGE</t>
  </si>
  <si>
    <t xml:space="preserve">Bevétel </t>
  </si>
  <si>
    <t>Kiadás</t>
  </si>
  <si>
    <t xml:space="preserve">Megnevezés </t>
  </si>
  <si>
    <t>Előirányzat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</si>
  <si>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</si>
  <si>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</si>
  <si>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</si>
  <si>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</si>
  <si>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</si>
  <si>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</si>
  <si>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</si>
  <si>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</si>
  <si>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</si>
  <si>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</si>
  <si>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</si>
  <si>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</si>
  <si>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</si>
  <si>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</si>
  <si>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</si>
  <si>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 xml:space="preserve">Ebből: B813. Maradvány igénybevétele 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</si>
  <si>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</si>
  <si>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</si>
  <si>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</si>
  <si>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</si>
  <si>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</si>
  <si>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</si>
  <si>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B7. Felhalmozási célú átvett pénzeszközök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</si>
  <si>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</si>
  <si>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</si>
  <si>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</si>
  <si>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</si>
  <si>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</si>
  <si>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</si>
  <si>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</si>
  <si>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</si>
  <si>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</si>
  <si>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</si>
  <si>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</si>
  <si>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</si>
  <si>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</si>
  <si>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Költségvetési</t>
  </si>
  <si>
    <t>Költségvetési cím, alcím megnevezése</t>
  </si>
  <si>
    <t>Önkormányzat</t>
  </si>
  <si>
    <t>Önkormányzat igazgatási, jogalkotási tevékenységel kapcsolatos feladatok</t>
  </si>
  <si>
    <t>Harsányi Polgármesteri Hivatal</t>
  </si>
  <si>
    <t xml:space="preserve">Igazgatási,adó- és pénzügyi feladatok </t>
  </si>
  <si>
    <t xml:space="preserve">MINDÖSSZESEN </t>
  </si>
  <si>
    <t xml:space="preserve">  BEVÉTELEK JOGCÍMEI</t>
  </si>
  <si>
    <t xml:space="preserve">Önkormányzat </t>
  </si>
  <si>
    <t>Polgármesteri Hivatal</t>
  </si>
  <si>
    <t>Harsányi Hárfavirág Óvoda</t>
  </si>
  <si>
    <t xml:space="preserve">Összesen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</si>
  <si>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</si>
  <si>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</si>
  <si>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</si>
  <si>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</si>
  <si>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</si>
  <si>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</si>
  <si>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</si>
  <si>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</si>
  <si>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</si>
  <si>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</si>
  <si>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</si>
  <si>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B34 Vagyoni típusú adók</t>
  </si>
  <si>
    <t>B351 értékesítési forgalmi adók</t>
  </si>
  <si>
    <t xml:space="preserve">B355. Egyéb áruhasználati és szolgáltatási adók </t>
  </si>
  <si>
    <t xml:space="preserve">B36. Egyéb közhatalmi bevételek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</si>
  <si>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</si>
  <si>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</si>
  <si>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</si>
  <si>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</si>
  <si>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</si>
  <si>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>B405. Ellátási díjak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</si>
  <si>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</si>
  <si>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</si>
  <si>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</si>
  <si>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</si>
  <si>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</si>
  <si>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</si>
  <si>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</si>
  <si>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</si>
  <si>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</si>
  <si>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</si>
  <si>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</si>
  <si>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</si>
  <si>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</si>
  <si>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</si>
  <si>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</si>
  <si>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</si>
  <si>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</si>
  <si>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</si>
  <si>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Finanszírozási bevételek összesen (B811. … +B817.)</t>
  </si>
  <si>
    <t xml:space="preserve">MŰKÖDÉSI BEVÉTELEK MINDÖSSZESEN </t>
  </si>
  <si>
    <t>Hársfavirág Óvoda</t>
  </si>
  <si>
    <t>Feladatok</t>
  </si>
  <si>
    <t>B1 Működési célú támogatások</t>
  </si>
  <si>
    <t>B3 Közhatalmi bevételek</t>
  </si>
  <si>
    <t>B4 Működési bevételek</t>
  </si>
  <si>
    <t>B6 Működési célú átvett pénzeszköz</t>
  </si>
  <si>
    <t>Működési kv.bevételei összesen</t>
  </si>
  <si>
    <t>B2 Felhalmozási célú támogatások</t>
  </si>
  <si>
    <t>B5 felhalmozási bevételek</t>
  </si>
  <si>
    <t>B7 Felhalmozási célú átvett pénzeszközök</t>
  </si>
  <si>
    <t>Felhalmozási kv.bevételei összesen</t>
  </si>
  <si>
    <t>Költségvetési bevétel összesen</t>
  </si>
  <si>
    <t>Állam- igazgatási feladat</t>
  </si>
  <si>
    <t>Kötelező feladat</t>
  </si>
  <si>
    <t>Önként vállalt feladat</t>
  </si>
  <si>
    <t>Mind- összesen</t>
  </si>
  <si>
    <t>Egészségügyi ellátással kapcsolatos feladatok</t>
  </si>
  <si>
    <t>Szociális ellátással kapcsolatos feladatok</t>
  </si>
  <si>
    <t>Közmunka</t>
  </si>
  <si>
    <t>Önkormányzat összesen</t>
  </si>
  <si>
    <t>óvodai nevelés</t>
  </si>
  <si>
    <t>Mindösszesen</t>
  </si>
  <si>
    <t>2011. évi CXCV. törvény 23. §. (2) bek. a.)</t>
  </si>
  <si>
    <t xml:space="preserve">KIADÁSOK JOGCÍMEI </t>
  </si>
  <si>
    <t xml:space="preserve">Mindösszesen </t>
  </si>
  <si>
    <t xml:space="preserve">K2. Munkaadót terhelő járulékok és szoc. hozzájár. adó </t>
  </si>
  <si>
    <t>K3. Dologi kiadások</t>
  </si>
  <si>
    <t xml:space="preserve">K4. Ellátottak pénzbeli juttatásai </t>
  </si>
  <si>
    <t xml:space="preserve">K5. Egyéb működési kiadások összesen </t>
  </si>
  <si>
    <t xml:space="preserve">Ebből: Általános tartalék </t>
  </si>
  <si>
    <t>A. Működési költségvetési kiadásai össz.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</si>
  <si>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</si>
  <si>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</si>
  <si>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</si>
  <si>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</si>
  <si>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</si>
  <si>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>xx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</si>
  <si>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</si>
  <si>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</si>
  <si>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</si>
  <si>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K8. Egyéb felhalmozási kiadások </t>
  </si>
  <si>
    <t>D. Felhalmozási költségvetési kiadásai össz. (K. …+K8.)</t>
  </si>
  <si>
    <t xml:space="preserve">E. Finanszírozási kiadások összesen (K911. …+K917.) </t>
  </si>
  <si>
    <t>G. KIADÁS MINDÖSSZESEN (C+F)</t>
  </si>
  <si>
    <t>Személyi juttatás</t>
  </si>
  <si>
    <t>Járulékok</t>
  </si>
  <si>
    <t>Dologi kiadások</t>
  </si>
  <si>
    <t>Ellátottak pénzbeli juttatásai</t>
  </si>
  <si>
    <t>Egyéb működési kiadások</t>
  </si>
  <si>
    <t>Működési kv.kiadásai összesen</t>
  </si>
  <si>
    <t>Beruházás</t>
  </si>
  <si>
    <t>Felújítás</t>
  </si>
  <si>
    <t>Egyéb felhalmozási kiadások</t>
  </si>
  <si>
    <t>Tartalékok</t>
  </si>
  <si>
    <t>Felhalmozási kv.kiadásai összesen</t>
  </si>
  <si>
    <t>Költségvetési kiadás összesen</t>
  </si>
  <si>
    <t>K6. Beruházások</t>
  </si>
  <si>
    <t>Beruházási feladat</t>
  </si>
  <si>
    <t xml:space="preserve">Előirányzat összege </t>
  </si>
  <si>
    <t>Önkormányzat:</t>
  </si>
  <si>
    <t xml:space="preserve">K7.  Felújítások </t>
  </si>
  <si>
    <t xml:space="preserve"> Felújítási cél</t>
  </si>
  <si>
    <t>K8. Egyéb felhalmozási kiadások</t>
  </si>
  <si>
    <t>Az önkormányzat több éves kihatással járó feladatainak előirányzatai éves bontásban</t>
  </si>
  <si>
    <t xml:space="preserve">     Ezer Ft-ban</t>
  </si>
  <si>
    <t>sorszám</t>
  </si>
  <si>
    <t>Összesen</t>
  </si>
  <si>
    <t>1.</t>
  </si>
  <si>
    <t>2.</t>
  </si>
  <si>
    <t>3.</t>
  </si>
  <si>
    <t>4.</t>
  </si>
  <si>
    <t>Az önkormányzat által felvett kölcsön alakulása</t>
  </si>
  <si>
    <t>kölcsön</t>
  </si>
  <si>
    <t>kölcsön állomány január 1-én</t>
  </si>
  <si>
    <t>Hosszú lejáratú</t>
  </si>
  <si>
    <t>összesen</t>
  </si>
  <si>
    <t>Az önkormányzat kölcsön állománnyal nem rendelkezik.</t>
  </si>
  <si>
    <t>Az önkormányzat által nyújtott kölcsön alakulása</t>
  </si>
  <si>
    <t>első lakáshoz jutók támogatása</t>
  </si>
  <si>
    <t>Mukáltatói támogatás</t>
  </si>
  <si>
    <t>Rövid lejáratú</t>
  </si>
  <si>
    <t>szociális kölcsön</t>
  </si>
  <si>
    <t xml:space="preserve">KIMUTATÁS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</si>
  <si>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</si>
  <si>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</si>
  <si>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Összeg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</si>
  <si>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</si>
  <si>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</si>
  <si>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</si>
  <si>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</si>
  <si>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</si>
  <si>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</si>
  <si>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</si>
  <si>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</si>
  <si>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</si>
  <si>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</si>
  <si>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</si>
  <si>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</si>
  <si>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</si>
  <si>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>KIMUTATÁS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</si>
  <si>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</si>
  <si>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</si>
  <si>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</si>
  <si>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 xml:space="preserve">a saját bevételek összegéről </t>
  </si>
  <si>
    <t>Saját bevétel megnevezése *</t>
  </si>
  <si>
    <t>Összeg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</si>
  <si>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</si>
  <si>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</si>
  <si>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</si>
  <si>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</si>
  <si>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</si>
  <si>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</si>
  <si>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</si>
  <si>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</si>
  <si>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</si>
  <si>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</si>
  <si>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</si>
  <si>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</si>
  <si>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>azon fejlesztési célokról, amelyek megvalósításához a Magyarország gazdasági stabilitásáról szóló 2011. évi törvény 3. § (1) szerinti adósságot keletkeztető ügylet megkötése válik vagy válhat szükségessé, az adósságot keletkeztető ügyletek várható összegé</t>
  </si>
  <si>
    <t>Adósságot keletkeztető ügylet megnevezése</t>
  </si>
  <si>
    <t>I. Fejlesztési cél, amelyek megvalósításához adósságot keletkeztető ügylet megkötése válik, vagy válhat szükségessé</t>
  </si>
  <si>
    <t>Harsány Község Önkormányzata adósságot  keletkeztető ügyletet nem tervez</t>
  </si>
  <si>
    <t>Áht. 29/A.§  szerinti középtávú tervezésre vonatkozó kimutatás</t>
  </si>
  <si>
    <t>Megnevezés</t>
  </si>
  <si>
    <t>Saját bevétel  50 %-a</t>
  </si>
  <si>
    <t>Előző években keletkezett tárgyévet terhelő fizetési kötelezettség</t>
  </si>
  <si>
    <t>Tárgyévben keletkezett, illetve keletkező tárgyévet terhelő fizetési kötelezettség</t>
  </si>
  <si>
    <t>Fizetési kötelezettség összesen</t>
  </si>
  <si>
    <t xml:space="preserve">a közvetett támogatások tervezett összegéről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</si>
  <si>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</si>
  <si>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</si>
  <si>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</si>
  <si>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</si>
  <si>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</si>
  <si>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</si>
  <si>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</si>
  <si>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</si>
  <si>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</si>
  <si>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</si>
  <si>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</si>
  <si>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</si>
  <si>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</si>
  <si>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</si>
  <si>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</si>
  <si>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</si>
  <si>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</si>
  <si>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</si>
  <si>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</si>
  <si>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</si>
  <si>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</si>
  <si>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Szöveges indokolás: </t>
  </si>
  <si>
    <t>Az önkormányzat Európai Uniós forrásból megvalósuló feladatai</t>
  </si>
  <si>
    <t xml:space="preserve">Bevételek </t>
  </si>
  <si>
    <t>A. Elszámolható költségek</t>
  </si>
  <si>
    <t>I. Saját forrás</t>
  </si>
  <si>
    <t xml:space="preserve">  I.1. támogatást igénylő hozzájárulás</t>
  </si>
  <si>
    <t xml:space="preserve">  I.2. központi támogatás EU Önereő</t>
  </si>
  <si>
    <t xml:space="preserve">  I.3. hitel</t>
  </si>
  <si>
    <t xml:space="preserve">  I.4. egyéb saját forrás</t>
  </si>
  <si>
    <t>II. Támogatás EU és hazai társfinanszírozás</t>
  </si>
  <si>
    <t>III. BM Támogatás</t>
  </si>
  <si>
    <t>B. nem elszámolható költségek</t>
  </si>
  <si>
    <t xml:space="preserve">  I.2. központi támogatás</t>
  </si>
  <si>
    <t>Bevételek összesen  A + B</t>
  </si>
  <si>
    <t xml:space="preserve">Kiadások </t>
  </si>
  <si>
    <t>I.  Elszámolható kiadások</t>
  </si>
  <si>
    <t>megvalósítási költségek</t>
  </si>
  <si>
    <t>II. Nem elszámolható költségek</t>
  </si>
  <si>
    <t>Kadások összesen (I.+II)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</si>
  <si>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</si>
  <si>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</si>
  <si>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</si>
  <si>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</si>
  <si>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</si>
  <si>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</si>
  <si>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</si>
  <si>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</si>
  <si>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</si>
  <si>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</si>
  <si>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</si>
  <si>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</si>
  <si>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</si>
  <si>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</si>
  <si>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</si>
  <si>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</si>
  <si>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</si>
  <si>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</si>
  <si>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</si>
  <si>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</si>
  <si>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</si>
  <si>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15. §-ában </t>
  </si>
  <si>
    <t>meghatározott határnapon túli tartozásállomány.</t>
  </si>
  <si>
    <t>..........................................</t>
  </si>
  <si>
    <t xml:space="preserve"> költségvetési szerv vezetője </t>
  </si>
  <si>
    <t>Január</t>
  </si>
  <si>
    <t>Február</t>
  </si>
  <si>
    <t>Március</t>
  </si>
  <si>
    <t>Április</t>
  </si>
  <si>
    <t>Május</t>
  </si>
  <si>
    <t>Június</t>
  </si>
  <si>
    <t>Július</t>
  </si>
  <si>
    <t>Összesen:</t>
  </si>
  <si>
    <t>Bevételli előirányzatok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</si>
  <si>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</si>
  <si>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</si>
  <si>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</si>
  <si>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</si>
  <si>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5.</t>
  </si>
  <si>
    <t xml:space="preserve"> Felhalmozási bevételek</t>
  </si>
  <si>
    <t>6.</t>
  </si>
  <si>
    <t xml:space="preserve"> Felhalmozási célú támogatások államháztartáson belülről</t>
  </si>
  <si>
    <t>7.</t>
  </si>
  <si>
    <t xml:space="preserve"> Felhalmozási célú átvett pénzeszközök</t>
  </si>
  <si>
    <t>8.</t>
  </si>
  <si>
    <t>Finaszírozási bevételek</t>
  </si>
  <si>
    <t>9.</t>
  </si>
  <si>
    <t>Bevételi előir. összesen:</t>
  </si>
  <si>
    <t>10.</t>
  </si>
  <si>
    <t>Kiadások</t>
  </si>
  <si>
    <t>11.</t>
  </si>
  <si>
    <t>Személyi juttatások</t>
  </si>
  <si>
    <t>12.</t>
  </si>
  <si>
    <t>Munkaadót terhelő járulékok</t>
  </si>
  <si>
    <t>13.</t>
  </si>
  <si>
    <t>14.</t>
  </si>
  <si>
    <t>ellátottak pénbeli juttatásai</t>
  </si>
  <si>
    <t>15.</t>
  </si>
  <si>
    <t>16.</t>
  </si>
  <si>
    <t>Felhalmozási kiadások</t>
  </si>
  <si>
    <t>17.</t>
  </si>
  <si>
    <t>Finanszírozási kiadások</t>
  </si>
  <si>
    <t>18.</t>
  </si>
  <si>
    <t>19.</t>
  </si>
  <si>
    <t>20.</t>
  </si>
  <si>
    <t>Kiadási előir. összesen:</t>
  </si>
  <si>
    <t xml:space="preserve"> </t>
  </si>
  <si>
    <t>egyenleg (előző havi egyenleg + tárgy havi bevételi előirányzat - tárgy havi kiadási előirányzat)</t>
  </si>
  <si>
    <t>1.1 Önkormányzatok igazgatási feladatai</t>
  </si>
  <si>
    <t>2.1. igazgatási tev.</t>
  </si>
  <si>
    <t>2. Polgármesteri Hivatal összesen</t>
  </si>
  <si>
    <t>3.1.óvodai nevelés</t>
  </si>
  <si>
    <t>3.2. élelmezési tev.</t>
  </si>
  <si>
    <t>Polgármesteri hivatal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</si>
  <si>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</si>
  <si>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</si>
  <si>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</si>
  <si>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</si>
  <si>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</si>
  <si>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</si>
  <si>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</si>
  <si>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</si>
  <si>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</si>
  <si>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</si>
  <si>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</si>
  <si>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</si>
  <si>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</si>
  <si>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</si>
  <si>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</si>
  <si>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>FELHALMOZÁSI KÖLTSÉGVETÉSI BEVÉTELEK ÖSSZESEN (B2.+B5.+B7.)</t>
  </si>
  <si>
    <t>FELHALMOZÁSI BEVÉTELEK MINDÖSSZESEN</t>
  </si>
  <si>
    <t>Tartalék</t>
  </si>
  <si>
    <t>Település és intézményüzemeltetéssel kapcsolatos feladatok</t>
  </si>
  <si>
    <t>Közművelődési és sport feladatok</t>
  </si>
  <si>
    <t>Civil szervezetek támogatása</t>
  </si>
  <si>
    <t>támogatás megelőlegezési hitel</t>
  </si>
  <si>
    <t xml:space="preserve">  I.3. Központi támogatás BM támogatás</t>
  </si>
  <si>
    <t>alcím</t>
  </si>
  <si>
    <t>Közutak, hidak, alagutak, parkolók fenntartásá-val kapcsolatos feladatok</t>
  </si>
  <si>
    <t>Közvilágítás</t>
  </si>
  <si>
    <t>Zöldterületek, fenntartásával, gondozásával kapcsolatos feladatok</t>
  </si>
  <si>
    <t>Köztemető fenntartásával kapcsolatos feladatok</t>
  </si>
  <si>
    <t>Sópince műköktetésével, üzemeltetésével kapcsolatos feladatok</t>
  </si>
  <si>
    <t>Egészségshop üzemeltetésével kapcsolatos feladatok</t>
  </si>
  <si>
    <t>Egyéb település- és intézményüzemeltetési feladatok</t>
  </si>
  <si>
    <t>Család- és növédelmi egészségügyi ellátással kapcsolatos feladatok</t>
  </si>
  <si>
    <t>Ifjúság egészségügyi gondozás</t>
  </si>
  <si>
    <t>Ügyeleti ellátás</t>
  </si>
  <si>
    <t xml:space="preserve">4. </t>
  </si>
  <si>
    <t>egyéb egészségügyi ellátsá</t>
  </si>
  <si>
    <t>Házi segítségnyújtással és jelzőrendszeres házi segítségnyújtással kapcsolatos feladatok</t>
  </si>
  <si>
    <t>Egyéb önkormányzati pénzbeni és természetbeni ellátás</t>
  </si>
  <si>
    <t>Önkormányzati feladatra nem tervezhető bevételek, kiadások</t>
  </si>
  <si>
    <t>cím</t>
  </si>
  <si>
    <t>B354 Gépjárműadó</t>
  </si>
  <si>
    <t>közösségi ház működtetésével, fenntartásával kapcsolatos feladatok</t>
  </si>
  <si>
    <t xml:space="preserve">1.2.1.Közutak, hidak, alagutak, parkolók fenntartásával kapcsolatos feladatok </t>
  </si>
  <si>
    <t>1.2.2. Közvilágítás</t>
  </si>
  <si>
    <t>1.2.3. Zöldterületek fenntartásával, gonodzásával kapcsolatos feladatok</t>
  </si>
  <si>
    <t>1.2.4. Köztemető fenntartásával kapcsolatos feladatok</t>
  </si>
  <si>
    <t>1.2.6. Sópince müködtetésével, üzemeltetéséval kapcsolatos feladatok</t>
  </si>
  <si>
    <t>1.2.7. Egészségshop üzemeltetésével kapcsolatos feladatok</t>
  </si>
  <si>
    <t>1.2. Település és intézményüzemeltetési feladatok összesen</t>
  </si>
  <si>
    <t>1.3,1. Család- és nővédelmi egészségügyi ellátással kapcsolatos feladatok</t>
  </si>
  <si>
    <t>1.3.3. Ügyeleti ellátás</t>
  </si>
  <si>
    <t>1.3.2. Ifjúság- egészségügyi gondozás</t>
  </si>
  <si>
    <t>1.3.4. Egyéb egészségügyi ellátás</t>
  </si>
  <si>
    <t>1.3. Egészségügyi ellátás összesen</t>
  </si>
  <si>
    <t>1.4.1 Szociális étkeztetés</t>
  </si>
  <si>
    <t>1.4.2. Háziségítségnyújtással és jelzőrendszeres házi segítségnyújtással kapcsolatos feladatok</t>
  </si>
  <si>
    <t xml:space="preserve">1.4.3. Lakáshoz jutást segítő támogatás </t>
  </si>
  <si>
    <t>1.4.4. Egyéb önkormányzati pénzbeni és természetbeni ellátások</t>
  </si>
  <si>
    <t>1.4.  Szociális ellátással kapcsolatos feladatok</t>
  </si>
  <si>
    <t>1.5.2.Önkormányzati rendezvényekkel kapcsolatos feladatk</t>
  </si>
  <si>
    <t>1.5.3. Sport feladatok</t>
  </si>
  <si>
    <t>1.5. Közművelődési  feladatok</t>
  </si>
  <si>
    <t>1.6. Civil szervezetek támogatása</t>
  </si>
  <si>
    <t>1.7. Közmunka</t>
  </si>
  <si>
    <t>tartalék</t>
  </si>
  <si>
    <t>1.4, Szociális ellátással kapcsolatos feladatok</t>
  </si>
  <si>
    <t>2019.</t>
  </si>
  <si>
    <t>2020.</t>
  </si>
  <si>
    <t xml:space="preserve">FELHALMOZÁSI KIADÁSOK MINDÖSSZESEN (E+F) </t>
  </si>
  <si>
    <t>Az önkormányzat várható bevételei és kiadásai tárgyévben és az azt követő 3 évben</t>
  </si>
  <si>
    <t>1.4.5. Család és gyermekjóléti szolgáltatás</t>
  </si>
  <si>
    <t>1.8 Önkormányzati feladatra nem tervezhető bevételek</t>
  </si>
  <si>
    <t>1.9. Európai Uniós forrásból megvalósuló projektek</t>
  </si>
  <si>
    <t>2021.</t>
  </si>
  <si>
    <t>Család és gyermekjóléti szolgáltatás</t>
  </si>
  <si>
    <t>Választással, népszavazással kapcsolatos feladatok</t>
  </si>
  <si>
    <t>élelmezési tevékenység (gyermekétkeztetés, szociális étkeztetés, szünidei étkeztetés, munkahelyi étkeztetés, egyéb étkeztetés)</t>
  </si>
  <si>
    <t>ÁFA</t>
  </si>
  <si>
    <t>1.8 Önkormányzati feladatra nem tervezhető kiadások</t>
  </si>
  <si>
    <t>1.9. Európai Uniós forrásból megvalósuló projektek összesen</t>
  </si>
  <si>
    <t xml:space="preserve"> Ft</t>
  </si>
  <si>
    <t>Egész életén át tartó tanuláshoz való hozzáférés biztosítása</t>
  </si>
  <si>
    <t>Humánszolgáltatások fejlesztése</t>
  </si>
  <si>
    <t>Belterületi vízrendezés</t>
  </si>
  <si>
    <t>2017 előzetes tény és előző évek</t>
  </si>
  <si>
    <t>2017. előzetes tény és előző évek</t>
  </si>
  <si>
    <t>Ft</t>
  </si>
  <si>
    <t>2022.</t>
  </si>
  <si>
    <t>Harsány belterületi vízrendezése</t>
  </si>
  <si>
    <t>Projekt azonosítója: TOP-1.1.3-15-BO1-2016-00062</t>
  </si>
  <si>
    <t>Óvoda, Bölcsőde fejlesztése Harsányban</t>
  </si>
  <si>
    <t>Projekt azonosítója: TOP-1.4.3-16-BO1-2017-00005</t>
  </si>
  <si>
    <t>Kulturális intézmények a köznevelés eredményességéért</t>
  </si>
  <si>
    <t>Projekt azonosítója: EFOP-3.3.2-2016-00337</t>
  </si>
  <si>
    <t>Turisztikai kerékpárút kialakítása Miskolc - Harsány szakaszon</t>
  </si>
  <si>
    <t>Projekt azonosítója: TOP1.2.1-16-BO1-2017-00010</t>
  </si>
  <si>
    <t>Turisztikai kerékpárút kialakítása  Harsány - Bogács  szakaszon</t>
  </si>
  <si>
    <t>Projekt azonosítója: TOP1.2.1-16-BO1-2017-00007</t>
  </si>
  <si>
    <t>Humán szolgáltatások fejlesztése</t>
  </si>
  <si>
    <t>Projekt azonosítója: EFOP-1.5.2-16-2017-00036</t>
  </si>
  <si>
    <t>Az egész életen át tartó tanuláshoz való hozzáférés biztosítása</t>
  </si>
  <si>
    <t>Projekt azonosítója: EFOP-3.7.3-16-2017-00206</t>
  </si>
  <si>
    <t>Óvoda, bölcsőde fejlesztése Harsányban</t>
  </si>
  <si>
    <t>Kulturális intézmények a köznevelés eredm.</t>
  </si>
  <si>
    <t>Turisztikai kerékpárút kialakítása Miskolc-Harsány szakaszon</t>
  </si>
  <si>
    <t>Turisztikai kerékpárút kialakítása Harsány-Bogács szakaszon</t>
  </si>
  <si>
    <t>Kulturális intézmények a köznevelés eredményességért</t>
  </si>
  <si>
    <t>Turisztikai kerékpárút kialakítása Miskolc-Harsány</t>
  </si>
  <si>
    <t>Turisztikai kerékpárút kialakítása Harsány-Bogács</t>
  </si>
  <si>
    <t xml:space="preserve">      Ft-ban</t>
  </si>
  <si>
    <t xml:space="preserve"> gép, berendezés, eszköz beszerzése</t>
  </si>
  <si>
    <t xml:space="preserve">........................ …év. ............ hó .... nap </t>
  </si>
  <si>
    <t>Mezőgazdasági tevékenység</t>
  </si>
  <si>
    <t>Önkormányzati rendezvényekkel kapcsolatos feladatok</t>
  </si>
  <si>
    <t>Sport feladatok</t>
  </si>
  <si>
    <t>Európai Uniós támogatással megvalósuló projektek</t>
  </si>
  <si>
    <t>Étkeztetéssel kapcsolatos feladatok</t>
  </si>
  <si>
    <t>Lakáshoz jutást segítő támogatás</t>
  </si>
  <si>
    <t>Helyi identitás és kohézió erősítése</t>
  </si>
  <si>
    <t>Alapellátás fejlesztése</t>
  </si>
  <si>
    <t>1.2.9. egyéb település- és intézmény üzemeltetéssel kapcsolatos feladatok</t>
  </si>
  <si>
    <t>1.4.1 Étkeztetéssel kapcsolatos feladatok</t>
  </si>
  <si>
    <t>2.2.Választással, népszavazással kapcsolatos feladatok</t>
  </si>
  <si>
    <t>1.5.1.  Közösségi ház és könyvtár fenntartásával, működtetésével kapcsolatos feladatok</t>
  </si>
  <si>
    <t>1.2.5. Mezőgazdasági tevékenységgel kapcsolatos feladatok</t>
  </si>
  <si>
    <t>1.2.9. Egyéb település- és intézmény üzemeltetéssel kapcsolatos feladatok</t>
  </si>
  <si>
    <t>1.2.5. Mezőgazdasági tevékenységek</t>
  </si>
  <si>
    <t>1.4.2. Házi segítségnyújtással és jelzőrendszeres házi segítségnyújtással kapcsolatos feladatok</t>
  </si>
  <si>
    <t>gép, berendezés, eszköz beszerzése (konyha)</t>
  </si>
  <si>
    <t xml:space="preserve">Rendezési terv </t>
  </si>
  <si>
    <t>Óvodai tornaszoba , bölcsőde építése</t>
  </si>
  <si>
    <t>Kerékpár út kialakítása Miskolc - Harsány</t>
  </si>
  <si>
    <t>Kerékpár út kialakítása  Harsány-Bogács</t>
  </si>
  <si>
    <t>2020. év</t>
  </si>
  <si>
    <t>Polgármeteri Hivatal</t>
  </si>
  <si>
    <t>2018 előzetes tény és előző évek</t>
  </si>
  <si>
    <t>megvalósítási költségek személyi juttatások</t>
  </si>
  <si>
    <t>2017. tény és előző évek</t>
  </si>
  <si>
    <t>2018. előzetes tény</t>
  </si>
  <si>
    <t>2017 tény és előző évek</t>
  </si>
  <si>
    <t>2017  tény és előző évek</t>
  </si>
  <si>
    <t xml:space="preserve">megvalósítási költségek </t>
  </si>
  <si>
    <t>2018. előzetes tény és előző évek</t>
  </si>
  <si>
    <t>2017.  tény és előző évek</t>
  </si>
  <si>
    <t>2017 előzetes  és előző évek</t>
  </si>
  <si>
    <t>Helyi identitás és kohézió erősítés</t>
  </si>
  <si>
    <t>Projekt azonosítója: TOP-5.3.1-16-BO1-2017-000006</t>
  </si>
  <si>
    <t>Projekt azonosítója: EFOP-1.8.2-17-2017-00051</t>
  </si>
  <si>
    <t xml:space="preserve">Költségvetési szervek engedélyezett létszáma </t>
  </si>
  <si>
    <t>Költségvetési szerv</t>
  </si>
  <si>
    <t xml:space="preserve">Engedélyezett létszám (fő) </t>
  </si>
  <si>
    <t>Önkormányzat egészségügyi feladatok</t>
  </si>
  <si>
    <t>Önkormányzat -polgármester</t>
  </si>
  <si>
    <t>Önkormányzat - asszisztens</t>
  </si>
  <si>
    <t xml:space="preserve">Közfoglalkoztatottak engedelyezett átlaglétszáma </t>
  </si>
  <si>
    <t>átlaglétszám</t>
  </si>
  <si>
    <t>8 órás</t>
  </si>
  <si>
    <t xml:space="preserve"> Önkormányzat</t>
  </si>
  <si>
    <t>Harsány Község Polgármesteri Hivatala</t>
  </si>
  <si>
    <t>Ifjúsággarancia rendszer keretében foglalkoztattak éves átlag létszáma</t>
  </si>
  <si>
    <t>Európai Unió által finanszírozott programok keretében foglalkoztatottak létszáma</t>
  </si>
  <si>
    <t>Program megnevezése</t>
  </si>
  <si>
    <t>Munkaviszony</t>
  </si>
  <si>
    <t>megbízási jogviszony</t>
  </si>
  <si>
    <t>létszám</t>
  </si>
  <si>
    <t>munkaidő</t>
  </si>
  <si>
    <t xml:space="preserve"> Óvoda, bölcsőde fejlsztése Harsányban</t>
  </si>
  <si>
    <t xml:space="preserve">5 óra/hét   </t>
  </si>
  <si>
    <t>5 óra/hét</t>
  </si>
  <si>
    <t>10óra/hét</t>
  </si>
  <si>
    <t>60óra/hét</t>
  </si>
  <si>
    <t>32 óra/hét/3fő,  havi 1 alkalom/1fő</t>
  </si>
  <si>
    <t>25óra/hét</t>
  </si>
  <si>
    <t>5óra/hét</t>
  </si>
  <si>
    <t>231óra/hét</t>
  </si>
  <si>
    <t>18óra/hét</t>
  </si>
  <si>
    <t>Önkormányzat községgazdálkodási, település üzemeltetési feladat</t>
  </si>
  <si>
    <t>Harsányi Polgármesteri Hivatal *</t>
  </si>
  <si>
    <t>Lótartás</t>
  </si>
  <si>
    <t>1.2.8. Lótartás</t>
  </si>
  <si>
    <t>Alapellátás fejleszése</t>
  </si>
  <si>
    <t xml:space="preserve">Megjegyzés: Az 1-11 pontokban lévő tételek az Európai Unió támogatásával való valósulnak meg. </t>
  </si>
  <si>
    <t>Az 1. pontnál a támogatási intenzitás 95 %-os, szükséges saját erő 280.988 forint.</t>
  </si>
  <si>
    <t>A 2. pontban nettó költségek szerepelnek, mivel az áfa levonásba helyezhető.</t>
  </si>
  <si>
    <t>Gépjárműadó esetében jogszabály alapján súlyos mozgáskorlátozottaknak, és költségvetési szerveknek adott mentesség és kedvezmény</t>
  </si>
  <si>
    <t>Egyéb: talajterhelési dj fizetése alól mentesül  Harsány Község Önkormányzata 14/2015. (IX.15.)  önkormányzati rendelete alapján:  - az egyedülálló 70 év feletti lakos, az  aki csak kerti csappal vagy lakáson belül szennyvízelhelyzés nélkül falikúttal rendelkezik,  családban élő 70 év feletti  kibocsátó, ha kibocsátók  mindegyi betöltötte a 70. életévét,  egyfőre jutó jövedelem alapján akinek egy főre jutó jövedelme nem haladja meg az öregségi nyugdíj mindenkori legkisebb összegének kétszeresét, egyedülálló esetében háromszorosát.</t>
  </si>
  <si>
    <t>Épület energetikai korszerűsítés</t>
  </si>
  <si>
    <t>Kerékpár út kialakítása Miskolc-Eger</t>
  </si>
  <si>
    <t>Esze Tamás út felújítása</t>
  </si>
  <si>
    <t>Magyar Falu Program keretében út felújítás</t>
  </si>
  <si>
    <t>Turisztikai kerékpárút kialakítása Miskolc-Eger</t>
  </si>
  <si>
    <t>Energetikai korszerűsítés Harsányban</t>
  </si>
  <si>
    <t>Támogatással megvalósuló projektek</t>
  </si>
  <si>
    <t>Magyar Falu program járdafelújítás Kossuth Lajos u. 63/20 hrsz</t>
  </si>
  <si>
    <t>Magyar Falu program Önkormányzati tulajdonú utak felújítása</t>
  </si>
  <si>
    <t>Magyar Falu progrma Óvodai eszközök beszerzése</t>
  </si>
  <si>
    <t>1.9.1. Belterületi vízrendezés</t>
  </si>
  <si>
    <t>1.9.2. óvoda, bölcsőde fejlesztése</t>
  </si>
  <si>
    <t>1.9.3 Kult.int.a köznev. ered.</t>
  </si>
  <si>
    <t>1.9.4 Kerékpárút Miskolc-Harsány</t>
  </si>
  <si>
    <t>1.9.5. Kerékpárút Harsány-Bogács</t>
  </si>
  <si>
    <t>1.9.6. Kerékpárút Miskolc-Eger</t>
  </si>
  <si>
    <t>1.9.7 Humánszolgáltatások fejl.</t>
  </si>
  <si>
    <t>1.9.8. Egész életen át tartó tan</t>
  </si>
  <si>
    <t>1.9.9. Helyi identitás és koházió erősítése</t>
  </si>
  <si>
    <t xml:space="preserve">1.9.10 Alapellátás fejlesztése </t>
  </si>
  <si>
    <t>1.9.11. Energetikai Korszerűsítés Harsányban</t>
  </si>
  <si>
    <t>1.10.1. Magyar Falu program járda felújítás Kossuth Lajos u. 63/20. hrsz</t>
  </si>
  <si>
    <t>1.10.2. Magyar Falu Program Önkormányzati tulajdonú utak felújítása</t>
  </si>
  <si>
    <t>1.10.3 Magyar Falu Program Óvodai eszközök beszerzése</t>
  </si>
  <si>
    <t>1.10. Támogatással megvalósuló projektek</t>
  </si>
  <si>
    <t xml:space="preserve">     A 2020. évi MŰKÖDÉSI BEVÉTELEK  ELŐIRÁNYZATAI</t>
  </si>
  <si>
    <t xml:space="preserve">     A 2020. évi FELHALMOZÁSI BEVÉTELEK ELŐIRÁNYZATAI</t>
  </si>
  <si>
    <t>Harsány Község Önkormányzat 2020. évi bevételi előirányzatai feladat-bontásban</t>
  </si>
  <si>
    <t xml:space="preserve">A 2020. évi MŰKÖDÉSI ÉS FELHALMOZÁSI KÖLTSÉGVETÉS KIADÁSI előirányzatai  </t>
  </si>
  <si>
    <t>Harsány Község Önkormányzat 2020. évi kiadási előirányzatai feladat-bontásban</t>
  </si>
  <si>
    <t>Az önkormányzat 2020. évi felhalmozási kiadásai</t>
  </si>
  <si>
    <t>2020. ......................... hó</t>
  </si>
  <si>
    <t>Turisztikai kerékpárút kialakítása Miskolc-Eger szakaszon</t>
  </si>
  <si>
    <t xml:space="preserve">Kummulált tény 2019 </t>
  </si>
  <si>
    <t>2021-től további évek</t>
  </si>
  <si>
    <t>Saját bevétel és adósságot keletkeztető ügyletből eredő fizetési kötelezettségek</t>
  </si>
  <si>
    <t>2019 tény</t>
  </si>
  <si>
    <t>2018  tény</t>
  </si>
  <si>
    <t>2018 tény</t>
  </si>
  <si>
    <t>Projekt azonosítója: TOP-3.2.-1-16-BO1-208-00139</t>
  </si>
  <si>
    <t>Turisztikai kerékpárút kialakítása  Miskolc - Eger  szakaszon</t>
  </si>
  <si>
    <t>Projekt azonosítója:</t>
  </si>
  <si>
    <t>11/11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</si>
  <si>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</si>
  <si>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>Önkormányzat összesen:</t>
  </si>
  <si>
    <t>Harsányi Polgármesteri Hivatal összesen:</t>
  </si>
  <si>
    <t>Beruházás összesen:</t>
  </si>
  <si>
    <t>Felújítás összesen:</t>
  </si>
  <si>
    <t>Egyéb felhalmozási kiadások összesen:</t>
  </si>
  <si>
    <t>Felhalmozási kiadások összesen:</t>
  </si>
  <si>
    <t>Sorszám</t>
  </si>
  <si>
    <t>Augusztus</t>
  </si>
  <si>
    <t>Szeptember</t>
  </si>
  <si>
    <t>Október</t>
  </si>
  <si>
    <t>November</t>
  </si>
  <si>
    <t>December</t>
  </si>
  <si>
    <t>Előirányzat felhasználási ütemterv 2020. évben</t>
  </si>
  <si>
    <t>Energetikai korszerűsítés</t>
  </si>
  <si>
    <t>Harsányi Hársfavirág Óvoda és Konyha</t>
  </si>
  <si>
    <t>Hársfavirág Óvoda és Konyha</t>
  </si>
  <si>
    <t>3. Hársfavirág óvoda és Konya összesen</t>
  </si>
  <si>
    <t>3. Hársfavirág Óvoda és Konyha összesen</t>
  </si>
  <si>
    <t>Óvodai eszközök beszerzése (Magyar Falu program)</t>
  </si>
  <si>
    <t>Harsányi Hársfavirág  Óvoda és Konyha</t>
  </si>
  <si>
    <t>Harsányi Hársfavirág Óvoda és Konyha összesen:</t>
  </si>
  <si>
    <t>1. melléklet az 1/2020. (II. 20.) önkormányzati rendelethez</t>
  </si>
  <si>
    <t>2. melléklet az 1/2020. (II. 20.) önkormányzati rendelethez</t>
  </si>
  <si>
    <t>3. melléklet az 1/2020. (II. 20.) önkormányzati rendelethez</t>
  </si>
  <si>
    <t>4. melléklet az  1/2020. (II. 20.) önkormányzati rendelethez</t>
  </si>
  <si>
    <t>5. melléklet az  1/2020. (II. 20.) önkormányzati rendelethez</t>
  </si>
  <si>
    <t>6. melléklet az  1/2020. (II. 20.) önkormányzati rendelethez</t>
  </si>
  <si>
    <t>7. melléklet az   1/2020. (II. 20.) önkormányzati rendelethez</t>
  </si>
  <si>
    <t>8. melléklet az  1/2020. (II. 20.) önkormányzati rendelethez</t>
  </si>
  <si>
    <t>9. melléklet az 1 /2020. (II. 20.) önkormányzati rendelethez</t>
  </si>
  <si>
    <t>10. melléklet az 1/2020. (II. 20.) önkormányzati rendelethez</t>
  </si>
  <si>
    <t>11. melléklet az  1/2020. (II. 20.) önkormányzati rendelethez</t>
  </si>
  <si>
    <t>12. melléklet az  1/2020. (II. 20.) önkormányzati rendelethez</t>
  </si>
  <si>
    <t>13. melléklet az 1/2020 . (II. 20.) önkormányzati rendelethez</t>
  </si>
  <si>
    <t>14. melléklet az  1/2020. (II. 20.) önkormányzati rendelethez</t>
  </si>
  <si>
    <t>15. melléklet az 1/2020. (II. 20.) önkormányzati rendelethez</t>
  </si>
  <si>
    <t>16. melléklet az   1/2020. (II. 20.) önkormányzati rendelethez</t>
  </si>
  <si>
    <t>17. melléklet  az 1/2020 . (II. 20.) önkormányzati rendelethez</t>
  </si>
  <si>
    <t>18. melléklet az 1/2020. (II. 20.) önkormányzati rendelethez</t>
  </si>
  <si>
    <t>19. melléklet az 1/2020. (II. 20.) önkormányzati rendelethez</t>
  </si>
  <si>
    <t>20. melléklet az 1/2020. (II. 20.)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</si>
</sst>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mmm\ d/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 CE"/>
      <family val="0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DashDotDot">
        <color indexed="8"/>
      </top>
      <bottom style="mediumDashDotDot">
        <color indexed="8"/>
      </bottom>
    </border>
    <border>
      <left style="thin">
        <color indexed="8"/>
      </left>
      <right style="thin">
        <color indexed="8"/>
      </right>
      <top style="mediumDashDot">
        <color indexed="8"/>
      </top>
      <bottom style="mediumDashDot">
        <color indexed="8"/>
      </bottom>
    </border>
    <border>
      <left style="thin">
        <color indexed="8"/>
      </left>
      <right style="thin">
        <color indexed="8"/>
      </right>
      <top style="dashDotDot">
        <color indexed="8"/>
      </top>
      <bottom style="dashDot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1" fillId="0" borderId="0" applyFill="0" applyBorder="0" applyAlignment="0" applyProtection="0"/>
  </cellStyleXfs>
  <cellXfs count="504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4" fillId="0" borderId="0" xfId="59" applyProtection="1">
      <alignment/>
      <protection/>
    </xf>
    <xf numFmtId="0" fontId="14" fillId="0" borderId="0" xfId="59" applyProtection="1">
      <alignment/>
      <protection locked="0"/>
    </xf>
    <xf numFmtId="0" fontId="0" fillId="0" borderId="0" xfId="0" applyAlignment="1">
      <alignment/>
    </xf>
    <xf numFmtId="0" fontId="20" fillId="0" borderId="10" xfId="59" applyFont="1" applyBorder="1" applyAlignment="1" applyProtection="1">
      <alignment horizontal="center" vertical="center"/>
      <protection/>
    </xf>
    <xf numFmtId="0" fontId="20" fillId="0" borderId="0" xfId="59" applyFont="1" applyBorder="1" applyAlignment="1" applyProtection="1">
      <alignment horizontal="center" vertical="center"/>
      <protection/>
    </xf>
    <xf numFmtId="166" fontId="21" fillId="0" borderId="10" xfId="59" applyNumberFormat="1" applyFont="1" applyBorder="1" applyAlignment="1" applyProtection="1">
      <alignment vertical="center"/>
      <protection/>
    </xf>
    <xf numFmtId="166" fontId="21" fillId="0" borderId="0" xfId="59" applyNumberFormat="1" applyFont="1" applyBorder="1" applyAlignment="1" applyProtection="1">
      <alignment vertical="center"/>
      <protection/>
    </xf>
    <xf numFmtId="0" fontId="14" fillId="0" borderId="0" xfId="59" applyAlignment="1" applyProtection="1">
      <alignment vertical="center"/>
      <protection/>
    </xf>
    <xf numFmtId="166" fontId="21" fillId="0" borderId="10" xfId="59" applyNumberFormat="1" applyFont="1" applyBorder="1" applyAlignment="1" applyProtection="1">
      <alignment vertical="center"/>
      <protection locked="0"/>
    </xf>
    <xf numFmtId="166" fontId="21" fillId="0" borderId="0" xfId="59" applyNumberFormat="1" applyFont="1" applyBorder="1" applyAlignment="1" applyProtection="1">
      <alignment vertical="center"/>
      <protection locked="0"/>
    </xf>
    <xf numFmtId="0" fontId="14" fillId="0" borderId="0" xfId="59" applyAlignment="1" applyProtection="1">
      <alignment vertical="center"/>
      <protection locked="0"/>
    </xf>
    <xf numFmtId="166" fontId="20" fillId="0" borderId="10" xfId="59" applyNumberFormat="1" applyFont="1" applyBorder="1" applyAlignment="1" applyProtection="1">
      <alignment vertical="center"/>
      <protection/>
    </xf>
    <xf numFmtId="166" fontId="20" fillId="0" borderId="0" xfId="59" applyNumberFormat="1" applyFont="1" applyBorder="1" applyAlignment="1" applyProtection="1">
      <alignment vertical="center"/>
      <protection/>
    </xf>
    <xf numFmtId="166" fontId="20" fillId="0" borderId="11" xfId="59" applyNumberFormat="1" applyFont="1" applyBorder="1" applyAlignment="1" applyProtection="1">
      <alignment vertical="center"/>
      <protection/>
    </xf>
    <xf numFmtId="166" fontId="20" fillId="0" borderId="12" xfId="59" applyNumberFormat="1" applyFont="1" applyBorder="1" applyAlignment="1" applyProtection="1">
      <alignment vertical="center"/>
      <protection/>
    </xf>
    <xf numFmtId="0" fontId="21" fillId="0" borderId="0" xfId="59" applyFont="1" applyProtection="1">
      <alignment/>
      <protection locked="0"/>
    </xf>
    <xf numFmtId="0" fontId="21" fillId="0" borderId="0" xfId="59" applyFont="1" applyProtection="1">
      <alignment/>
      <protection/>
    </xf>
    <xf numFmtId="0" fontId="14" fillId="0" borderId="0" xfId="59" applyBorder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0" xfId="0" applyBorder="1" applyAlignment="1">
      <alignment/>
    </xf>
    <xf numFmtId="0" fontId="26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wrapText="1"/>
    </xf>
    <xf numFmtId="3" fontId="27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3" fontId="26" fillId="0" borderId="13" xfId="0" applyNumberFormat="1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16" borderId="13" xfId="0" applyFont="1" applyFill="1" applyBorder="1" applyAlignment="1">
      <alignment horizontal="left"/>
    </xf>
    <xf numFmtId="0" fontId="1" fillId="0" borderId="0" xfId="58">
      <alignment/>
      <protection/>
    </xf>
    <xf numFmtId="0" fontId="1" fillId="0" borderId="0" xfId="57">
      <alignment/>
      <protection/>
    </xf>
    <xf numFmtId="0" fontId="28" fillId="0" borderId="0" xfId="57" applyFont="1">
      <alignment/>
      <protection/>
    </xf>
    <xf numFmtId="0" fontId="22" fillId="0" borderId="0" xfId="0" applyFont="1" applyAlignment="1">
      <alignment horizontal="center"/>
    </xf>
    <xf numFmtId="0" fontId="1" fillId="0" borderId="0" xfId="56">
      <alignment/>
      <protection/>
    </xf>
    <xf numFmtId="0" fontId="28" fillId="0" borderId="0" xfId="56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8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19" borderId="0" xfId="0" applyFill="1" applyAlignment="1">
      <alignment/>
    </xf>
    <xf numFmtId="0" fontId="31" fillId="0" borderId="0" xfId="56" applyFont="1">
      <alignment/>
      <protection/>
    </xf>
    <xf numFmtId="16" fontId="1" fillId="0" borderId="0" xfId="0" applyNumberFormat="1" applyFont="1" applyAlignment="1">
      <alignment/>
    </xf>
    <xf numFmtId="0" fontId="1" fillId="0" borderId="0" xfId="56" applyAlignment="1">
      <alignment horizontal="right"/>
      <protection/>
    </xf>
    <xf numFmtId="0" fontId="0" fillId="0" borderId="0" xfId="0" applyAlignment="1">
      <alignment wrapText="1"/>
    </xf>
    <xf numFmtId="3" fontId="32" fillId="0" borderId="13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3" fontId="32" fillId="0" borderId="13" xfId="0" applyNumberFormat="1" applyFont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2" fillId="0" borderId="13" xfId="0" applyNumberFormat="1" applyFont="1" applyBorder="1" applyAlignment="1">
      <alignment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0" fontId="27" fillId="0" borderId="13" xfId="0" applyFont="1" applyBorder="1" applyAlignment="1">
      <alignment/>
    </xf>
    <xf numFmtId="0" fontId="26" fillId="16" borderId="13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58" applyFont="1">
      <alignment/>
      <protection/>
    </xf>
    <xf numFmtId="0" fontId="27" fillId="0" borderId="0" xfId="58" applyFont="1" applyAlignment="1">
      <alignment horizontal="right"/>
      <protection/>
    </xf>
    <xf numFmtId="0" fontId="26" fillId="0" borderId="13" xfId="58" applyFont="1" applyBorder="1" applyAlignment="1">
      <alignment horizontal="center" vertical="center"/>
      <protection/>
    </xf>
    <xf numFmtId="0" fontId="29" fillId="0" borderId="13" xfId="58" applyFont="1" applyBorder="1">
      <alignment/>
      <protection/>
    </xf>
    <xf numFmtId="3" fontId="29" fillId="0" borderId="13" xfId="58" applyNumberFormat="1" applyFont="1" applyBorder="1" applyAlignment="1">
      <alignment horizontal="right"/>
      <protection/>
    </xf>
    <xf numFmtId="0" fontId="29" fillId="0" borderId="13" xfId="58" applyFont="1" applyBorder="1" applyAlignment="1">
      <alignment vertical="center" wrapText="1"/>
      <protection/>
    </xf>
    <xf numFmtId="0" fontId="33" fillId="0" borderId="13" xfId="58" applyFont="1" applyBorder="1" applyAlignment="1">
      <alignment vertical="center" wrapText="1"/>
      <protection/>
    </xf>
    <xf numFmtId="3" fontId="33" fillId="0" borderId="13" xfId="58" applyNumberFormat="1" applyFont="1" applyBorder="1" applyAlignment="1">
      <alignment horizontal="right"/>
      <protection/>
    </xf>
    <xf numFmtId="0" fontId="27" fillId="0" borderId="0" xfId="58" applyFont="1" applyAlignment="1">
      <alignment vertical="center" wrapText="1"/>
      <protection/>
    </xf>
    <xf numFmtId="3" fontId="29" fillId="0" borderId="13" xfId="58" applyNumberFormat="1" applyFont="1" applyBorder="1">
      <alignment/>
      <protection/>
    </xf>
    <xf numFmtId="0" fontId="33" fillId="0" borderId="13" xfId="58" applyFont="1" applyBorder="1">
      <alignment/>
      <protection/>
    </xf>
    <xf numFmtId="3" fontId="33" fillId="0" borderId="13" xfId="58" applyNumberFormat="1" applyFont="1" applyBorder="1">
      <alignment/>
      <protection/>
    </xf>
    <xf numFmtId="0" fontId="29" fillId="0" borderId="0" xfId="58" applyFont="1">
      <alignment/>
      <protection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4" fillId="0" borderId="13" xfId="0" applyFont="1" applyBorder="1" applyAlignment="1">
      <alignment horizontal="center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wrapText="1"/>
    </xf>
    <xf numFmtId="3" fontId="32" fillId="0" borderId="13" xfId="0" applyNumberFormat="1" applyFont="1" applyBorder="1" applyAlignment="1">
      <alignment/>
    </xf>
    <xf numFmtId="0" fontId="34" fillId="0" borderId="13" xfId="0" applyFont="1" applyBorder="1" applyAlignment="1">
      <alignment/>
    </xf>
    <xf numFmtId="3" fontId="34" fillId="0" borderId="13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0" fontId="27" fillId="0" borderId="0" xfId="57" applyFont="1">
      <alignment/>
      <protection/>
    </xf>
    <xf numFmtId="0" fontId="26" fillId="0" borderId="13" xfId="57" applyFont="1" applyBorder="1">
      <alignment/>
      <protection/>
    </xf>
    <xf numFmtId="0" fontId="26" fillId="0" borderId="13" xfId="57" applyFont="1" applyBorder="1" applyAlignment="1">
      <alignment horizontal="center" vertical="center"/>
      <protection/>
    </xf>
    <xf numFmtId="0" fontId="32" fillId="0" borderId="13" xfId="57" applyFont="1" applyBorder="1">
      <alignment/>
      <protection/>
    </xf>
    <xf numFmtId="3" fontId="32" fillId="0" borderId="13" xfId="57" applyNumberFormat="1" applyFont="1" applyBorder="1">
      <alignment/>
      <protection/>
    </xf>
    <xf numFmtId="0" fontId="32" fillId="0" borderId="13" xfId="57" applyFont="1" applyBorder="1" applyAlignment="1">
      <alignment vertical="center" wrapText="1"/>
      <protection/>
    </xf>
    <xf numFmtId="0" fontId="34" fillId="0" borderId="13" xfId="57" applyFont="1" applyBorder="1">
      <alignment/>
      <protection/>
    </xf>
    <xf numFmtId="3" fontId="34" fillId="0" borderId="13" xfId="57" applyNumberFormat="1" applyFont="1" applyBorder="1">
      <alignment/>
      <protection/>
    </xf>
    <xf numFmtId="0" fontId="34" fillId="0" borderId="14" xfId="57" applyFont="1" applyBorder="1">
      <alignment/>
      <protection/>
    </xf>
    <xf numFmtId="0" fontId="34" fillId="0" borderId="13" xfId="57" applyFont="1" applyBorder="1" applyAlignment="1">
      <alignment horizontal="center" vertical="center" wrapText="1"/>
      <protection/>
    </xf>
    <xf numFmtId="3" fontId="34" fillId="0" borderId="13" xfId="57" applyNumberFormat="1" applyFont="1" applyBorder="1" applyAlignment="1">
      <alignment horizontal="right" vertical="center"/>
      <protection/>
    </xf>
    <xf numFmtId="3" fontId="32" fillId="0" borderId="13" xfId="57" applyNumberFormat="1" applyFont="1" applyBorder="1" applyAlignment="1">
      <alignment horizontal="right"/>
      <protection/>
    </xf>
    <xf numFmtId="3" fontId="29" fillId="0" borderId="13" xfId="57" applyNumberFormat="1" applyFont="1" applyBorder="1" applyAlignment="1">
      <alignment horizontal="right"/>
      <protection/>
    </xf>
    <xf numFmtId="0" fontId="27" fillId="0" borderId="13" xfId="57" applyFont="1" applyBorder="1">
      <alignment/>
      <protection/>
    </xf>
    <xf numFmtId="0" fontId="34" fillId="0" borderId="15" xfId="57" applyFont="1" applyBorder="1" applyAlignment="1">
      <alignment vertical="center" wrapText="1"/>
      <protection/>
    </xf>
    <xf numFmtId="3" fontId="33" fillId="0" borderId="15" xfId="57" applyNumberFormat="1" applyFont="1" applyBorder="1" applyAlignment="1">
      <alignment horizontal="right"/>
      <protection/>
    </xf>
    <xf numFmtId="0" fontId="34" fillId="0" borderId="13" xfId="57" applyFont="1" applyFill="1" applyBorder="1" applyAlignment="1">
      <alignment vertical="center" wrapText="1"/>
      <protection/>
    </xf>
    <xf numFmtId="3" fontId="26" fillId="0" borderId="13" xfId="57" applyNumberFormat="1" applyFont="1" applyBorder="1">
      <alignment/>
      <protection/>
    </xf>
    <xf numFmtId="0" fontId="1" fillId="0" borderId="0" xfId="57" applyAlignment="1">
      <alignment horizontal="center" vertical="center"/>
      <protection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top" wrapText="1"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vertical="top" wrapText="1"/>
    </xf>
    <xf numFmtId="0" fontId="26" fillId="0" borderId="0" xfId="56" applyFont="1">
      <alignment/>
      <protection/>
    </xf>
    <xf numFmtId="0" fontId="26" fillId="0" borderId="0" xfId="0" applyFont="1" applyBorder="1" applyAlignment="1">
      <alignment/>
    </xf>
    <xf numFmtId="0" fontId="27" fillId="0" borderId="0" xfId="56" applyFont="1">
      <alignment/>
      <protection/>
    </xf>
    <xf numFmtId="0" fontId="27" fillId="0" borderId="0" xfId="0" applyFont="1" applyBorder="1" applyAlignment="1">
      <alignment/>
    </xf>
    <xf numFmtId="3" fontId="26" fillId="0" borderId="13" xfId="0" applyNumberFormat="1" applyFont="1" applyBorder="1" applyAlignment="1">
      <alignment horizontal="right"/>
    </xf>
    <xf numFmtId="3" fontId="27" fillId="0" borderId="13" xfId="0" applyNumberFormat="1" applyFont="1" applyBorder="1" applyAlignment="1">
      <alignment horizontal="right"/>
    </xf>
    <xf numFmtId="0" fontId="26" fillId="0" borderId="13" xfId="0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16" fontId="27" fillId="0" borderId="0" xfId="56" applyNumberFormat="1" applyFont="1">
      <alignment/>
      <protection/>
    </xf>
    <xf numFmtId="3" fontId="27" fillId="0" borderId="0" xfId="0" applyNumberFormat="1" applyFont="1" applyBorder="1" applyAlignment="1">
      <alignment/>
    </xf>
    <xf numFmtId="13" fontId="27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36" fillId="0" borderId="20" xfId="0" applyFont="1" applyBorder="1" applyAlignment="1">
      <alignment/>
    </xf>
    <xf numFmtId="0" fontId="37" fillId="0" borderId="0" xfId="59" applyFont="1" applyProtection="1">
      <alignment/>
      <protection locked="0"/>
    </xf>
    <xf numFmtId="0" fontId="37" fillId="0" borderId="0" xfId="59" applyFont="1" applyProtection="1">
      <alignment/>
      <protection/>
    </xf>
    <xf numFmtId="0" fontId="26" fillId="0" borderId="23" xfId="59" applyFont="1" applyBorder="1" applyAlignment="1" applyProtection="1">
      <alignment horizontal="center" vertical="center"/>
      <protection/>
    </xf>
    <xf numFmtId="0" fontId="26" fillId="0" borderId="24" xfId="59" applyFont="1" applyBorder="1" applyAlignment="1" applyProtection="1">
      <alignment horizontal="center" vertical="center"/>
      <protection/>
    </xf>
    <xf numFmtId="0" fontId="27" fillId="0" borderId="25" xfId="59" applyFont="1" applyBorder="1" applyAlignment="1" applyProtection="1">
      <alignment horizontal="left" vertical="center"/>
      <protection/>
    </xf>
    <xf numFmtId="0" fontId="38" fillId="0" borderId="13" xfId="59" applyFont="1" applyBorder="1" applyAlignment="1" applyProtection="1">
      <alignment vertical="center"/>
      <protection/>
    </xf>
    <xf numFmtId="166" fontId="27" fillId="0" borderId="13" xfId="59" applyNumberFormat="1" applyFont="1" applyBorder="1" applyAlignment="1" applyProtection="1">
      <alignment vertical="center"/>
      <protection/>
    </xf>
    <xf numFmtId="166" fontId="27" fillId="0" borderId="26" xfId="59" applyNumberFormat="1" applyFont="1" applyBorder="1" applyAlignment="1" applyProtection="1">
      <alignment vertical="center"/>
      <protection/>
    </xf>
    <xf numFmtId="0" fontId="27" fillId="0" borderId="27" xfId="59" applyFont="1" applyBorder="1" applyAlignment="1" applyProtection="1">
      <alignment vertical="center"/>
      <protection locked="0"/>
    </xf>
    <xf numFmtId="0" fontId="26" fillId="0" borderId="28" xfId="59" applyFont="1" applyBorder="1" applyAlignment="1" applyProtection="1">
      <alignment vertical="center"/>
      <protection/>
    </xf>
    <xf numFmtId="0" fontId="27" fillId="0" borderId="13" xfId="59" applyFont="1" applyBorder="1" applyAlignment="1" applyProtection="1">
      <alignment vertical="center"/>
      <protection locked="0"/>
    </xf>
    <xf numFmtId="0" fontId="27" fillId="0" borderId="0" xfId="59" applyFont="1" applyProtection="1">
      <alignment/>
      <protection/>
    </xf>
    <xf numFmtId="0" fontId="27" fillId="0" borderId="0" xfId="59" applyFont="1" applyProtection="1">
      <alignment/>
      <protection locked="0"/>
    </xf>
    <xf numFmtId="0" fontId="27" fillId="0" borderId="29" xfId="59" applyFont="1" applyBorder="1" applyProtection="1">
      <alignment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wrapText="1"/>
    </xf>
    <xf numFmtId="0" fontId="34" fillId="16" borderId="13" xfId="0" applyFont="1" applyFill="1" applyBorder="1" applyAlignment="1">
      <alignment/>
    </xf>
    <xf numFmtId="0" fontId="27" fillId="0" borderId="0" xfId="0" applyFont="1" applyAlignment="1">
      <alignment horizontal="left"/>
    </xf>
    <xf numFmtId="1" fontId="34" fillId="0" borderId="15" xfId="0" applyNumberFormat="1" applyFont="1" applyBorder="1" applyAlignment="1">
      <alignment horizontal="center" wrapText="1"/>
    </xf>
    <xf numFmtId="1" fontId="34" fillId="0" borderId="13" xfId="0" applyNumberFormat="1" applyFont="1" applyBorder="1" applyAlignment="1">
      <alignment horizontal="center" wrapText="1"/>
    </xf>
    <xf numFmtId="0" fontId="34" fillId="0" borderId="30" xfId="0" applyFont="1" applyBorder="1" applyAlignment="1">
      <alignment horizontal="center" vertical="center"/>
    </xf>
    <xf numFmtId="1" fontId="34" fillId="0" borderId="30" xfId="0" applyNumberFormat="1" applyFont="1" applyBorder="1" applyAlignment="1">
      <alignment horizontal="center" wrapText="1"/>
    </xf>
    <xf numFmtId="0" fontId="27" fillId="0" borderId="30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31" xfId="0" applyFont="1" applyBorder="1" applyAlignment="1">
      <alignment vertical="top" wrapText="1"/>
    </xf>
    <xf numFmtId="0" fontId="27" fillId="0" borderId="31" xfId="0" applyFont="1" applyBorder="1" applyAlignment="1">
      <alignment horizontal="center"/>
    </xf>
    <xf numFmtId="0" fontId="32" fillId="0" borderId="31" xfId="0" applyFont="1" applyBorder="1" applyAlignment="1">
      <alignment horizontal="center" wrapText="1"/>
    </xf>
    <xf numFmtId="0" fontId="32" fillId="0" borderId="31" xfId="0" applyFont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1" xfId="0" applyFont="1" applyBorder="1" applyAlignment="1">
      <alignment horizontal="center" wrapText="1"/>
    </xf>
    <xf numFmtId="0" fontId="39" fillId="0" borderId="0" xfId="0" applyFont="1" applyAlignment="1">
      <alignment/>
    </xf>
    <xf numFmtId="3" fontId="41" fillId="0" borderId="13" xfId="0" applyNumberFormat="1" applyFont="1" applyBorder="1" applyAlignment="1">
      <alignment/>
    </xf>
    <xf numFmtId="3" fontId="32" fillId="0" borderId="15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4" fillId="0" borderId="32" xfId="0" applyNumberFormat="1" applyFont="1" applyBorder="1" applyAlignment="1">
      <alignment/>
    </xf>
    <xf numFmtId="3" fontId="34" fillId="0" borderId="13" xfId="0" applyNumberFormat="1" applyFont="1" applyBorder="1" applyAlignment="1">
      <alignment wrapText="1"/>
    </xf>
    <xf numFmtId="3" fontId="34" fillId="0" borderId="13" xfId="0" applyNumberFormat="1" applyFont="1" applyBorder="1" applyAlignment="1">
      <alignment/>
    </xf>
    <xf numFmtId="3" fontId="32" fillId="0" borderId="13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3" fontId="34" fillId="0" borderId="32" xfId="0" applyNumberFormat="1" applyFont="1" applyBorder="1" applyAlignment="1">
      <alignment wrapText="1"/>
    </xf>
    <xf numFmtId="3" fontId="41" fillId="0" borderId="27" xfId="0" applyNumberFormat="1" applyFont="1" applyBorder="1" applyAlignment="1">
      <alignment/>
    </xf>
    <xf numFmtId="3" fontId="34" fillId="0" borderId="33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3" fontId="34" fillId="0" borderId="34" xfId="0" applyNumberFormat="1" applyFont="1" applyBorder="1" applyAlignment="1">
      <alignment wrapText="1"/>
    </xf>
    <xf numFmtId="3" fontId="32" fillId="0" borderId="34" xfId="0" applyNumberFormat="1" applyFont="1" applyBorder="1" applyAlignment="1">
      <alignment wrapText="1"/>
    </xf>
    <xf numFmtId="3" fontId="27" fillId="0" borderId="27" xfId="0" applyNumberFormat="1" applyFont="1" applyBorder="1" applyAlignment="1">
      <alignment/>
    </xf>
    <xf numFmtId="3" fontId="41" fillId="0" borderId="30" xfId="0" applyNumberFormat="1" applyFont="1" applyBorder="1" applyAlignment="1">
      <alignment horizontal="right" vertical="center" wrapText="1"/>
    </xf>
    <xf numFmtId="3" fontId="34" fillId="0" borderId="34" xfId="0" applyNumberFormat="1" applyFont="1" applyBorder="1" applyAlignment="1">
      <alignment horizontal="right" vertical="center" wrapText="1"/>
    </xf>
    <xf numFmtId="3" fontId="32" fillId="0" borderId="34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34" fillId="0" borderId="34" xfId="0" applyNumberFormat="1" applyFont="1" applyBorder="1" applyAlignment="1">
      <alignment/>
    </xf>
    <xf numFmtId="3" fontId="34" fillId="0" borderId="28" xfId="0" applyNumberFormat="1" applyFont="1" applyBorder="1" applyAlignment="1">
      <alignment/>
    </xf>
    <xf numFmtId="3" fontId="34" fillId="0" borderId="35" xfId="0" applyNumberFormat="1" applyFont="1" applyBorder="1" applyAlignment="1">
      <alignment/>
    </xf>
    <xf numFmtId="3" fontId="32" fillId="0" borderId="35" xfId="0" applyNumberFormat="1" applyFont="1" applyBorder="1" applyAlignment="1">
      <alignment/>
    </xf>
    <xf numFmtId="3" fontId="34" fillId="0" borderId="35" xfId="0" applyNumberFormat="1" applyFont="1" applyBorder="1" applyAlignment="1">
      <alignment horizontal="right" vertical="center" wrapText="1"/>
    </xf>
    <xf numFmtId="3" fontId="34" fillId="0" borderId="36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27" fillId="0" borderId="13" xfId="0" applyNumberFormat="1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16" fontId="27" fillId="0" borderId="13" xfId="0" applyNumberFormat="1" applyFont="1" applyBorder="1" applyAlignment="1">
      <alignment horizontal="center" vertical="top" wrapText="1"/>
    </xf>
    <xf numFmtId="1" fontId="27" fillId="0" borderId="13" xfId="0" applyNumberFormat="1" applyFont="1" applyBorder="1" applyAlignment="1">
      <alignment horizontal="center" vertical="top" wrapText="1"/>
    </xf>
    <xf numFmtId="3" fontId="32" fillId="16" borderId="13" xfId="0" applyNumberFormat="1" applyFont="1" applyFill="1" applyBorder="1" applyAlignment="1">
      <alignment/>
    </xf>
    <xf numFmtId="3" fontId="34" fillId="0" borderId="30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13" xfId="0" applyFont="1" applyFill="1" applyBorder="1" applyAlignment="1">
      <alignment/>
    </xf>
    <xf numFmtId="3" fontId="29" fillId="0" borderId="13" xfId="0" applyNumberFormat="1" applyFont="1" applyFill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33" fillId="0" borderId="13" xfId="0" applyNumberFormat="1" applyFont="1" applyBorder="1" applyAlignment="1">
      <alignment horizontal="left"/>
    </xf>
    <xf numFmtId="3" fontId="33" fillId="0" borderId="13" xfId="0" applyNumberFormat="1" applyFont="1" applyBorder="1" applyAlignment="1">
      <alignment/>
    </xf>
    <xf numFmtId="3" fontId="29" fillId="0" borderId="15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30" xfId="0" applyNumberFormat="1" applyFont="1" applyBorder="1" applyAlignment="1">
      <alignment/>
    </xf>
    <xf numFmtId="3" fontId="29" fillId="0" borderId="35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3" fontId="33" fillId="0" borderId="30" xfId="0" applyNumberFormat="1" applyFont="1" applyBorder="1" applyAlignment="1">
      <alignment/>
    </xf>
    <xf numFmtId="3" fontId="29" fillId="0" borderId="35" xfId="0" applyNumberFormat="1" applyFont="1" applyBorder="1" applyAlignment="1">
      <alignment/>
    </xf>
    <xf numFmtId="3" fontId="33" fillId="0" borderId="35" xfId="0" applyNumberFormat="1" applyFont="1" applyBorder="1" applyAlignment="1">
      <alignment/>
    </xf>
    <xf numFmtId="3" fontId="29" fillId="0" borderId="27" xfId="0" applyNumberFormat="1" applyFont="1" applyBorder="1" applyAlignment="1">
      <alignment/>
    </xf>
    <xf numFmtId="3" fontId="33" fillId="0" borderId="27" xfId="0" applyNumberFormat="1" applyFont="1" applyBorder="1" applyAlignment="1">
      <alignment/>
    </xf>
    <xf numFmtId="3" fontId="33" fillId="0" borderId="32" xfId="0" applyNumberFormat="1" applyFont="1" applyBorder="1" applyAlignment="1">
      <alignment/>
    </xf>
    <xf numFmtId="3" fontId="33" fillId="0" borderId="36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3" fontId="26" fillId="0" borderId="13" xfId="0" applyNumberFormat="1" applyFont="1" applyFill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center" wrapText="1"/>
    </xf>
    <xf numFmtId="3" fontId="27" fillId="0" borderId="13" xfId="0" applyNumberFormat="1" applyFont="1" applyBorder="1" applyAlignment="1">
      <alignment horizontal="right" vertical="center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3" fontId="26" fillId="2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Border="1" applyAlignment="1">
      <alignment horizontal="left" vertical="center" wrapText="1"/>
    </xf>
    <xf numFmtId="0" fontId="27" fillId="0" borderId="0" xfId="0" applyNumberFormat="1" applyFont="1" applyAlignment="1">
      <alignment horizontal="left" vertical="center" wrapText="1"/>
    </xf>
    <xf numFmtId="0" fontId="26" fillId="0" borderId="13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Border="1" applyAlignment="1">
      <alignment horizontal="left" vertical="center" wrapText="1"/>
    </xf>
    <xf numFmtId="0" fontId="26" fillId="2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32" fillId="0" borderId="13" xfId="0" applyNumberFormat="1" applyFont="1" applyBorder="1" applyAlignment="1">
      <alignment horizontal="left" vertical="center" wrapText="1"/>
    </xf>
    <xf numFmtId="3" fontId="27" fillId="0" borderId="13" xfId="0" applyNumberFormat="1" applyFont="1" applyFill="1" applyBorder="1" applyAlignment="1">
      <alignment horizontal="right" vertical="center"/>
    </xf>
    <xf numFmtId="14" fontId="32" fillId="0" borderId="13" xfId="0" applyNumberFormat="1" applyFont="1" applyBorder="1" applyAlignment="1">
      <alignment horizontal="left" vertical="center" wrapText="1"/>
    </xf>
    <xf numFmtId="0" fontId="26" fillId="20" borderId="37" xfId="0" applyNumberFormat="1" applyFont="1" applyFill="1" applyBorder="1" applyAlignment="1">
      <alignment horizontal="left" vertical="center" wrapText="1"/>
    </xf>
    <xf numFmtId="3" fontId="26" fillId="20" borderId="37" xfId="0" applyNumberFormat="1" applyFont="1" applyFill="1" applyBorder="1" applyAlignment="1">
      <alignment horizontal="right" vertical="center"/>
    </xf>
    <xf numFmtId="0" fontId="32" fillId="0" borderId="18" xfId="0" applyFont="1" applyBorder="1" applyAlignment="1">
      <alignment horizontal="left"/>
    </xf>
    <xf numFmtId="3" fontId="32" fillId="0" borderId="13" xfId="0" applyNumberFormat="1" applyFont="1" applyBorder="1" applyAlignment="1">
      <alignment horizontal="right"/>
    </xf>
    <xf numFmtId="0" fontId="32" fillId="0" borderId="18" xfId="0" applyFont="1" applyBorder="1" applyAlignment="1">
      <alignment horizontal="left" vertical="center" wrapText="1"/>
    </xf>
    <xf numFmtId="167" fontId="32" fillId="0" borderId="18" xfId="0" applyNumberFormat="1" applyFont="1" applyBorder="1" applyAlignment="1">
      <alignment horizontal="left" wrapText="1"/>
    </xf>
    <xf numFmtId="0" fontId="41" fillId="0" borderId="18" xfId="0" applyFont="1" applyBorder="1" applyAlignment="1">
      <alignment horizontal="left"/>
    </xf>
    <xf numFmtId="0" fontId="32" fillId="0" borderId="18" xfId="0" applyFont="1" applyBorder="1" applyAlignment="1">
      <alignment/>
    </xf>
    <xf numFmtId="3" fontId="41" fillId="0" borderId="13" xfId="0" applyNumberFormat="1" applyFont="1" applyBorder="1" applyAlignment="1">
      <alignment wrapText="1"/>
    </xf>
    <xf numFmtId="167" fontId="34" fillId="0" borderId="13" xfId="0" applyNumberFormat="1" applyFont="1" applyBorder="1" applyAlignment="1">
      <alignment wrapText="1"/>
    </xf>
    <xf numFmtId="0" fontId="32" fillId="0" borderId="18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8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3" fontId="53" fillId="0" borderId="13" xfId="0" applyNumberFormat="1" applyFont="1" applyBorder="1" applyAlignment="1">
      <alignment/>
    </xf>
    <xf numFmtId="3" fontId="32" fillId="0" borderId="13" xfId="0" applyNumberFormat="1" applyFont="1" applyBorder="1" applyAlignment="1">
      <alignment horizontal="center" wrapText="1"/>
    </xf>
    <xf numFmtId="167" fontId="32" fillId="0" borderId="38" xfId="0" applyNumberFormat="1" applyFont="1" applyBorder="1" applyAlignment="1">
      <alignment horizontal="left" vertical="center" wrapText="1"/>
    </xf>
    <xf numFmtId="3" fontId="32" fillId="0" borderId="15" xfId="0" applyNumberFormat="1" applyFont="1" applyBorder="1" applyAlignment="1">
      <alignment wrapText="1"/>
    </xf>
    <xf numFmtId="0" fontId="34" fillId="0" borderId="20" xfId="0" applyFont="1" applyBorder="1" applyAlignment="1">
      <alignment horizontal="left" vertical="center"/>
    </xf>
    <xf numFmtId="167" fontId="34" fillId="0" borderId="30" xfId="0" applyNumberFormat="1" applyFont="1" applyBorder="1" applyAlignment="1">
      <alignment wrapText="1"/>
    </xf>
    <xf numFmtId="0" fontId="32" fillId="0" borderId="30" xfId="0" applyFont="1" applyBorder="1" applyAlignment="1">
      <alignment/>
    </xf>
    <xf numFmtId="0" fontId="34" fillId="0" borderId="35" xfId="0" applyFont="1" applyBorder="1" applyAlignment="1">
      <alignment horizontal="left" vertical="center"/>
    </xf>
    <xf numFmtId="3" fontId="34" fillId="0" borderId="35" xfId="0" applyNumberFormat="1" applyFont="1" applyBorder="1" applyAlignment="1">
      <alignment wrapText="1"/>
    </xf>
    <xf numFmtId="3" fontId="32" fillId="0" borderId="30" xfId="0" applyNumberFormat="1" applyFont="1" applyBorder="1" applyAlignment="1">
      <alignment wrapText="1"/>
    </xf>
    <xf numFmtId="0" fontId="34" fillId="0" borderId="32" xfId="0" applyFont="1" applyBorder="1" applyAlignment="1">
      <alignment horizontal="left" vertical="center"/>
    </xf>
    <xf numFmtId="0" fontId="32" fillId="0" borderId="38" xfId="0" applyFont="1" applyBorder="1" applyAlignment="1">
      <alignment/>
    </xf>
    <xf numFmtId="3" fontId="32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 wrapText="1"/>
    </xf>
    <xf numFmtId="0" fontId="34" fillId="0" borderId="10" xfId="0" applyFont="1" applyBorder="1" applyAlignment="1">
      <alignment horizontal="left" vertical="center"/>
    </xf>
    <xf numFmtId="167" fontId="32" fillId="0" borderId="27" xfId="0" applyNumberFormat="1" applyFont="1" applyBorder="1" applyAlignment="1">
      <alignment wrapText="1"/>
    </xf>
    <xf numFmtId="0" fontId="32" fillId="0" borderId="27" xfId="0" applyFont="1" applyBorder="1" applyAlignment="1">
      <alignment/>
    </xf>
    <xf numFmtId="0" fontId="32" fillId="0" borderId="38" xfId="0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horizontal="center" wrapText="1"/>
    </xf>
    <xf numFmtId="3" fontId="34" fillId="0" borderId="30" xfId="0" applyNumberFormat="1" applyFont="1" applyBorder="1" applyAlignment="1">
      <alignment/>
    </xf>
    <xf numFmtId="3" fontId="34" fillId="0" borderId="3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0" fontId="34" fillId="0" borderId="35" xfId="0" applyFont="1" applyBorder="1" applyAlignment="1">
      <alignment/>
    </xf>
    <xf numFmtId="0" fontId="34" fillId="0" borderId="10" xfId="0" applyFont="1" applyBorder="1" applyAlignment="1">
      <alignment horizontal="left"/>
    </xf>
    <xf numFmtId="3" fontId="34" fillId="0" borderId="27" xfId="0" applyNumberFormat="1" applyFont="1" applyBorder="1" applyAlignment="1">
      <alignment horizontal="left"/>
    </xf>
    <xf numFmtId="0" fontId="34" fillId="0" borderId="32" xfId="0" applyFont="1" applyBorder="1" applyAlignment="1">
      <alignment/>
    </xf>
    <xf numFmtId="3" fontId="40" fillId="0" borderId="32" xfId="0" applyNumberFormat="1" applyFont="1" applyBorder="1" applyAlignment="1">
      <alignment/>
    </xf>
    <xf numFmtId="0" fontId="32" fillId="16" borderId="27" xfId="0" applyFont="1" applyFill="1" applyBorder="1" applyAlignment="1">
      <alignment/>
    </xf>
    <xf numFmtId="3" fontId="34" fillId="16" borderId="27" xfId="0" applyNumberFormat="1" applyFont="1" applyFill="1" applyBorder="1" applyAlignment="1">
      <alignment/>
    </xf>
    <xf numFmtId="0" fontId="32" fillId="0" borderId="20" xfId="0" applyFont="1" applyBorder="1" applyAlignment="1">
      <alignment/>
    </xf>
    <xf numFmtId="3" fontId="32" fillId="0" borderId="30" xfId="0" applyNumberFormat="1" applyFont="1" applyBorder="1" applyAlignment="1">
      <alignment/>
    </xf>
    <xf numFmtId="3" fontId="32" fillId="0" borderId="30" xfId="0" applyNumberFormat="1" applyFont="1" applyBorder="1" applyAlignment="1">
      <alignment horizontal="right" wrapText="1"/>
    </xf>
    <xf numFmtId="0" fontId="34" fillId="16" borderId="36" xfId="0" applyFont="1" applyFill="1" applyBorder="1" applyAlignment="1">
      <alignment vertical="center" wrapText="1"/>
    </xf>
    <xf numFmtId="3" fontId="34" fillId="16" borderId="36" xfId="0" applyNumberFormat="1" applyFont="1" applyFill="1" applyBorder="1" applyAlignment="1">
      <alignment/>
    </xf>
    <xf numFmtId="3" fontId="54" fillId="0" borderId="13" xfId="0" applyNumberFormat="1" applyFont="1" applyFill="1" applyBorder="1" applyAlignment="1">
      <alignment horizontal="right" vertical="center" wrapText="1"/>
    </xf>
    <xf numFmtId="3" fontId="55" fillId="0" borderId="13" xfId="0" applyNumberFormat="1" applyFont="1" applyBorder="1" applyAlignment="1">
      <alignment horizontal="right" vertical="center"/>
    </xf>
    <xf numFmtId="3" fontId="55" fillId="19" borderId="13" xfId="0" applyNumberFormat="1" applyFont="1" applyFill="1" applyBorder="1" applyAlignment="1">
      <alignment horizontal="right" vertical="center"/>
    </xf>
    <xf numFmtId="3" fontId="27" fillId="19" borderId="13" xfId="0" applyNumberFormat="1" applyFont="1" applyFill="1" applyBorder="1" applyAlignment="1">
      <alignment horizontal="right" vertical="center"/>
    </xf>
    <xf numFmtId="3" fontId="26" fillId="19" borderId="13" xfId="0" applyNumberFormat="1" applyFont="1" applyFill="1" applyBorder="1" applyAlignment="1">
      <alignment horizontal="right" vertical="center" wrapText="1"/>
    </xf>
    <xf numFmtId="3" fontId="54" fillId="0" borderId="13" xfId="0" applyNumberFormat="1" applyFont="1" applyFill="1" applyBorder="1" applyAlignment="1">
      <alignment horizontal="right" vertical="center"/>
    </xf>
    <xf numFmtId="3" fontId="56" fillId="0" borderId="13" xfId="0" applyNumberFormat="1" applyFont="1" applyBorder="1" applyAlignment="1">
      <alignment horizontal="right" vertical="center"/>
    </xf>
    <xf numFmtId="3" fontId="57" fillId="0" borderId="13" xfId="0" applyNumberFormat="1" applyFont="1" applyFill="1" applyBorder="1" applyAlignment="1">
      <alignment horizontal="right" vertical="center"/>
    </xf>
    <xf numFmtId="3" fontId="55" fillId="0" borderId="13" xfId="0" applyNumberFormat="1" applyFont="1" applyFill="1" applyBorder="1" applyAlignment="1">
      <alignment horizontal="right" vertical="center"/>
    </xf>
    <xf numFmtId="0" fontId="27" fillId="19" borderId="13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Fill="1" applyBorder="1" applyAlignment="1">
      <alignment horizontal="left" vertical="center" wrapText="1"/>
    </xf>
    <xf numFmtId="0" fontId="27" fillId="0" borderId="15" xfId="0" applyFont="1" applyBorder="1" applyAlignment="1">
      <alignment/>
    </xf>
    <xf numFmtId="0" fontId="26" fillId="0" borderId="30" xfId="0" applyFont="1" applyBorder="1" applyAlignment="1">
      <alignment/>
    </xf>
    <xf numFmtId="3" fontId="26" fillId="0" borderId="30" xfId="0" applyNumberFormat="1" applyFont="1" applyBorder="1" applyAlignment="1">
      <alignment/>
    </xf>
    <xf numFmtId="0" fontId="26" fillId="0" borderId="27" xfId="0" applyFont="1" applyBorder="1" applyAlignment="1">
      <alignment/>
    </xf>
    <xf numFmtId="3" fontId="26" fillId="0" borderId="27" xfId="0" applyNumberFormat="1" applyFont="1" applyBorder="1" applyAlignment="1">
      <alignment/>
    </xf>
    <xf numFmtId="0" fontId="26" fillId="16" borderId="36" xfId="0" applyFont="1" applyFill="1" applyBorder="1" applyAlignment="1">
      <alignment vertical="center"/>
    </xf>
    <xf numFmtId="3" fontId="26" fillId="16" borderId="36" xfId="0" applyNumberFormat="1" applyFont="1" applyFill="1" applyBorder="1" applyAlignment="1">
      <alignment vertical="center"/>
    </xf>
    <xf numFmtId="0" fontId="26" fillId="16" borderId="36" xfId="0" applyFont="1" applyFill="1" applyBorder="1" applyAlignment="1">
      <alignment horizontal="left"/>
    </xf>
    <xf numFmtId="3" fontId="26" fillId="16" borderId="36" xfId="0" applyNumberFormat="1" applyFont="1" applyFill="1" applyBorder="1" applyAlignment="1">
      <alignment/>
    </xf>
    <xf numFmtId="0" fontId="26" fillId="0" borderId="28" xfId="0" applyFont="1" applyBorder="1" applyAlignment="1">
      <alignment/>
    </xf>
    <xf numFmtId="3" fontId="26" fillId="0" borderId="28" xfId="0" applyNumberFormat="1" applyFont="1" applyBorder="1" applyAlignment="1">
      <alignment/>
    </xf>
    <xf numFmtId="0" fontId="38" fillId="0" borderId="32" xfId="0" applyFont="1" applyBorder="1" applyAlignment="1">
      <alignment/>
    </xf>
    <xf numFmtId="3" fontId="38" fillId="0" borderId="32" xfId="0" applyNumberFormat="1" applyFont="1" applyBorder="1" applyAlignment="1">
      <alignment/>
    </xf>
    <xf numFmtId="0" fontId="37" fillId="0" borderId="0" xfId="0" applyFont="1" applyAlignment="1">
      <alignment/>
    </xf>
    <xf numFmtId="0" fontId="26" fillId="0" borderId="39" xfId="59" applyFont="1" applyBorder="1" applyAlignment="1" applyProtection="1">
      <alignment horizontal="center" vertical="center"/>
      <protection/>
    </xf>
    <xf numFmtId="0" fontId="43" fillId="0" borderId="40" xfId="59" applyFont="1" applyBorder="1" applyAlignment="1" applyProtection="1">
      <alignment horizontal="center"/>
      <protection locked="0"/>
    </xf>
    <xf numFmtId="0" fontId="38" fillId="0" borderId="40" xfId="59" applyFont="1" applyBorder="1" applyAlignment="1" applyProtection="1">
      <alignment horizontal="right"/>
      <protection locked="0"/>
    </xf>
    <xf numFmtId="0" fontId="38" fillId="0" borderId="40" xfId="59" applyFont="1" applyBorder="1" applyAlignment="1" applyProtection="1">
      <alignment horizontal="center"/>
      <protection locked="0"/>
    </xf>
    <xf numFmtId="0" fontId="27" fillId="0" borderId="13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29" xfId="59" applyFont="1" applyBorder="1" applyAlignment="1" applyProtection="1">
      <alignment wrapText="1"/>
      <protection locked="0"/>
    </xf>
    <xf numFmtId="3" fontId="32" fillId="0" borderId="13" xfId="59" applyNumberFormat="1" applyFont="1" applyBorder="1" applyAlignment="1" applyProtection="1">
      <alignment horizontal="right" vertical="center"/>
      <protection locked="0"/>
    </xf>
    <xf numFmtId="166" fontId="32" fillId="0" borderId="26" xfId="59" applyNumberFormat="1" applyFont="1" applyBorder="1" applyAlignment="1" applyProtection="1">
      <alignment horizontal="right" vertical="center"/>
      <protection/>
    </xf>
    <xf numFmtId="3" fontId="40" fillId="0" borderId="27" xfId="59" applyNumberFormat="1" applyFont="1" applyBorder="1" applyAlignment="1" applyProtection="1">
      <alignment horizontal="right" vertical="center"/>
      <protection locked="0"/>
    </xf>
    <xf numFmtId="166" fontId="40" fillId="0" borderId="26" xfId="59" applyNumberFormat="1" applyFont="1" applyBorder="1" applyAlignment="1" applyProtection="1">
      <alignment horizontal="right" vertical="center"/>
      <protection/>
    </xf>
    <xf numFmtId="166" fontId="34" fillId="0" borderId="28" xfId="59" applyNumberFormat="1" applyFont="1" applyBorder="1" applyAlignment="1" applyProtection="1">
      <alignment horizontal="right" vertical="center"/>
      <protection/>
    </xf>
    <xf numFmtId="166" fontId="34" fillId="0" borderId="41" xfId="59" applyNumberFormat="1" applyFont="1" applyBorder="1" applyAlignment="1" applyProtection="1">
      <alignment horizontal="right" vertical="center"/>
      <protection/>
    </xf>
    <xf numFmtId="166" fontId="32" fillId="0" borderId="13" xfId="59" applyNumberFormat="1" applyFont="1" applyBorder="1" applyAlignment="1" applyProtection="1">
      <alignment horizontal="right" vertical="center"/>
      <protection/>
    </xf>
    <xf numFmtId="166" fontId="32" fillId="0" borderId="13" xfId="59" applyNumberFormat="1" applyFont="1" applyBorder="1" applyAlignment="1" applyProtection="1">
      <alignment horizontal="right" vertical="center"/>
      <protection locked="0"/>
    </xf>
    <xf numFmtId="166" fontId="40" fillId="0" borderId="13" xfId="59" applyNumberFormat="1" applyFont="1" applyBorder="1" applyAlignment="1" applyProtection="1">
      <alignment horizontal="right" vertical="center"/>
      <protection locked="0"/>
    </xf>
    <xf numFmtId="0" fontId="32" fillId="0" borderId="0" xfId="59" applyFont="1" applyAlignment="1" applyProtection="1">
      <alignment horizontal="right" vertical="center"/>
      <protection locked="0"/>
    </xf>
    <xf numFmtId="0" fontId="32" fillId="0" borderId="0" xfId="59" applyFont="1" applyAlignment="1" applyProtection="1">
      <alignment horizontal="right" vertical="center"/>
      <protection/>
    </xf>
    <xf numFmtId="166" fontId="32" fillId="0" borderId="29" xfId="59" applyNumberFormat="1" applyFont="1" applyBorder="1" applyAlignment="1" applyProtection="1">
      <alignment horizontal="right" vertical="center"/>
      <protection locked="0"/>
    </xf>
    <xf numFmtId="0" fontId="32" fillId="0" borderId="42" xfId="59" applyFont="1" applyBorder="1" applyAlignment="1" applyProtection="1">
      <alignment horizontal="right" vertical="center"/>
      <protection/>
    </xf>
    <xf numFmtId="0" fontId="27" fillId="0" borderId="43" xfId="59" applyFont="1" applyBorder="1" applyAlignment="1" applyProtection="1">
      <alignment horizontal="left" vertical="center"/>
      <protection/>
    </xf>
    <xf numFmtId="0" fontId="27" fillId="0" borderId="44" xfId="59" applyFont="1" applyBorder="1" applyAlignment="1" applyProtection="1">
      <alignment horizontal="left" vertical="center"/>
      <protection/>
    </xf>
    <xf numFmtId="0" fontId="26" fillId="0" borderId="11" xfId="59" applyFont="1" applyBorder="1" applyAlignment="1" applyProtection="1">
      <alignment vertical="center"/>
      <protection/>
    </xf>
    <xf numFmtId="166" fontId="34" fillId="0" borderId="11" xfId="59" applyNumberFormat="1" applyFont="1" applyBorder="1" applyAlignment="1" applyProtection="1">
      <alignment horizontal="right" vertical="center"/>
      <protection/>
    </xf>
    <xf numFmtId="166" fontId="34" fillId="0" borderId="12" xfId="59" applyNumberFormat="1" applyFont="1" applyBorder="1" applyAlignment="1" applyProtection="1">
      <alignment horizontal="right" vertical="center"/>
      <protection/>
    </xf>
    <xf numFmtId="0" fontId="27" fillId="0" borderId="45" xfId="59" applyFont="1" applyBorder="1" applyAlignment="1" applyProtection="1">
      <alignment vertical="center"/>
      <protection locked="0"/>
    </xf>
    <xf numFmtId="166" fontId="32" fillId="0" borderId="45" xfId="59" applyNumberFormat="1" applyFont="1" applyBorder="1" applyAlignment="1" applyProtection="1">
      <alignment horizontal="right" vertical="center"/>
      <protection locked="0"/>
    </xf>
    <xf numFmtId="166" fontId="32" fillId="0" borderId="46" xfId="59" applyNumberFormat="1" applyFont="1" applyBorder="1" applyAlignment="1" applyProtection="1">
      <alignment horizontal="right" vertical="center"/>
      <protection/>
    </xf>
    <xf numFmtId="0" fontId="27" fillId="0" borderId="38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31" xfId="0" applyFont="1" applyFill="1" applyBorder="1" applyAlignment="1">
      <alignment vertical="top" wrapText="1"/>
    </xf>
    <xf numFmtId="0" fontId="0" fillId="0" borderId="31" xfId="0" applyBorder="1" applyAlignment="1">
      <alignment/>
    </xf>
    <xf numFmtId="0" fontId="34" fillId="16" borderId="36" xfId="0" applyFont="1" applyFill="1" applyBorder="1" applyAlignment="1">
      <alignment horizontal="left"/>
    </xf>
    <xf numFmtId="0" fontId="34" fillId="0" borderId="35" xfId="0" applyFont="1" applyBorder="1" applyAlignment="1">
      <alignment horizontal="left" vertical="center" wrapText="1"/>
    </xf>
    <xf numFmtId="0" fontId="34" fillId="0" borderId="35" xfId="0" applyFont="1" applyFill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32" fillId="0" borderId="27" xfId="0" applyFont="1" applyBorder="1" applyAlignment="1">
      <alignment horizontal="center"/>
    </xf>
    <xf numFmtId="0" fontId="34" fillId="0" borderId="27" xfId="0" applyFont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/>
    </xf>
    <xf numFmtId="0" fontId="41" fillId="0" borderId="30" xfId="0" applyFont="1" applyBorder="1" applyAlignment="1">
      <alignment horizontal="left"/>
    </xf>
    <xf numFmtId="0" fontId="34" fillId="0" borderId="30" xfId="0" applyFont="1" applyFill="1" applyBorder="1" applyAlignment="1">
      <alignment horizontal="center"/>
    </xf>
    <xf numFmtId="0" fontId="32" fillId="0" borderId="15" xfId="0" applyFont="1" applyBorder="1" applyAlignment="1">
      <alignment horizontal="left"/>
    </xf>
    <xf numFmtId="0" fontId="32" fillId="0" borderId="15" xfId="0" applyFont="1" applyFill="1" applyBorder="1" applyAlignment="1">
      <alignment horizontal="left"/>
    </xf>
    <xf numFmtId="0" fontId="32" fillId="0" borderId="27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32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/>
    </xf>
    <xf numFmtId="0" fontId="32" fillId="0" borderId="30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/>
    </xf>
    <xf numFmtId="0" fontId="34" fillId="0" borderId="27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38" xfId="0" applyFont="1" applyBorder="1" applyAlignment="1">
      <alignment horizontal="center" vertical="top" wrapText="1"/>
    </xf>
    <xf numFmtId="0" fontId="27" fillId="0" borderId="47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left"/>
    </xf>
    <xf numFmtId="0" fontId="34" fillId="0" borderId="32" xfId="0" applyFont="1" applyBorder="1" applyAlignment="1">
      <alignment horizontal="left" wrapText="1"/>
    </xf>
    <xf numFmtId="0" fontId="27" fillId="0" borderId="30" xfId="0" applyFont="1" applyBorder="1" applyAlignment="1">
      <alignment horizontal="center"/>
    </xf>
    <xf numFmtId="0" fontId="32" fillId="0" borderId="13" xfId="0" applyFont="1" applyFill="1" applyBorder="1" applyAlignment="1">
      <alignment horizontal="left"/>
    </xf>
    <xf numFmtId="0" fontId="32" fillId="0" borderId="15" xfId="0" applyFont="1" applyBorder="1" applyAlignment="1">
      <alignment/>
    </xf>
    <xf numFmtId="49" fontId="34" fillId="0" borderId="35" xfId="0" applyNumberFormat="1" applyFont="1" applyBorder="1" applyAlignment="1">
      <alignment horizontal="left" vertical="center"/>
    </xf>
    <xf numFmtId="0" fontId="34" fillId="0" borderId="30" xfId="0" applyFont="1" applyBorder="1" applyAlignment="1">
      <alignment horizontal="left"/>
    </xf>
    <xf numFmtId="0" fontId="32" fillId="0" borderId="15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2" fillId="16" borderId="13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right"/>
    </xf>
    <xf numFmtId="0" fontId="34" fillId="0" borderId="1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0" borderId="13" xfId="0" applyFont="1" applyFill="1" applyBorder="1" applyAlignment="1">
      <alignment horizontal="left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wrapText="1"/>
    </xf>
    <xf numFmtId="0" fontId="34" fillId="0" borderId="35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center" vertical="center" wrapText="1"/>
    </xf>
    <xf numFmtId="49" fontId="34" fillId="0" borderId="30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left" vertical="center" wrapText="1"/>
    </xf>
    <xf numFmtId="49" fontId="34" fillId="0" borderId="15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7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42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4" fillId="0" borderId="15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23" fillId="0" borderId="0" xfId="0" applyNumberFormat="1" applyFont="1" applyBorder="1" applyAlignment="1">
      <alignment wrapText="1"/>
    </xf>
    <xf numFmtId="0" fontId="27" fillId="0" borderId="21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0" xfId="58" applyFont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7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 vertical="center" wrapText="1"/>
      <protection/>
    </xf>
    <xf numFmtId="0" fontId="29" fillId="0" borderId="0" xfId="58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right"/>
      <protection/>
    </xf>
    <xf numFmtId="0" fontId="34" fillId="0" borderId="0" xfId="0" applyFont="1" applyBorder="1" applyAlignment="1">
      <alignment horizontal="center" vertical="center" wrapText="1"/>
    </xf>
    <xf numFmtId="0" fontId="26" fillId="0" borderId="13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/>
      <protection/>
    </xf>
    <xf numFmtId="0" fontId="26" fillId="0" borderId="0" xfId="0" applyFont="1" applyBorder="1" applyAlignment="1">
      <alignment horizontal="center" vertical="top" wrapText="1"/>
    </xf>
    <xf numFmtId="0" fontId="27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21" xfId="56" applyFont="1" applyBorder="1" applyAlignment="1">
      <alignment horizontal="center"/>
      <protection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8" fillId="0" borderId="0" xfId="0" applyFont="1" applyBorder="1" applyAlignment="1">
      <alignment/>
    </xf>
    <xf numFmtId="0" fontId="27" fillId="0" borderId="3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43" fillId="0" borderId="0" xfId="59" applyFont="1" applyBorder="1" applyAlignment="1" applyProtection="1">
      <alignment horizontal="center"/>
      <protection locked="0"/>
    </xf>
    <xf numFmtId="1" fontId="34" fillId="0" borderId="15" xfId="0" applyNumberFormat="1" applyFont="1" applyBorder="1" applyAlignment="1">
      <alignment horizontal="center" wrapText="1"/>
    </xf>
    <xf numFmtId="0" fontId="34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left" wrapText="1"/>
    </xf>
    <xf numFmtId="0" fontId="32" fillId="0" borderId="19" xfId="0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34" fillId="0" borderId="34" xfId="0" applyFont="1" applyBorder="1" applyAlignment="1">
      <alignment horizontal="left" wrapText="1"/>
    </xf>
    <xf numFmtId="0" fontId="34" fillId="0" borderId="33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wrapText="1"/>
    </xf>
    <xf numFmtId="0" fontId="34" fillId="0" borderId="34" xfId="0" applyFont="1" applyBorder="1" applyAlignment="1">
      <alignment horizontal="left" vertical="center" wrapText="1"/>
    </xf>
    <xf numFmtId="0" fontId="34" fillId="0" borderId="34" xfId="0" applyFont="1" applyFill="1" applyBorder="1" applyAlignment="1">
      <alignment horizontal="left"/>
    </xf>
    <xf numFmtId="0" fontId="34" fillId="16" borderId="28" xfId="0" applyFont="1" applyFill="1" applyBorder="1" applyAlignment="1">
      <alignment horizontal="lef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14. mell. eu forrásból megv." xfId="56"/>
    <cellStyle name="Normál_adósságot keletkeztetó ügylet  hat. 1.mell" xfId="57"/>
    <cellStyle name="Normál_Munka6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" sqref="C1"/>
    </sheetView>
  </sheetViews>
  <sheetFormatPr defaultColWidth="9.00390625" defaultRowHeight="12.75"/>
  <cols>
    <col min="3" max="3" width="38.00390625" style="0" customWidth="1"/>
    <col min="4" max="4" width="14.375" style="0" customWidth="1"/>
    <col min="5" max="5" width="6.625" style="0" customWidth="1"/>
    <col min="6" max="6" width="47.25390625" style="0" customWidth="1"/>
    <col min="7" max="7" width="15.125" style="0" customWidth="1"/>
  </cols>
  <sheetData>
    <row r="1" spans="1:7" ht="12.75">
      <c r="A1" s="37" t="s">
        <v>588</v>
      </c>
      <c r="B1" s="93"/>
      <c r="C1" s="93"/>
      <c r="D1" s="37"/>
      <c r="E1" s="37"/>
      <c r="F1" s="37"/>
      <c r="G1" s="37"/>
    </row>
    <row r="2" spans="1:7" ht="12.75">
      <c r="A2" s="37"/>
      <c r="B2" s="37"/>
      <c r="C2" s="37"/>
      <c r="D2" s="37"/>
      <c r="E2" s="37"/>
      <c r="F2" s="37"/>
      <c r="G2" s="37"/>
    </row>
    <row r="3" spans="1:7" ht="12" customHeight="1">
      <c r="A3" s="37"/>
      <c r="B3" s="37"/>
      <c r="C3" s="37"/>
      <c r="D3" s="37"/>
      <c r="E3" s="37"/>
      <c r="F3" s="191"/>
      <c r="G3" s="93"/>
    </row>
    <row r="4" spans="1:7" ht="12.75">
      <c r="A4" s="401" t="s">
        <v>0</v>
      </c>
      <c r="B4" s="401"/>
      <c r="C4" s="401"/>
      <c r="D4" s="401"/>
      <c r="E4" s="401"/>
      <c r="F4" s="401"/>
      <c r="G4" s="401"/>
    </row>
    <row r="5" spans="1:7" ht="12.75">
      <c r="A5" s="401" t="s">
        <v>470</v>
      </c>
      <c r="B5" s="401"/>
      <c r="C5" s="401"/>
      <c r="D5" s="401"/>
      <c r="E5" s="401"/>
      <c r="F5" s="401"/>
      <c r="G5" s="401"/>
    </row>
    <row r="6" spans="1:7" ht="12" customHeight="1">
      <c r="A6" s="402"/>
      <c r="B6" s="402"/>
      <c r="C6" s="402"/>
      <c r="D6" s="2"/>
      <c r="E6" s="402"/>
      <c r="F6" s="402"/>
      <c r="G6" s="93" t="s">
        <v>423</v>
      </c>
    </row>
    <row r="7" spans="1:7" ht="14.25" customHeight="1">
      <c r="A7" s="403" t="s">
        <v>1</v>
      </c>
      <c r="B7" s="403"/>
      <c r="C7" s="403"/>
      <c r="D7" s="403"/>
      <c r="E7" s="403" t="s">
        <v>2</v>
      </c>
      <c r="F7" s="403"/>
      <c r="G7" s="403"/>
    </row>
    <row r="8" spans="1:7" ht="12.75">
      <c r="A8" s="404" t="s">
        <v>3</v>
      </c>
      <c r="B8" s="404"/>
      <c r="C8" s="404"/>
      <c r="D8" s="175" t="s">
        <v>4</v>
      </c>
      <c r="E8" s="404" t="s">
        <v>3</v>
      </c>
      <c r="F8" s="404"/>
      <c r="G8" s="175" t="s">
        <v>4</v>
      </c>
    </row>
    <row r="9" spans="1:7" ht="12" customHeight="1">
      <c r="A9" s="393" t="s">
        <v>5</v>
      </c>
      <c r="B9" s="393"/>
      <c r="C9" s="393"/>
      <c r="D9" s="98">
        <f>3!H17</f>
        <v>277851190</v>
      </c>
      <c r="E9" s="393" t="s">
        <v>6</v>
      </c>
      <c r="F9" s="393"/>
      <c r="G9" s="98">
        <f>6!E9</f>
        <v>192583191</v>
      </c>
    </row>
    <row r="10" spans="1:7" ht="12" customHeight="1">
      <c r="A10" s="392" t="s">
        <v>7</v>
      </c>
      <c r="B10" s="392"/>
      <c r="C10" s="392"/>
      <c r="D10" s="98">
        <f>3!H24</f>
        <v>37550000</v>
      </c>
      <c r="E10" s="392" t="s">
        <v>8</v>
      </c>
      <c r="F10" s="392"/>
      <c r="G10" s="98">
        <f>6!E10</f>
        <v>34486982</v>
      </c>
    </row>
    <row r="11" spans="1:7" ht="12" customHeight="1">
      <c r="A11" s="393" t="s">
        <v>9</v>
      </c>
      <c r="B11" s="393"/>
      <c r="C11" s="393"/>
      <c r="D11" s="98">
        <f>3!H36</f>
        <v>23924630</v>
      </c>
      <c r="E11" s="393" t="s">
        <v>10</v>
      </c>
      <c r="F11" s="393"/>
      <c r="G11" s="98">
        <f>6!E11</f>
        <v>144780129</v>
      </c>
    </row>
    <row r="12" spans="1:7" ht="12" customHeight="1">
      <c r="A12" s="393" t="s">
        <v>11</v>
      </c>
      <c r="B12" s="393"/>
      <c r="C12" s="393"/>
      <c r="D12" s="98"/>
      <c r="E12" s="393" t="s">
        <v>12</v>
      </c>
      <c r="F12" s="393"/>
      <c r="G12" s="98">
        <f>6!E12</f>
        <v>7000000</v>
      </c>
    </row>
    <row r="13" spans="1:7" ht="12" customHeight="1">
      <c r="A13" s="393"/>
      <c r="B13" s="393"/>
      <c r="C13" s="393"/>
      <c r="D13" s="98"/>
      <c r="E13" s="393" t="s">
        <v>13</v>
      </c>
      <c r="F13" s="393"/>
      <c r="G13" s="98">
        <f>6!E13</f>
        <v>10850590</v>
      </c>
    </row>
    <row r="14" spans="1:7" ht="12" customHeight="1">
      <c r="A14" s="399"/>
      <c r="B14" s="399"/>
      <c r="C14" s="399"/>
      <c r="D14" s="98"/>
      <c r="E14" s="400" t="s">
        <v>14</v>
      </c>
      <c r="F14" s="400"/>
      <c r="G14" s="192"/>
    </row>
    <row r="15" spans="1:7" ht="12" customHeight="1">
      <c r="A15" s="397"/>
      <c r="B15" s="397"/>
      <c r="C15" s="397"/>
      <c r="D15" s="98"/>
      <c r="E15" s="393" t="s">
        <v>15</v>
      </c>
      <c r="F15" s="393"/>
      <c r="G15" s="192">
        <f>6!E15</f>
        <v>3672448</v>
      </c>
    </row>
    <row r="16" spans="1:7" ht="12" customHeight="1">
      <c r="A16" s="388"/>
      <c r="B16" s="388"/>
      <c r="C16" s="388"/>
      <c r="D16" s="193"/>
      <c r="E16" s="398"/>
      <c r="F16" s="398"/>
      <c r="G16" s="193"/>
    </row>
    <row r="17" spans="1:7" ht="15.75" customHeight="1">
      <c r="A17" s="391" t="s">
        <v>16</v>
      </c>
      <c r="B17" s="391"/>
      <c r="C17" s="391"/>
      <c r="D17" s="214">
        <f>D9+D10+D11+D12+D13+D14+D15</f>
        <v>339325820</v>
      </c>
      <c r="E17" s="391" t="s">
        <v>17</v>
      </c>
      <c r="F17" s="391"/>
      <c r="G17" s="214">
        <f>SUM(G9:G13)</f>
        <v>389700892</v>
      </c>
    </row>
    <row r="18" spans="1:7" ht="12" customHeight="1">
      <c r="A18" s="390"/>
      <c r="B18" s="390"/>
      <c r="C18" s="390"/>
      <c r="D18" s="199"/>
      <c r="E18" s="390"/>
      <c r="F18" s="390"/>
      <c r="G18" s="199"/>
    </row>
    <row r="19" spans="1:7" ht="12" customHeight="1">
      <c r="A19" s="391" t="s">
        <v>18</v>
      </c>
      <c r="B19" s="391"/>
      <c r="C19" s="391"/>
      <c r="D19" s="214">
        <f>D20</f>
        <v>50375072</v>
      </c>
      <c r="E19" s="391" t="s">
        <v>19</v>
      </c>
      <c r="F19" s="391"/>
      <c r="G19" s="215">
        <f>6!E26</f>
        <v>6972496</v>
      </c>
    </row>
    <row r="20" spans="1:7" ht="12" customHeight="1">
      <c r="A20" s="382" t="s">
        <v>20</v>
      </c>
      <c r="B20" s="382"/>
      <c r="C20" s="382"/>
      <c r="D20" s="201">
        <f>3!H52</f>
        <v>50375072</v>
      </c>
      <c r="E20" s="396"/>
      <c r="F20" s="396"/>
      <c r="G20" s="199"/>
    </row>
    <row r="21" spans="1:7" ht="12" customHeight="1">
      <c r="A21" s="380" t="s">
        <v>21</v>
      </c>
      <c r="B21" s="380"/>
      <c r="C21" s="380"/>
      <c r="D21" s="214">
        <f>D17+D19</f>
        <v>389700892</v>
      </c>
      <c r="E21" s="391" t="s">
        <v>22</v>
      </c>
      <c r="F21" s="391"/>
      <c r="G21" s="214">
        <f>G17+G19</f>
        <v>396673388</v>
      </c>
    </row>
    <row r="22" spans="1:7" ht="12" customHeight="1">
      <c r="A22" s="394"/>
      <c r="B22" s="394"/>
      <c r="C22" s="394"/>
      <c r="D22" s="194"/>
      <c r="E22" s="395"/>
      <c r="F22" s="395"/>
      <c r="G22" s="194"/>
    </row>
    <row r="23" spans="1:7" ht="12" customHeight="1">
      <c r="A23" s="392" t="s">
        <v>23</v>
      </c>
      <c r="B23" s="392"/>
      <c r="C23" s="392"/>
      <c r="D23" s="98">
        <f>4!H29</f>
        <v>26189532</v>
      </c>
      <c r="E23" s="393" t="s">
        <v>24</v>
      </c>
      <c r="F23" s="393"/>
      <c r="G23" s="98">
        <f>6!E30</f>
        <v>708192126</v>
      </c>
    </row>
    <row r="24" spans="1:7" ht="12" customHeight="1">
      <c r="A24" s="392" t="s">
        <v>25</v>
      </c>
      <c r="B24" s="392"/>
      <c r="C24" s="392"/>
      <c r="D24" s="98"/>
      <c r="E24" s="393" t="s">
        <v>26</v>
      </c>
      <c r="F24" s="393"/>
      <c r="G24" s="98">
        <f>3662230+988802</f>
        <v>4651032</v>
      </c>
    </row>
    <row r="25" spans="1:7" ht="12" customHeight="1">
      <c r="A25" s="388" t="s">
        <v>27</v>
      </c>
      <c r="B25" s="388"/>
      <c r="C25" s="388"/>
      <c r="D25" s="193"/>
      <c r="E25" s="388" t="s">
        <v>28</v>
      </c>
      <c r="F25" s="388"/>
      <c r="G25" s="193">
        <f>6!E32</f>
        <v>1358080</v>
      </c>
    </row>
    <row r="26" spans="1:7" ht="12" customHeight="1">
      <c r="A26" s="391" t="s">
        <v>29</v>
      </c>
      <c r="B26" s="391"/>
      <c r="C26" s="391"/>
      <c r="D26" s="214">
        <f>SUM(D22:D25)</f>
        <v>26189532</v>
      </c>
      <c r="E26" s="391" t="s">
        <v>30</v>
      </c>
      <c r="F26" s="391"/>
      <c r="G26" s="214">
        <f>SUM(G23:G25)</f>
        <v>714201238</v>
      </c>
    </row>
    <row r="27" spans="1:7" ht="12" customHeight="1">
      <c r="A27" s="390"/>
      <c r="B27" s="390"/>
      <c r="C27" s="390"/>
      <c r="D27" s="199"/>
      <c r="E27" s="390"/>
      <c r="F27" s="390"/>
      <c r="G27" s="199"/>
    </row>
    <row r="28" spans="1:7" ht="12" customHeight="1">
      <c r="A28" s="391" t="s">
        <v>31</v>
      </c>
      <c r="B28" s="391"/>
      <c r="C28" s="391"/>
      <c r="D28" s="216">
        <f>D29</f>
        <v>694984202</v>
      </c>
      <c r="E28" s="391" t="s">
        <v>32</v>
      </c>
      <c r="F28" s="391"/>
      <c r="G28" s="215"/>
    </row>
    <row r="29" spans="1:7" ht="12" customHeight="1">
      <c r="A29" s="386" t="s">
        <v>20</v>
      </c>
      <c r="B29" s="386"/>
      <c r="C29" s="386"/>
      <c r="D29" s="207">
        <f>4!H38</f>
        <v>694984202</v>
      </c>
      <c r="E29" s="387"/>
      <c r="F29" s="387"/>
      <c r="G29" s="194"/>
    </row>
    <row r="30" spans="1:7" ht="12" customHeight="1">
      <c r="A30" s="388"/>
      <c r="B30" s="388"/>
      <c r="C30" s="388"/>
      <c r="D30" s="193"/>
      <c r="E30" s="389"/>
      <c r="F30" s="389"/>
      <c r="G30" s="193"/>
    </row>
    <row r="31" spans="1:7" ht="12" customHeight="1">
      <c r="A31" s="380" t="s">
        <v>33</v>
      </c>
      <c r="B31" s="380"/>
      <c r="C31" s="380"/>
      <c r="D31" s="214">
        <f>D26+D28</f>
        <v>721173734</v>
      </c>
      <c r="E31" s="381" t="s">
        <v>34</v>
      </c>
      <c r="F31" s="381"/>
      <c r="G31" s="214">
        <f>G26+G28</f>
        <v>714201238</v>
      </c>
    </row>
    <row r="32" spans="1:7" ht="12" customHeight="1">
      <c r="A32" s="384"/>
      <c r="B32" s="384"/>
      <c r="C32" s="384"/>
      <c r="D32" s="199"/>
      <c r="E32" s="385"/>
      <c r="F32" s="385"/>
      <c r="G32" s="199"/>
    </row>
    <row r="33" spans="1:7" ht="12" customHeight="1">
      <c r="A33" s="380" t="s">
        <v>35</v>
      </c>
      <c r="B33" s="380"/>
      <c r="C33" s="380"/>
      <c r="D33" s="214">
        <f>D17+D26</f>
        <v>365515352</v>
      </c>
      <c r="E33" s="381" t="s">
        <v>36</v>
      </c>
      <c r="F33" s="381"/>
      <c r="G33" s="214">
        <f>G17+G26</f>
        <v>1103902130</v>
      </c>
    </row>
    <row r="34" spans="1:7" ht="12" customHeight="1">
      <c r="A34" s="384"/>
      <c r="B34" s="384"/>
      <c r="C34" s="384"/>
      <c r="D34" s="199"/>
      <c r="E34" s="385"/>
      <c r="F34" s="385"/>
      <c r="G34" s="199"/>
    </row>
    <row r="35" spans="1:7" ht="12" customHeight="1">
      <c r="A35" s="380" t="s">
        <v>37</v>
      </c>
      <c r="B35" s="380"/>
      <c r="C35" s="380"/>
      <c r="D35" s="214">
        <f>D19+D28</f>
        <v>745359274</v>
      </c>
      <c r="E35" s="381" t="s">
        <v>38</v>
      </c>
      <c r="F35" s="381"/>
      <c r="G35" s="215">
        <f>G19+G28</f>
        <v>6972496</v>
      </c>
    </row>
    <row r="36" spans="1:7" ht="12" customHeight="1" thickBot="1">
      <c r="A36" s="382" t="s">
        <v>20</v>
      </c>
      <c r="B36" s="382"/>
      <c r="C36" s="382"/>
      <c r="D36" s="201">
        <f>D20+D29</f>
        <v>745359274</v>
      </c>
      <c r="E36" s="383"/>
      <c r="F36" s="383"/>
      <c r="G36" s="199"/>
    </row>
    <row r="37" spans="1:7" ht="12.75" customHeight="1" thickBot="1">
      <c r="A37" s="379" t="s">
        <v>39</v>
      </c>
      <c r="B37" s="379"/>
      <c r="C37" s="379"/>
      <c r="D37" s="217">
        <f>D33+D35</f>
        <v>1110874626</v>
      </c>
      <c r="E37" s="379" t="s">
        <v>40</v>
      </c>
      <c r="F37" s="379"/>
      <c r="G37" s="217">
        <f>G21+G31</f>
        <v>1110874626</v>
      </c>
    </row>
    <row r="38" s="60" customFormat="1" ht="12.75"/>
  </sheetData>
  <sheetProtection selectLockedCells="1" selectUnlockedCells="1"/>
  <mergeCells count="66">
    <mergeCell ref="A4:G4"/>
    <mergeCell ref="A5:G5"/>
    <mergeCell ref="A6:C6"/>
    <mergeCell ref="E6:F6"/>
    <mergeCell ref="A10:C10"/>
    <mergeCell ref="E10:F10"/>
    <mergeCell ref="A7:D7"/>
    <mergeCell ref="E7:G7"/>
    <mergeCell ref="A8:C8"/>
    <mergeCell ref="E8:F8"/>
    <mergeCell ref="A9:C9"/>
    <mergeCell ref="E9:F9"/>
    <mergeCell ref="A13:C13"/>
    <mergeCell ref="E13:F13"/>
    <mergeCell ref="A14:C14"/>
    <mergeCell ref="E14:F14"/>
    <mergeCell ref="A11:C11"/>
    <mergeCell ref="E11:F11"/>
    <mergeCell ref="A12:C12"/>
    <mergeCell ref="E12:F12"/>
    <mergeCell ref="A17:C17"/>
    <mergeCell ref="E17:F17"/>
    <mergeCell ref="A18:C18"/>
    <mergeCell ref="E18:F18"/>
    <mergeCell ref="A15:C15"/>
    <mergeCell ref="E15:F15"/>
    <mergeCell ref="A16:C16"/>
    <mergeCell ref="E16:F16"/>
    <mergeCell ref="A21:C21"/>
    <mergeCell ref="E21:F21"/>
    <mergeCell ref="A22:C22"/>
    <mergeCell ref="E22:F22"/>
    <mergeCell ref="A19:C19"/>
    <mergeCell ref="E19:F19"/>
    <mergeCell ref="A20:C20"/>
    <mergeCell ref="E20:F20"/>
    <mergeCell ref="A25:C25"/>
    <mergeCell ref="E25:F25"/>
    <mergeCell ref="A26:C26"/>
    <mergeCell ref="E26:F26"/>
    <mergeCell ref="A23:C23"/>
    <mergeCell ref="E23:F23"/>
    <mergeCell ref="A24:C24"/>
    <mergeCell ref="E24:F24"/>
    <mergeCell ref="A29:C29"/>
    <mergeCell ref="E29:F29"/>
    <mergeCell ref="A30:C30"/>
    <mergeCell ref="E30:F30"/>
    <mergeCell ref="A27:C27"/>
    <mergeCell ref="E27:F27"/>
    <mergeCell ref="A28:C28"/>
    <mergeCell ref="E28:F28"/>
    <mergeCell ref="A33:C33"/>
    <mergeCell ref="E33:F33"/>
    <mergeCell ref="A34:C34"/>
    <mergeCell ref="E34:F34"/>
    <mergeCell ref="A31:C31"/>
    <mergeCell ref="E31:F31"/>
    <mergeCell ref="A32:C32"/>
    <mergeCell ref="E32:F32"/>
    <mergeCell ref="A37:C37"/>
    <mergeCell ref="E37:F37"/>
    <mergeCell ref="A35:C35"/>
    <mergeCell ref="E35:F35"/>
    <mergeCell ref="A36:C36"/>
    <mergeCell ref="E36:F36"/>
  </mergeCells>
  <printOptions/>
  <pageMargins left="0.5902777777777778" right="0.3298611111111111" top="0.25972222222222224" bottom="0.27569444444444446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1.75390625" style="0" customWidth="1"/>
    <col min="2" max="2" width="13.25390625" style="0" customWidth="1"/>
    <col min="4" max="5" width="12.00390625" style="0" customWidth="1"/>
    <col min="6" max="6" width="11.875" style="0" customWidth="1"/>
    <col min="7" max="7" width="11.75390625" style="0" customWidth="1"/>
    <col min="8" max="8" width="11.625" style="0" customWidth="1"/>
    <col min="9" max="9" width="9.875" style="0" customWidth="1"/>
    <col min="10" max="10" width="12.375" style="0" customWidth="1"/>
    <col min="11" max="11" width="13.25390625" style="0" customWidth="1"/>
  </cols>
  <sheetData>
    <row r="1" spans="1:5" ht="12.75">
      <c r="A1" s="37"/>
      <c r="B1" s="37"/>
      <c r="C1" s="37"/>
      <c r="D1" s="37"/>
      <c r="E1" s="37"/>
    </row>
    <row r="2" spans="1:5" ht="12.75" customHeight="1">
      <c r="A2" s="435" t="s">
        <v>597</v>
      </c>
      <c r="B2" s="435"/>
      <c r="C2" s="435"/>
      <c r="D2" s="435"/>
      <c r="E2" s="435"/>
    </row>
    <row r="3" spans="1:5" ht="12.75">
      <c r="A3" s="37"/>
      <c r="B3" s="37"/>
      <c r="C3" s="37"/>
      <c r="D3" s="37"/>
      <c r="E3" s="37"/>
    </row>
    <row r="4" spans="1:5" ht="12.75">
      <c r="A4" s="37"/>
      <c r="B4" s="37"/>
      <c r="C4" s="37"/>
      <c r="D4" s="37"/>
      <c r="E4" s="37"/>
    </row>
    <row r="5" spans="1:5" ht="12.75">
      <c r="A5" s="422" t="s">
        <v>165</v>
      </c>
      <c r="B5" s="422"/>
      <c r="C5" s="422"/>
      <c r="D5" s="422"/>
      <c r="E5" s="422"/>
    </row>
    <row r="6" spans="1:5" ht="12.75">
      <c r="A6" s="37"/>
      <c r="B6" s="37"/>
      <c r="C6" s="37"/>
      <c r="D6" s="37"/>
      <c r="E6" s="37"/>
    </row>
    <row r="7" spans="1:5" ht="12.75">
      <c r="A7" s="37"/>
      <c r="B7" s="37"/>
      <c r="C7" s="37"/>
      <c r="D7" s="37"/>
      <c r="E7" s="77" t="s">
        <v>423</v>
      </c>
    </row>
    <row r="8" spans="1:5" s="46" customFormat="1" ht="24.75" customHeight="1">
      <c r="A8" s="41" t="s">
        <v>166</v>
      </c>
      <c r="B8" s="447" t="s">
        <v>167</v>
      </c>
      <c r="C8" s="447"/>
      <c r="D8" s="447"/>
      <c r="E8" s="447"/>
    </row>
    <row r="9" spans="1:5" s="38" customFormat="1" ht="25.5">
      <c r="A9" s="73"/>
      <c r="B9" s="73">
        <v>2019</v>
      </c>
      <c r="C9" s="73">
        <v>2020</v>
      </c>
      <c r="D9" s="73">
        <v>2021</v>
      </c>
      <c r="E9" s="71" t="s">
        <v>557</v>
      </c>
    </row>
    <row r="10" spans="1:5" ht="26.25" customHeight="1">
      <c r="A10" s="32" t="s">
        <v>168</v>
      </c>
      <c r="B10" s="32">
        <v>0</v>
      </c>
      <c r="C10" s="32">
        <v>0</v>
      </c>
      <c r="D10" s="32">
        <v>0</v>
      </c>
      <c r="E10" s="32">
        <v>0</v>
      </c>
    </row>
    <row r="11" spans="1:5" ht="24.75" customHeight="1">
      <c r="A11" s="32" t="s">
        <v>174</v>
      </c>
      <c r="B11" s="32">
        <v>0</v>
      </c>
      <c r="C11" s="32">
        <v>0</v>
      </c>
      <c r="D11" s="32">
        <v>0</v>
      </c>
      <c r="E11" s="32">
        <v>0</v>
      </c>
    </row>
    <row r="12" spans="1:5" ht="24.75" customHeight="1">
      <c r="A12" s="33" t="s">
        <v>358</v>
      </c>
      <c r="B12" s="32"/>
      <c r="C12" s="32">
        <v>0</v>
      </c>
      <c r="D12" s="32">
        <v>0</v>
      </c>
      <c r="E12" s="32">
        <v>0</v>
      </c>
    </row>
    <row r="13" spans="1:5" s="21" customFormat="1" ht="24" customHeight="1">
      <c r="A13" s="35" t="s">
        <v>169</v>
      </c>
      <c r="B13" s="35">
        <f>SUM(B12)</f>
        <v>0</v>
      </c>
      <c r="C13" s="35">
        <v>0</v>
      </c>
      <c r="D13" s="35">
        <v>0</v>
      </c>
      <c r="E13" s="35">
        <v>0</v>
      </c>
    </row>
    <row r="14" spans="1:5" ht="12.75">
      <c r="A14" s="37"/>
      <c r="B14" s="37"/>
      <c r="C14" s="37"/>
      <c r="D14" s="37"/>
      <c r="E14" s="37"/>
    </row>
    <row r="15" spans="1:5" ht="12.75">
      <c r="A15" s="37"/>
      <c r="B15" s="37"/>
      <c r="C15" s="37"/>
      <c r="D15" s="37"/>
      <c r="E15" s="37"/>
    </row>
    <row r="16" spans="1:5" ht="12.75">
      <c r="A16" s="37" t="s">
        <v>170</v>
      </c>
      <c r="B16" s="37"/>
      <c r="C16" s="37"/>
      <c r="D16" s="37"/>
      <c r="E16" s="37"/>
    </row>
    <row r="17" spans="1:5" ht="12.75">
      <c r="A17" s="37"/>
      <c r="B17" s="37"/>
      <c r="C17" s="37"/>
      <c r="D17" s="37"/>
      <c r="E17" s="37"/>
    </row>
    <row r="18" spans="1:5" ht="12.75">
      <c r="A18" s="37"/>
      <c r="B18" s="37"/>
      <c r="C18" s="37"/>
      <c r="D18" s="37"/>
      <c r="E18" s="37"/>
    </row>
    <row r="19" spans="1:5" ht="12.75">
      <c r="A19" s="422" t="s">
        <v>171</v>
      </c>
      <c r="B19" s="422"/>
      <c r="C19" s="422"/>
      <c r="D19" s="422"/>
      <c r="E19" s="422"/>
    </row>
    <row r="20" spans="1:5" ht="12.75">
      <c r="A20" s="37"/>
      <c r="B20" s="37"/>
      <c r="C20" s="37"/>
      <c r="D20" s="37"/>
      <c r="E20" s="37"/>
    </row>
    <row r="21" spans="1:5" ht="12.75">
      <c r="A21" s="37"/>
      <c r="B21" s="37"/>
      <c r="C21" s="37"/>
      <c r="D21" s="37"/>
      <c r="E21" s="77" t="s">
        <v>423</v>
      </c>
    </row>
    <row r="22" spans="1:5" ht="12.75" customHeight="1">
      <c r="A22" s="32" t="s">
        <v>166</v>
      </c>
      <c r="B22" s="446" t="s">
        <v>167</v>
      </c>
      <c r="C22" s="446"/>
      <c r="D22" s="446"/>
      <c r="E22" s="446"/>
    </row>
    <row r="23" spans="1:5" s="38" customFormat="1" ht="26.25" customHeight="1">
      <c r="A23" s="73"/>
      <c r="B23" s="73">
        <v>2019</v>
      </c>
      <c r="C23" s="73">
        <v>2020</v>
      </c>
      <c r="D23" s="73">
        <v>2021</v>
      </c>
      <c r="E23" s="71" t="s">
        <v>557</v>
      </c>
    </row>
    <row r="24" spans="1:5" ht="12.75">
      <c r="A24" s="35" t="s">
        <v>168</v>
      </c>
      <c r="B24" s="35">
        <f>SUM(B25:B26)</f>
        <v>76000</v>
      </c>
      <c r="C24" s="35">
        <f>SUM(C25:C26)</f>
        <v>76000</v>
      </c>
      <c r="D24" s="35">
        <f>SUM(D25:D26)</f>
        <v>76000</v>
      </c>
      <c r="E24" s="35">
        <f>SUM(E25:E26)</f>
        <v>0</v>
      </c>
    </row>
    <row r="25" spans="1:5" ht="25.5">
      <c r="A25" s="33" t="s">
        <v>172</v>
      </c>
      <c r="B25" s="34">
        <v>76000</v>
      </c>
      <c r="C25" s="34">
        <v>76000</v>
      </c>
      <c r="D25" s="34">
        <v>76000</v>
      </c>
      <c r="E25" s="35">
        <f>SUM(E26:E27)</f>
        <v>0</v>
      </c>
    </row>
    <row r="26" spans="1:5" ht="12.75">
      <c r="A26" s="32" t="s">
        <v>173</v>
      </c>
      <c r="B26" s="34"/>
      <c r="C26" s="34"/>
      <c r="D26" s="34"/>
      <c r="E26" s="32"/>
    </row>
    <row r="27" spans="1:5" ht="12.75">
      <c r="A27" s="35" t="s">
        <v>174</v>
      </c>
      <c r="B27" s="36"/>
      <c r="C27" s="36"/>
      <c r="D27" s="36">
        <f>SUM(D29)</f>
        <v>0</v>
      </c>
      <c r="E27" s="35">
        <f>SUM(E29)</f>
        <v>0</v>
      </c>
    </row>
    <row r="28" spans="1:5" ht="12.75">
      <c r="A28" s="33"/>
      <c r="B28" s="34"/>
      <c r="C28" s="34"/>
      <c r="D28" s="36"/>
      <c r="E28" s="35"/>
    </row>
    <row r="29" spans="1:5" ht="12.75">
      <c r="A29" s="32" t="s">
        <v>175</v>
      </c>
      <c r="B29" s="34"/>
      <c r="C29" s="34"/>
      <c r="D29" s="36"/>
      <c r="E29" s="35"/>
    </row>
    <row r="30" spans="1:5" ht="12.75">
      <c r="A30" s="35" t="s">
        <v>169</v>
      </c>
      <c r="B30" s="36">
        <f>B24+B27</f>
        <v>76000</v>
      </c>
      <c r="C30" s="36">
        <f>C24+C27</f>
        <v>76000</v>
      </c>
      <c r="D30" s="36">
        <f>D24+D27</f>
        <v>76000</v>
      </c>
      <c r="E30" s="36">
        <f>E24+E27</f>
        <v>0</v>
      </c>
    </row>
    <row r="31" spans="1:5" ht="12.75">
      <c r="A31" s="37"/>
      <c r="B31" s="37"/>
      <c r="C31" s="37"/>
      <c r="D31" s="37"/>
      <c r="E31" s="37"/>
    </row>
  </sheetData>
  <sheetProtection selectLockedCells="1" selectUnlockedCells="1"/>
  <mergeCells count="5">
    <mergeCell ref="B22:E22"/>
    <mergeCell ref="A2:E2"/>
    <mergeCell ref="A5:E5"/>
    <mergeCell ref="B8:E8"/>
    <mergeCell ref="A19:E19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68.125" style="0" customWidth="1"/>
    <col min="2" max="2" width="16.875" style="0" customWidth="1"/>
  </cols>
  <sheetData>
    <row r="1" ht="12.75">
      <c r="B1" s="43"/>
    </row>
    <row r="2" spans="1:5" ht="12.75" customHeight="1">
      <c r="A2" s="435" t="s">
        <v>598</v>
      </c>
      <c r="B2" s="435"/>
      <c r="C2" s="435"/>
      <c r="D2" s="435"/>
      <c r="E2" s="435"/>
    </row>
    <row r="3" spans="1:5" ht="12.75">
      <c r="A3" s="450"/>
      <c r="B3" s="450"/>
      <c r="C3" s="37"/>
      <c r="D3" s="37"/>
      <c r="E3" s="37"/>
    </row>
    <row r="4" spans="1:5" ht="12.75">
      <c r="A4" s="451" t="s">
        <v>176</v>
      </c>
      <c r="B4" s="451"/>
      <c r="C4" s="37"/>
      <c r="D4" s="37"/>
      <c r="E4" s="37"/>
    </row>
    <row r="5" spans="1:5" ht="27" customHeight="1">
      <c r="A5" s="452" t="s">
        <v>177</v>
      </c>
      <c r="B5" s="452"/>
      <c r="C5" s="37"/>
      <c r="D5" s="37"/>
      <c r="E5" s="37"/>
    </row>
    <row r="6" spans="1:5" ht="12.75">
      <c r="A6" s="78"/>
      <c r="B6" s="79" t="s">
        <v>417</v>
      </c>
      <c r="C6" s="37"/>
      <c r="D6" s="37"/>
      <c r="E6" s="37"/>
    </row>
    <row r="7" spans="1:5" ht="12.75">
      <c r="A7" s="80" t="s">
        <v>178</v>
      </c>
      <c r="B7" s="80" t="s">
        <v>179</v>
      </c>
      <c r="C7" s="37"/>
      <c r="D7" s="37"/>
      <c r="E7" s="37"/>
    </row>
    <row r="8" spans="1:5" ht="12.75">
      <c r="A8" s="81" t="s">
        <v>180</v>
      </c>
      <c r="B8" s="32">
        <v>0</v>
      </c>
      <c r="C8" s="37"/>
      <c r="D8" s="37"/>
      <c r="E8" s="37"/>
    </row>
    <row r="9" spans="1:5" ht="12.75">
      <c r="A9" s="81" t="s">
        <v>181</v>
      </c>
      <c r="B9" s="82">
        <v>0</v>
      </c>
      <c r="C9" s="37"/>
      <c r="D9" s="37"/>
      <c r="E9" s="37"/>
    </row>
    <row r="10" spans="1:5" ht="12.75">
      <c r="A10" s="81" t="s">
        <v>182</v>
      </c>
      <c r="B10" s="82">
        <v>0</v>
      </c>
      <c r="C10" s="37"/>
      <c r="D10" s="37"/>
      <c r="E10" s="37"/>
    </row>
    <row r="11" spans="1:5" ht="12.75">
      <c r="A11" s="81" t="s">
        <v>183</v>
      </c>
      <c r="B11" s="82">
        <v>0</v>
      </c>
      <c r="C11" s="37"/>
      <c r="D11" s="37"/>
      <c r="E11" s="37"/>
    </row>
    <row r="12" spans="1:5" ht="27.75" customHeight="1">
      <c r="A12" s="83" t="s">
        <v>184</v>
      </c>
      <c r="B12" s="82">
        <v>0</v>
      </c>
      <c r="C12" s="37"/>
      <c r="D12" s="37"/>
      <c r="E12" s="37"/>
    </row>
    <row r="13" spans="1:5" ht="12.75">
      <c r="A13" s="81" t="s">
        <v>185</v>
      </c>
      <c r="B13" s="82">
        <v>0</v>
      </c>
      <c r="C13" s="37"/>
      <c r="D13" s="37"/>
      <c r="E13" s="37"/>
    </row>
    <row r="14" spans="1:5" ht="25.5" customHeight="1">
      <c r="A14" s="83" t="s">
        <v>186</v>
      </c>
      <c r="B14" s="82">
        <v>0</v>
      </c>
      <c r="C14" s="37"/>
      <c r="D14" s="37"/>
      <c r="E14" s="37"/>
    </row>
    <row r="15" spans="1:5" ht="24.75" customHeight="1">
      <c r="A15" s="83" t="s">
        <v>187</v>
      </c>
      <c r="B15" s="82">
        <v>0</v>
      </c>
      <c r="C15" s="37"/>
      <c r="D15" s="37"/>
      <c r="E15" s="37"/>
    </row>
    <row r="16" spans="1:5" ht="36.75" customHeight="1">
      <c r="A16" s="83" t="s">
        <v>188</v>
      </c>
      <c r="B16" s="82">
        <v>0</v>
      </c>
      <c r="C16" s="37"/>
      <c r="D16" s="37"/>
      <c r="E16" s="37"/>
    </row>
    <row r="17" spans="1:5" ht="27" customHeight="1">
      <c r="A17" s="83" t="s">
        <v>189</v>
      </c>
      <c r="B17" s="82">
        <v>0</v>
      </c>
      <c r="C17" s="37"/>
      <c r="D17" s="37"/>
      <c r="E17" s="37"/>
    </row>
    <row r="18" spans="1:5" ht="29.25" customHeight="1">
      <c r="A18" s="83" t="s">
        <v>190</v>
      </c>
      <c r="B18" s="82">
        <v>0</v>
      </c>
      <c r="C18" s="37"/>
      <c r="D18" s="37"/>
      <c r="E18" s="37"/>
    </row>
    <row r="19" spans="1:5" ht="18" customHeight="1">
      <c r="A19" s="84" t="s">
        <v>191</v>
      </c>
      <c r="B19" s="85">
        <v>0</v>
      </c>
      <c r="C19" s="37"/>
      <c r="D19" s="37"/>
      <c r="E19" s="37"/>
    </row>
    <row r="20" spans="1:5" ht="10.5" customHeight="1">
      <c r="A20" s="86"/>
      <c r="B20" s="78"/>
      <c r="C20" s="37"/>
      <c r="D20" s="37"/>
      <c r="E20" s="37"/>
    </row>
    <row r="21" spans="1:5" ht="12.75" customHeight="1">
      <c r="A21" s="448" t="s">
        <v>192</v>
      </c>
      <c r="B21" s="448"/>
      <c r="C21" s="37"/>
      <c r="D21" s="37"/>
      <c r="E21" s="37"/>
    </row>
    <row r="22" spans="1:5" ht="12.75">
      <c r="A22" s="37"/>
      <c r="B22" s="37"/>
      <c r="C22" s="37"/>
      <c r="D22" s="37"/>
      <c r="E22" s="37"/>
    </row>
    <row r="23" spans="1:5" ht="12.75">
      <c r="A23" s="37"/>
      <c r="B23" s="77"/>
      <c r="C23" s="37"/>
      <c r="D23" s="37"/>
      <c r="E23" s="37"/>
    </row>
    <row r="24" spans="1:5" ht="12.75" customHeight="1">
      <c r="A24" s="422" t="s">
        <v>193</v>
      </c>
      <c r="B24" s="422"/>
      <c r="C24" s="37"/>
      <c r="D24" s="37"/>
      <c r="E24" s="37"/>
    </row>
    <row r="25" spans="1:5" ht="15.75" customHeight="1">
      <c r="A25" s="449" t="s">
        <v>194</v>
      </c>
      <c r="B25" s="449"/>
      <c r="C25" s="37"/>
      <c r="D25" s="37"/>
      <c r="E25" s="37"/>
    </row>
    <row r="26" spans="1:5" ht="9" customHeight="1">
      <c r="A26" s="37"/>
      <c r="B26" s="37"/>
      <c r="C26" s="37"/>
      <c r="D26" s="37"/>
      <c r="E26" s="37"/>
    </row>
    <row r="27" spans="1:5" ht="12.75">
      <c r="A27" s="37"/>
      <c r="B27" s="77" t="s">
        <v>195</v>
      </c>
      <c r="C27" s="37"/>
      <c r="D27" s="37"/>
      <c r="E27" s="37"/>
    </row>
    <row r="28" spans="1:5" ht="12.75">
      <c r="A28" s="41" t="s">
        <v>196</v>
      </c>
      <c r="B28" s="41" t="s">
        <v>179</v>
      </c>
      <c r="C28" s="37"/>
      <c r="D28" s="37"/>
      <c r="E28" s="37"/>
    </row>
    <row r="29" spans="1:5" ht="12.75">
      <c r="A29" s="32"/>
      <c r="B29" s="32"/>
      <c r="C29" s="37"/>
      <c r="D29" s="37"/>
      <c r="E29" s="37"/>
    </row>
    <row r="30" spans="1:5" ht="12.75">
      <c r="A30" s="32"/>
      <c r="B30" s="32"/>
      <c r="C30" s="37"/>
      <c r="D30" s="37"/>
      <c r="E30" s="37"/>
    </row>
    <row r="31" spans="1:5" ht="12.75">
      <c r="A31" s="32"/>
      <c r="B31" s="32"/>
      <c r="C31" s="37"/>
      <c r="D31" s="37"/>
      <c r="E31" s="37"/>
    </row>
    <row r="32" spans="1:5" ht="12.75">
      <c r="A32" s="32" t="s">
        <v>52</v>
      </c>
      <c r="B32" s="32">
        <v>0</v>
      </c>
      <c r="C32" s="37"/>
      <c r="D32" s="37"/>
      <c r="E32" s="37"/>
    </row>
  </sheetData>
  <sheetProtection selectLockedCells="1" selectUnlockedCells="1"/>
  <mergeCells count="7">
    <mergeCell ref="A21:B21"/>
    <mergeCell ref="A24:B24"/>
    <mergeCell ref="A25:B25"/>
    <mergeCell ref="A2:E2"/>
    <mergeCell ref="A3:B3"/>
    <mergeCell ref="A4:B4"/>
    <mergeCell ref="A5:B5"/>
  </mergeCells>
  <printOptions/>
  <pageMargins left="0.7875" right="0.5902777777777778" top="0.39375" bottom="0.393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68.125" style="0" customWidth="1"/>
    <col min="2" max="2" width="16.875" style="0" customWidth="1"/>
  </cols>
  <sheetData>
    <row r="1" spans="1:5" ht="12.75">
      <c r="A1" s="37"/>
      <c r="B1" s="37"/>
      <c r="C1" s="37"/>
      <c r="D1" s="37"/>
      <c r="E1" s="37"/>
    </row>
    <row r="2" spans="1:5" ht="12.75" customHeight="1">
      <c r="A2" s="435" t="s">
        <v>599</v>
      </c>
      <c r="B2" s="435"/>
      <c r="C2" s="435"/>
      <c r="D2" s="435"/>
      <c r="E2" s="435"/>
    </row>
    <row r="3" spans="1:5" ht="12.75">
      <c r="A3" s="454"/>
      <c r="B3" s="454"/>
      <c r="C3" s="37"/>
      <c r="D3" s="37"/>
      <c r="E3" s="37"/>
    </row>
    <row r="4" spans="1:5" ht="12.75">
      <c r="A4" s="451" t="s">
        <v>176</v>
      </c>
      <c r="B4" s="451"/>
      <c r="C4" s="37"/>
      <c r="D4" s="37"/>
      <c r="E4" s="37"/>
    </row>
    <row r="5" spans="1:5" ht="12.75">
      <c r="A5" s="451" t="s">
        <v>197</v>
      </c>
      <c r="B5" s="451"/>
      <c r="C5" s="37"/>
      <c r="D5" s="37"/>
      <c r="E5" s="37"/>
    </row>
    <row r="6" spans="1:5" ht="12.75">
      <c r="A6" s="78"/>
      <c r="B6" s="79" t="s">
        <v>417</v>
      </c>
      <c r="C6" s="37"/>
      <c r="D6" s="37"/>
      <c r="E6" s="37"/>
    </row>
    <row r="7" spans="1:5" ht="12.75">
      <c r="A7" s="80" t="s">
        <v>198</v>
      </c>
      <c r="B7" s="80" t="s">
        <v>199</v>
      </c>
      <c r="C7" s="37"/>
      <c r="D7" s="37"/>
      <c r="E7" s="37"/>
    </row>
    <row r="8" spans="1:5" ht="12.75">
      <c r="A8" s="81" t="s">
        <v>200</v>
      </c>
      <c r="B8" s="87">
        <v>33120000</v>
      </c>
      <c r="C8" s="37"/>
      <c r="D8" s="37"/>
      <c r="E8" s="37"/>
    </row>
    <row r="9" spans="1:5" ht="27.75" customHeight="1">
      <c r="A9" s="83" t="s">
        <v>201</v>
      </c>
      <c r="B9" s="87"/>
      <c r="C9" s="37"/>
      <c r="D9" s="37"/>
      <c r="E9" s="37"/>
    </row>
    <row r="10" spans="1:5" ht="12.75">
      <c r="A10" s="81" t="s">
        <v>202</v>
      </c>
      <c r="B10" s="87"/>
      <c r="C10" s="37"/>
      <c r="D10" s="37"/>
      <c r="E10" s="37"/>
    </row>
    <row r="11" spans="1:5" ht="12.75">
      <c r="A11" s="81" t="s">
        <v>203</v>
      </c>
      <c r="B11" s="87"/>
      <c r="C11" s="37"/>
      <c r="D11" s="37"/>
      <c r="E11" s="37"/>
    </row>
    <row r="12" spans="1:5" ht="12.75">
      <c r="A12" s="81" t="s">
        <v>204</v>
      </c>
      <c r="B12" s="87"/>
      <c r="C12" s="37"/>
      <c r="D12" s="37"/>
      <c r="E12" s="37"/>
    </row>
    <row r="13" spans="1:5" ht="12.75">
      <c r="A13" s="81" t="s">
        <v>205</v>
      </c>
      <c r="B13" s="87"/>
      <c r="C13" s="37"/>
      <c r="D13" s="37"/>
      <c r="E13" s="37"/>
    </row>
    <row r="14" spans="1:5" ht="12.75">
      <c r="A14" s="81" t="s">
        <v>206</v>
      </c>
      <c r="B14" s="87"/>
      <c r="C14" s="37"/>
      <c r="D14" s="37"/>
      <c r="E14" s="37"/>
    </row>
    <row r="15" spans="1:5" ht="12.75">
      <c r="A15" s="81" t="s">
        <v>207</v>
      </c>
      <c r="B15" s="87"/>
      <c r="C15" s="37"/>
      <c r="D15" s="37"/>
      <c r="E15" s="37"/>
    </row>
    <row r="16" spans="1:5" ht="12.75">
      <c r="A16" s="81" t="s">
        <v>208</v>
      </c>
      <c r="B16" s="87">
        <v>180000</v>
      </c>
      <c r="C16" s="37"/>
      <c r="D16" s="37"/>
      <c r="E16" s="37"/>
    </row>
    <row r="17" spans="1:5" ht="12.75">
      <c r="A17" s="81" t="s">
        <v>209</v>
      </c>
      <c r="B17" s="87"/>
      <c r="C17" s="37"/>
      <c r="D17" s="37"/>
      <c r="E17" s="37"/>
    </row>
    <row r="18" spans="1:5" ht="12.75">
      <c r="A18" s="88" t="s">
        <v>210</v>
      </c>
      <c r="B18" s="89">
        <f>SUM(B8:B17)</f>
        <v>33300000</v>
      </c>
      <c r="C18" s="37"/>
      <c r="D18" s="37"/>
      <c r="E18" s="37"/>
    </row>
    <row r="19" spans="1:5" ht="12.75">
      <c r="A19" s="90"/>
      <c r="B19" s="90"/>
      <c r="C19" s="37"/>
      <c r="D19" s="37"/>
      <c r="E19" s="37"/>
    </row>
    <row r="20" spans="1:5" ht="24" customHeight="1">
      <c r="A20" s="453" t="s">
        <v>211</v>
      </c>
      <c r="B20" s="453"/>
      <c r="C20" s="37"/>
      <c r="D20" s="37"/>
      <c r="E20" s="37"/>
    </row>
    <row r="21" spans="1:5" ht="12.75">
      <c r="A21" s="37"/>
      <c r="B21" s="37"/>
      <c r="C21" s="37"/>
      <c r="D21" s="37"/>
      <c r="E21" s="37"/>
    </row>
  </sheetData>
  <sheetProtection selectLockedCells="1" selectUnlockedCells="1"/>
  <mergeCells count="5">
    <mergeCell ref="A20:B20"/>
    <mergeCell ref="A2:E2"/>
    <mergeCell ref="A3:B3"/>
    <mergeCell ref="A4:B4"/>
    <mergeCell ref="A5:B5"/>
  </mergeCells>
  <printOptions/>
  <pageMargins left="0.7875" right="0.5902777777777778" top="0.39375" bottom="0.393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0.125" style="0" customWidth="1"/>
    <col min="2" max="2" width="19.625" style="0" customWidth="1"/>
  </cols>
  <sheetData>
    <row r="1" spans="1:5" ht="12.75">
      <c r="A1" s="435" t="s">
        <v>600</v>
      </c>
      <c r="B1" s="435"/>
      <c r="C1" s="435"/>
      <c r="D1" s="435"/>
      <c r="E1" s="435"/>
    </row>
    <row r="2" spans="1:5" ht="12.75">
      <c r="A2" s="91"/>
      <c r="B2" s="91"/>
      <c r="C2" s="37"/>
      <c r="D2" s="37"/>
      <c r="E2" s="37"/>
    </row>
    <row r="3" spans="1:5" ht="12.75">
      <c r="A3" s="445" t="s">
        <v>193</v>
      </c>
      <c r="B3" s="445"/>
      <c r="C3" s="37"/>
      <c r="D3" s="37"/>
      <c r="E3" s="37"/>
    </row>
    <row r="4" spans="1:5" ht="51" customHeight="1">
      <c r="A4" s="455" t="s">
        <v>212</v>
      </c>
      <c r="B4" s="455"/>
      <c r="C4" s="37"/>
      <c r="D4" s="37"/>
      <c r="E4" s="37"/>
    </row>
    <row r="5" spans="1:5" ht="12" customHeight="1">
      <c r="A5" s="92"/>
      <c r="B5" s="92"/>
      <c r="C5" s="37"/>
      <c r="D5" s="37"/>
      <c r="E5" s="37"/>
    </row>
    <row r="6" spans="1:5" ht="12.75">
      <c r="A6" s="91"/>
      <c r="B6" s="93" t="s">
        <v>417</v>
      </c>
      <c r="C6" s="37"/>
      <c r="D6" s="37"/>
      <c r="E6" s="37"/>
    </row>
    <row r="7" spans="1:5" ht="12.75">
      <c r="A7" s="94" t="s">
        <v>213</v>
      </c>
      <c r="B7" s="94" t="s">
        <v>179</v>
      </c>
      <c r="C7" s="37"/>
      <c r="D7" s="37"/>
      <c r="E7" s="37"/>
    </row>
    <row r="8" spans="1:5" ht="26.25" customHeight="1">
      <c r="A8" s="95" t="s">
        <v>214</v>
      </c>
      <c r="B8" s="96">
        <v>0</v>
      </c>
      <c r="C8" s="37"/>
      <c r="D8" s="37"/>
      <c r="E8" s="37"/>
    </row>
    <row r="9" spans="1:5" ht="12.75">
      <c r="A9" s="97"/>
      <c r="B9" s="98"/>
      <c r="C9" s="37"/>
      <c r="D9" s="37"/>
      <c r="E9" s="37"/>
    </row>
    <row r="10" spans="1:5" ht="12.75">
      <c r="A10" s="97"/>
      <c r="B10" s="98"/>
      <c r="C10" s="37"/>
      <c r="D10" s="37"/>
      <c r="E10" s="37"/>
    </row>
    <row r="11" spans="1:5" ht="12.75">
      <c r="A11" s="96"/>
      <c r="B11" s="98"/>
      <c r="C11" s="37"/>
      <c r="D11" s="37"/>
      <c r="E11" s="37"/>
    </row>
    <row r="12" spans="1:5" ht="12.75">
      <c r="A12" s="96"/>
      <c r="B12" s="98"/>
      <c r="C12" s="37"/>
      <c r="D12" s="37"/>
      <c r="E12" s="37"/>
    </row>
    <row r="13" spans="1:5" ht="12.75">
      <c r="A13" s="96"/>
      <c r="B13" s="98"/>
      <c r="C13" s="37"/>
      <c r="D13" s="37"/>
      <c r="E13" s="37"/>
    </row>
    <row r="14" spans="1:5" ht="12.75">
      <c r="A14" s="99" t="s">
        <v>52</v>
      </c>
      <c r="B14" s="100">
        <f>SUM(B9:B13)</f>
        <v>0</v>
      </c>
      <c r="C14" s="37"/>
      <c r="D14" s="37"/>
      <c r="E14" s="37"/>
    </row>
    <row r="15" spans="1:5" ht="12.75">
      <c r="A15" s="91"/>
      <c r="B15" s="91"/>
      <c r="C15" s="37"/>
      <c r="D15" s="37"/>
      <c r="E15" s="37"/>
    </row>
    <row r="16" spans="1:5" ht="12.75">
      <c r="A16" s="101" t="s">
        <v>215</v>
      </c>
      <c r="B16" s="37"/>
      <c r="C16" s="37"/>
      <c r="D16" s="37"/>
      <c r="E16" s="37"/>
    </row>
  </sheetData>
  <sheetProtection selectLockedCells="1" selectUnlockedCells="1"/>
  <mergeCells count="3">
    <mergeCell ref="A3:B3"/>
    <mergeCell ref="A4:B4"/>
    <mergeCell ref="A1:E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1.125" style="44" customWidth="1"/>
    <col min="2" max="2" width="10.00390625" style="44" customWidth="1"/>
    <col min="3" max="3" width="8.875" style="44" customWidth="1"/>
    <col min="4" max="4" width="10.875" style="44" customWidth="1"/>
    <col min="5" max="16384" width="9.125" style="44" customWidth="1"/>
  </cols>
  <sheetData>
    <row r="1" spans="1:5" ht="12.75">
      <c r="A1" s="435" t="s">
        <v>601</v>
      </c>
      <c r="B1" s="435"/>
      <c r="C1" s="435"/>
      <c r="D1" s="435"/>
      <c r="E1" s="435"/>
    </row>
    <row r="2" spans="1:5" ht="0.75" customHeight="1" hidden="1">
      <c r="A2" s="457"/>
      <c r="B2" s="457"/>
      <c r="C2" s="457"/>
      <c r="D2" s="457"/>
      <c r="E2" s="102"/>
    </row>
    <row r="3" spans="1:5" ht="12.75">
      <c r="A3" s="457" t="s">
        <v>216</v>
      </c>
      <c r="B3" s="457"/>
      <c r="C3" s="457"/>
      <c r="D3" s="457"/>
      <c r="E3" s="102"/>
    </row>
    <row r="4" spans="1:5" ht="24.75" customHeight="1">
      <c r="A4" s="103" t="s">
        <v>217</v>
      </c>
      <c r="B4" s="456" t="s">
        <v>558</v>
      </c>
      <c r="C4" s="456"/>
      <c r="D4" s="456"/>
      <c r="E4" s="456"/>
    </row>
    <row r="5" spans="1:5" s="120" customFormat="1" ht="16.5" customHeight="1">
      <c r="A5" s="104" t="s">
        <v>198</v>
      </c>
      <c r="B5" s="104">
        <v>2020</v>
      </c>
      <c r="C5" s="104">
        <v>2021</v>
      </c>
      <c r="D5" s="104">
        <v>2022</v>
      </c>
      <c r="E5" s="104">
        <v>2023</v>
      </c>
    </row>
    <row r="6" spans="1:5" ht="14.25" customHeight="1">
      <c r="A6" s="105" t="s">
        <v>200</v>
      </c>
      <c r="B6" s="106">
        <v>33120000</v>
      </c>
      <c r="C6" s="106">
        <v>33000000</v>
      </c>
      <c r="D6" s="106">
        <v>33500000</v>
      </c>
      <c r="E6" s="106">
        <v>33500000</v>
      </c>
    </row>
    <row r="7" spans="1:5" ht="22.5">
      <c r="A7" s="107" t="s">
        <v>201</v>
      </c>
      <c r="B7" s="106"/>
      <c r="C7" s="106"/>
      <c r="D7" s="106"/>
      <c r="E7" s="105"/>
    </row>
    <row r="8" spans="1:5" ht="12.75">
      <c r="A8" s="105" t="s">
        <v>202</v>
      </c>
      <c r="B8" s="106"/>
      <c r="C8" s="106"/>
      <c r="D8" s="106"/>
      <c r="E8" s="105"/>
    </row>
    <row r="9" spans="1:5" ht="12.75">
      <c r="A9" s="105" t="s">
        <v>203</v>
      </c>
      <c r="B9" s="106"/>
      <c r="C9" s="106"/>
      <c r="D9" s="106"/>
      <c r="E9" s="105"/>
    </row>
    <row r="10" spans="1:5" ht="12.75">
      <c r="A10" s="105" t="s">
        <v>204</v>
      </c>
      <c r="B10" s="106"/>
      <c r="C10" s="106"/>
      <c r="D10" s="106"/>
      <c r="E10" s="105"/>
    </row>
    <row r="11" spans="1:5" ht="12.75">
      <c r="A11" s="105" t="s">
        <v>205</v>
      </c>
      <c r="B11" s="106"/>
      <c r="C11" s="106"/>
      <c r="D11" s="106"/>
      <c r="E11" s="105"/>
    </row>
    <row r="12" spans="1:5" ht="12.75">
      <c r="A12" s="105" t="s">
        <v>206</v>
      </c>
      <c r="B12" s="106"/>
      <c r="C12" s="106"/>
      <c r="D12" s="106"/>
      <c r="E12" s="105"/>
    </row>
    <row r="13" spans="1:5" ht="12.75">
      <c r="A13" s="105" t="s">
        <v>207</v>
      </c>
      <c r="B13" s="106"/>
      <c r="C13" s="106"/>
      <c r="D13" s="106"/>
      <c r="E13" s="105"/>
    </row>
    <row r="14" spans="1:5" ht="12.75">
      <c r="A14" s="105" t="s">
        <v>208</v>
      </c>
      <c r="B14" s="106">
        <v>180000</v>
      </c>
      <c r="C14" s="106">
        <v>100000</v>
      </c>
      <c r="D14" s="106">
        <v>100000</v>
      </c>
      <c r="E14" s="105">
        <v>100000</v>
      </c>
    </row>
    <row r="15" spans="1:5" ht="12.75">
      <c r="A15" s="105" t="s">
        <v>209</v>
      </c>
      <c r="B15" s="106"/>
      <c r="C15" s="106"/>
      <c r="D15" s="106"/>
      <c r="E15" s="105"/>
    </row>
    <row r="16" spans="1:5" ht="12.75">
      <c r="A16" s="108" t="s">
        <v>210</v>
      </c>
      <c r="B16" s="109">
        <f>SUM(B6:B15)</f>
        <v>33300000</v>
      </c>
      <c r="C16" s="109">
        <f>SUM(C6:C15)</f>
        <v>33100000</v>
      </c>
      <c r="D16" s="109">
        <f>SUM(D6:D15)</f>
        <v>33600000</v>
      </c>
      <c r="E16" s="109">
        <f>SUM(E6:E15)</f>
        <v>33600000</v>
      </c>
    </row>
    <row r="17" spans="1:5" s="45" customFormat="1" ht="12.75">
      <c r="A17" s="110" t="s">
        <v>218</v>
      </c>
      <c r="B17" s="109">
        <f>B16*0.5</f>
        <v>16650000</v>
      </c>
      <c r="C17" s="109">
        <f>C16*0.5</f>
        <v>16550000</v>
      </c>
      <c r="D17" s="109">
        <f>D16*0.5</f>
        <v>16800000</v>
      </c>
      <c r="E17" s="109">
        <f>E16*0.5</f>
        <v>16800000</v>
      </c>
    </row>
    <row r="18" spans="1:5" ht="19.5" customHeight="1">
      <c r="A18" s="111" t="s">
        <v>219</v>
      </c>
      <c r="B18" s="112">
        <f>SUM(B19:B29)</f>
        <v>0</v>
      </c>
      <c r="C18" s="112">
        <f>SUM(C19:C29)</f>
        <v>0</v>
      </c>
      <c r="D18" s="112">
        <f>SUM(D19:D29)</f>
        <v>0</v>
      </c>
      <c r="E18" s="112">
        <f>SUM(E19:E29)</f>
        <v>0</v>
      </c>
    </row>
    <row r="19" spans="1:5" ht="13.5" customHeight="1">
      <c r="A19" s="105" t="s">
        <v>180</v>
      </c>
      <c r="B19" s="113"/>
      <c r="C19" s="113"/>
      <c r="D19" s="113"/>
      <c r="E19" s="105"/>
    </row>
    <row r="20" spans="1:5" ht="13.5" customHeight="1">
      <c r="A20" s="105" t="s">
        <v>181</v>
      </c>
      <c r="B20" s="114"/>
      <c r="C20" s="114"/>
      <c r="D20" s="114"/>
      <c r="E20" s="115"/>
    </row>
    <row r="21" spans="1:5" ht="13.5" customHeight="1">
      <c r="A21" s="105" t="s">
        <v>182</v>
      </c>
      <c r="B21" s="114"/>
      <c r="C21" s="114"/>
      <c r="D21" s="114"/>
      <c r="E21" s="115"/>
    </row>
    <row r="22" spans="1:5" ht="12.75">
      <c r="A22" s="105" t="s">
        <v>183</v>
      </c>
      <c r="B22" s="114"/>
      <c r="C22" s="114"/>
      <c r="D22" s="114"/>
      <c r="E22" s="115"/>
    </row>
    <row r="23" spans="1:5" ht="33.75">
      <c r="A23" s="107" t="s">
        <v>184</v>
      </c>
      <c r="B23" s="114"/>
      <c r="C23" s="114"/>
      <c r="D23" s="114"/>
      <c r="E23" s="115"/>
    </row>
    <row r="24" spans="1:5" ht="12.75">
      <c r="A24" s="105" t="s">
        <v>185</v>
      </c>
      <c r="B24" s="114"/>
      <c r="C24" s="114"/>
      <c r="D24" s="114"/>
      <c r="E24" s="115"/>
    </row>
    <row r="25" spans="1:5" ht="22.5">
      <c r="A25" s="107" t="s">
        <v>186</v>
      </c>
      <c r="B25" s="114"/>
      <c r="C25" s="114"/>
      <c r="D25" s="114"/>
      <c r="E25" s="115"/>
    </row>
    <row r="26" spans="1:5" ht="33.75">
      <c r="A26" s="107" t="s">
        <v>187</v>
      </c>
      <c r="B26" s="114"/>
      <c r="C26" s="114"/>
      <c r="D26" s="114"/>
      <c r="E26" s="115"/>
    </row>
    <row r="27" spans="1:5" ht="49.5" customHeight="1">
      <c r="A27" s="107" t="s">
        <v>188</v>
      </c>
      <c r="B27" s="114"/>
      <c r="C27" s="114"/>
      <c r="D27" s="114"/>
      <c r="E27" s="115"/>
    </row>
    <row r="28" spans="1:5" ht="26.25" customHeight="1">
      <c r="A28" s="107" t="s">
        <v>189</v>
      </c>
      <c r="B28" s="114"/>
      <c r="C28" s="114"/>
      <c r="D28" s="114"/>
      <c r="E28" s="115"/>
    </row>
    <row r="29" spans="1:5" ht="33.75">
      <c r="A29" s="107" t="s">
        <v>190</v>
      </c>
      <c r="B29" s="114"/>
      <c r="C29" s="114"/>
      <c r="D29" s="114"/>
      <c r="E29" s="115"/>
    </row>
    <row r="30" spans="1:5" ht="21">
      <c r="A30" s="116" t="s">
        <v>220</v>
      </c>
      <c r="B30" s="117">
        <f>SUM(B31:B41)</f>
        <v>0</v>
      </c>
      <c r="C30" s="117">
        <f>SUM(C31:C41)</f>
        <v>0</v>
      </c>
      <c r="D30" s="117">
        <f>SUM(D31:D41)</f>
        <v>0</v>
      </c>
      <c r="E30" s="117">
        <f>SUM(E31:E41)</f>
        <v>0</v>
      </c>
    </row>
    <row r="31" spans="1:5" ht="13.5" customHeight="1">
      <c r="A31" s="105" t="s">
        <v>180</v>
      </c>
      <c r="B31" s="114"/>
      <c r="C31" s="114"/>
      <c r="D31" s="114"/>
      <c r="E31" s="115"/>
    </row>
    <row r="32" spans="1:5" ht="12.75" customHeight="1">
      <c r="A32" s="105" t="s">
        <v>181</v>
      </c>
      <c r="B32" s="114"/>
      <c r="C32" s="114"/>
      <c r="D32" s="114"/>
      <c r="E32" s="115"/>
    </row>
    <row r="33" spans="1:5" ht="12.75">
      <c r="A33" s="105" t="s">
        <v>182</v>
      </c>
      <c r="B33" s="114"/>
      <c r="C33" s="114"/>
      <c r="D33" s="114"/>
      <c r="E33" s="115"/>
    </row>
    <row r="34" spans="1:5" ht="12.75">
      <c r="A34" s="105" t="s">
        <v>183</v>
      </c>
      <c r="B34" s="114"/>
      <c r="C34" s="114"/>
      <c r="D34" s="114"/>
      <c r="E34" s="115"/>
    </row>
    <row r="35" spans="1:5" ht="33.75">
      <c r="A35" s="107" t="s">
        <v>184</v>
      </c>
      <c r="B35" s="114"/>
      <c r="C35" s="114"/>
      <c r="D35" s="114"/>
      <c r="E35" s="115"/>
    </row>
    <row r="36" spans="1:5" ht="12.75">
      <c r="A36" s="105" t="s">
        <v>185</v>
      </c>
      <c r="B36" s="114"/>
      <c r="C36" s="114"/>
      <c r="D36" s="114"/>
      <c r="E36" s="115"/>
    </row>
    <row r="37" spans="1:5" ht="25.5" customHeight="1">
      <c r="A37" s="107" t="s">
        <v>186</v>
      </c>
      <c r="B37" s="114"/>
      <c r="C37" s="114"/>
      <c r="D37" s="114"/>
      <c r="E37" s="115"/>
    </row>
    <row r="38" spans="1:5" ht="33.75">
      <c r="A38" s="107" t="s">
        <v>187</v>
      </c>
      <c r="B38" s="114"/>
      <c r="C38" s="114"/>
      <c r="D38" s="114"/>
      <c r="E38" s="115"/>
    </row>
    <row r="39" spans="1:5" ht="45">
      <c r="A39" s="107" t="s">
        <v>188</v>
      </c>
      <c r="B39" s="114"/>
      <c r="C39" s="114"/>
      <c r="D39" s="114"/>
      <c r="E39" s="115"/>
    </row>
    <row r="40" spans="1:5" ht="22.5">
      <c r="A40" s="107" t="s">
        <v>189</v>
      </c>
      <c r="B40" s="114"/>
      <c r="C40" s="114"/>
      <c r="D40" s="114"/>
      <c r="E40" s="115"/>
    </row>
    <row r="41" spans="1:5" ht="28.5" customHeight="1">
      <c r="A41" s="107" t="s">
        <v>190</v>
      </c>
      <c r="B41" s="114"/>
      <c r="C41" s="114"/>
      <c r="D41" s="114"/>
      <c r="E41" s="115"/>
    </row>
    <row r="42" spans="1:5" s="45" customFormat="1" ht="12" customHeight="1">
      <c r="A42" s="118" t="s">
        <v>221</v>
      </c>
      <c r="B42" s="119">
        <v>0</v>
      </c>
      <c r="C42" s="119">
        <v>0</v>
      </c>
      <c r="D42" s="119">
        <v>0</v>
      </c>
      <c r="E42" s="119">
        <v>0</v>
      </c>
    </row>
  </sheetData>
  <sheetProtection selectLockedCells="1" selectUnlockedCells="1"/>
  <mergeCells count="4">
    <mergeCell ref="B4:E4"/>
    <mergeCell ref="A1:E1"/>
    <mergeCell ref="A2:D2"/>
    <mergeCell ref="A3:D3"/>
  </mergeCells>
  <printOptions/>
  <pageMargins left="0.5902777777777778" right="0.39375" top="0.25" bottom="0.1701388888888889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0.25390625" style="0" customWidth="1"/>
    <col min="2" max="2" width="20.125" style="0" customWidth="1"/>
  </cols>
  <sheetData>
    <row r="1" spans="1:5" s="37" customFormat="1" ht="12.75">
      <c r="A1" s="435" t="s">
        <v>602</v>
      </c>
      <c r="B1" s="435"/>
      <c r="C1" s="435"/>
      <c r="D1" s="435"/>
      <c r="E1" s="435"/>
    </row>
    <row r="2" s="37" customFormat="1" ht="12.75"/>
    <row r="3" s="37" customFormat="1" ht="12.75"/>
    <row r="4" spans="1:2" s="37" customFormat="1" ht="12.75" customHeight="1">
      <c r="A4" s="458" t="s">
        <v>176</v>
      </c>
      <c r="B4" s="458"/>
    </row>
    <row r="5" spans="1:2" s="37" customFormat="1" ht="12.75">
      <c r="A5" s="422" t="s">
        <v>222</v>
      </c>
      <c r="B5" s="422"/>
    </row>
    <row r="6" s="37" customFormat="1" ht="12.75"/>
    <row r="7" s="37" customFormat="1" ht="12.75">
      <c r="B7" s="77" t="s">
        <v>423</v>
      </c>
    </row>
    <row r="8" spans="1:2" s="37" customFormat="1" ht="24.75" customHeight="1">
      <c r="A8" s="121" t="s">
        <v>223</v>
      </c>
      <c r="B8" s="122" t="s">
        <v>224</v>
      </c>
    </row>
    <row r="9" spans="1:2" s="37" customFormat="1" ht="13.5" customHeight="1">
      <c r="A9" s="407" t="s">
        <v>225</v>
      </c>
      <c r="B9" s="446"/>
    </row>
    <row r="10" spans="1:2" s="37" customFormat="1" ht="13.5" customHeight="1">
      <c r="A10" s="407"/>
      <c r="B10" s="446"/>
    </row>
    <row r="11" spans="1:2" s="37" customFormat="1" ht="13.5" customHeight="1">
      <c r="A11" s="407" t="s">
        <v>226</v>
      </c>
      <c r="B11" s="446"/>
    </row>
    <row r="12" spans="1:2" s="37" customFormat="1" ht="13.5" customHeight="1">
      <c r="A12" s="407"/>
      <c r="B12" s="446"/>
    </row>
    <row r="13" spans="1:2" s="37" customFormat="1" ht="13.5" customHeight="1">
      <c r="A13" s="32" t="s">
        <v>227</v>
      </c>
      <c r="B13" s="32"/>
    </row>
    <row r="14" spans="1:2" s="37" customFormat="1" ht="13.5" customHeight="1">
      <c r="A14" s="124" t="s">
        <v>228</v>
      </c>
      <c r="B14" s="32"/>
    </row>
    <row r="15" spans="1:2" s="37" customFormat="1" ht="13.5" customHeight="1">
      <c r="A15" s="124" t="s">
        <v>229</v>
      </c>
      <c r="B15" s="32"/>
    </row>
    <row r="16" spans="1:2" s="37" customFormat="1" ht="13.5" customHeight="1">
      <c r="A16" s="124" t="s">
        <v>230</v>
      </c>
      <c r="B16" s="32"/>
    </row>
    <row r="17" spans="1:2" s="37" customFormat="1" ht="13.5" customHeight="1">
      <c r="A17" s="124" t="s">
        <v>231</v>
      </c>
      <c r="B17" s="32"/>
    </row>
    <row r="18" spans="1:2" s="37" customFormat="1" ht="13.5" customHeight="1">
      <c r="A18" s="124" t="s">
        <v>232</v>
      </c>
      <c r="B18" s="32"/>
    </row>
    <row r="19" spans="1:2" s="37" customFormat="1" ht="13.5" customHeight="1">
      <c r="A19" s="124" t="s">
        <v>233</v>
      </c>
      <c r="B19" s="32"/>
    </row>
    <row r="20" spans="1:2" s="37" customFormat="1" ht="13.5" customHeight="1">
      <c r="A20" s="124" t="s">
        <v>234</v>
      </c>
      <c r="B20" s="32"/>
    </row>
    <row r="21" spans="1:2" s="37" customFormat="1" ht="13.5" customHeight="1">
      <c r="A21" s="125" t="s">
        <v>235</v>
      </c>
      <c r="B21" s="32"/>
    </row>
    <row r="22" spans="1:2" s="37" customFormat="1" ht="13.5" customHeight="1">
      <c r="A22" s="125" t="s">
        <v>236</v>
      </c>
      <c r="B22" s="32"/>
    </row>
    <row r="23" spans="1:2" s="37" customFormat="1" ht="13.5" customHeight="1">
      <c r="A23" s="33" t="s">
        <v>237</v>
      </c>
      <c r="B23" s="32">
        <v>6348</v>
      </c>
    </row>
    <row r="24" spans="1:2" s="37" customFormat="1" ht="13.5" customHeight="1">
      <c r="A24" s="32" t="s">
        <v>238</v>
      </c>
      <c r="B24" s="32"/>
    </row>
    <row r="25" spans="1:2" s="37" customFormat="1" ht="13.5" customHeight="1">
      <c r="A25" s="124" t="s">
        <v>228</v>
      </c>
      <c r="B25" s="32"/>
    </row>
    <row r="26" spans="1:2" s="37" customFormat="1" ht="13.5" customHeight="1">
      <c r="A26" s="124" t="s">
        <v>229</v>
      </c>
      <c r="B26" s="32"/>
    </row>
    <row r="27" spans="1:2" s="37" customFormat="1" ht="13.5" customHeight="1">
      <c r="A27" s="124" t="s">
        <v>230</v>
      </c>
      <c r="B27" s="32"/>
    </row>
    <row r="28" spans="1:2" s="37" customFormat="1" ht="13.5" customHeight="1">
      <c r="A28" s="124" t="s">
        <v>231</v>
      </c>
      <c r="B28" s="32"/>
    </row>
    <row r="29" spans="1:2" s="37" customFormat="1" ht="13.5" customHeight="1">
      <c r="A29" s="124" t="s">
        <v>232</v>
      </c>
      <c r="B29" s="32"/>
    </row>
    <row r="30" spans="1:2" s="37" customFormat="1" ht="13.5" customHeight="1">
      <c r="A30" s="124" t="s">
        <v>233</v>
      </c>
      <c r="B30" s="32"/>
    </row>
    <row r="31" spans="1:2" s="37" customFormat="1" ht="13.5" customHeight="1">
      <c r="A31" s="124" t="s">
        <v>234</v>
      </c>
      <c r="B31" s="32"/>
    </row>
    <row r="32" spans="1:2" s="37" customFormat="1" ht="13.5" customHeight="1">
      <c r="A32" s="125" t="s">
        <v>235</v>
      </c>
      <c r="B32" s="32"/>
    </row>
    <row r="33" spans="1:2" s="37" customFormat="1" ht="13.5" customHeight="1">
      <c r="A33" s="125" t="s">
        <v>236</v>
      </c>
      <c r="B33" s="32"/>
    </row>
    <row r="34" spans="1:2" s="37" customFormat="1" ht="13.5" customHeight="1">
      <c r="A34" s="33" t="s">
        <v>239</v>
      </c>
      <c r="B34" s="34">
        <v>132627</v>
      </c>
    </row>
    <row r="35" spans="1:2" s="37" customFormat="1" ht="13.5" customHeight="1">
      <c r="A35" s="123" t="s">
        <v>240</v>
      </c>
      <c r="B35" s="34"/>
    </row>
    <row r="36" spans="1:2" s="37" customFormat="1" ht="13.5" customHeight="1">
      <c r="A36" s="123" t="s">
        <v>241</v>
      </c>
      <c r="B36" s="34"/>
    </row>
    <row r="37" spans="1:2" s="37" customFormat="1" ht="13.5" customHeight="1">
      <c r="A37" s="123" t="s">
        <v>242</v>
      </c>
      <c r="B37" s="34">
        <v>1150200</v>
      </c>
    </row>
    <row r="38" spans="1:2" s="37" customFormat="1" ht="15" customHeight="1">
      <c r="A38" s="35" t="s">
        <v>243</v>
      </c>
      <c r="B38" s="36">
        <f>B9+B11+B13+B23+B24+B34+B35+B36+B37</f>
        <v>1289175</v>
      </c>
    </row>
    <row r="39" s="37" customFormat="1" ht="12.75"/>
    <row r="40" s="127" customFormat="1" ht="12.75">
      <c r="A40" s="126" t="s">
        <v>244</v>
      </c>
    </row>
    <row r="41" s="37" customFormat="1" ht="25.5">
      <c r="A41" s="128" t="s">
        <v>521</v>
      </c>
    </row>
    <row r="42" s="37" customFormat="1" ht="102">
      <c r="A42" s="128" t="s">
        <v>522</v>
      </c>
    </row>
  </sheetData>
  <sheetProtection selectLockedCells="1" selectUnlockedCells="1"/>
  <mergeCells count="7">
    <mergeCell ref="A11:A12"/>
    <mergeCell ref="B11:B12"/>
    <mergeCell ref="A1:E1"/>
    <mergeCell ref="A4:B4"/>
    <mergeCell ref="A5:B5"/>
    <mergeCell ref="A9:A10"/>
    <mergeCell ref="B9:B10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64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4.125" style="47" customWidth="1"/>
    <col min="2" max="2" width="15.25390625" style="47" customWidth="1"/>
    <col min="3" max="3" width="8.375" style="47" customWidth="1"/>
    <col min="4" max="4" width="17.00390625" style="47" customWidth="1"/>
    <col min="5" max="5" width="11.25390625" style="47" customWidth="1"/>
    <col min="6" max="8" width="11.125" style="47" bestFit="1" customWidth="1"/>
    <col min="9" max="9" width="10.25390625" style="47" customWidth="1"/>
    <col min="10" max="10" width="9.125" style="47" customWidth="1"/>
    <col min="11" max="11" width="12.625" style="47" customWidth="1"/>
    <col min="12" max="12" width="15.00390625" style="47" customWidth="1"/>
    <col min="13" max="13" width="9.75390625" style="47" customWidth="1"/>
    <col min="14" max="16384" width="9.125" style="47" customWidth="1"/>
  </cols>
  <sheetData>
    <row r="1" spans="1:6" ht="12.75" customHeight="1">
      <c r="A1" s="37"/>
      <c r="B1" s="435" t="s">
        <v>603</v>
      </c>
      <c r="C1" s="435"/>
      <c r="D1" s="435"/>
      <c r="E1" s="435"/>
      <c r="F1" s="435"/>
    </row>
    <row r="3" spans="1:13" s="48" customFormat="1" ht="19.5" customHeight="1">
      <c r="A3" s="465" t="s">
        <v>245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7" spans="1:12" s="48" customFormat="1" ht="12.75">
      <c r="A7" s="129"/>
      <c r="B7" s="463" t="s">
        <v>425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</row>
    <row r="8" spans="1:12" ht="12.75">
      <c r="A8" s="131"/>
      <c r="B8" s="464" t="s">
        <v>426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</row>
    <row r="9" spans="1:12" ht="12.75">
      <c r="A9" s="131"/>
      <c r="B9" s="37"/>
      <c r="C9" s="37"/>
      <c r="D9" s="37"/>
      <c r="E9" s="37"/>
      <c r="F9" s="37"/>
      <c r="G9" s="37"/>
      <c r="H9" s="37"/>
      <c r="I9" s="37"/>
      <c r="J9" s="37"/>
      <c r="K9" s="77" t="s">
        <v>423</v>
      </c>
      <c r="L9" s="37"/>
    </row>
    <row r="10" spans="1:12" ht="25.5">
      <c r="A10" s="131"/>
      <c r="B10" s="447" t="s">
        <v>246</v>
      </c>
      <c r="C10" s="447"/>
      <c r="D10" s="447"/>
      <c r="E10" s="71" t="s">
        <v>477</v>
      </c>
      <c r="F10" s="71" t="s">
        <v>475</v>
      </c>
      <c r="G10" s="73" t="s">
        <v>559</v>
      </c>
      <c r="H10" s="73">
        <v>2020</v>
      </c>
      <c r="I10" s="73">
        <v>2021</v>
      </c>
      <c r="J10" s="73">
        <v>2022</v>
      </c>
      <c r="K10" s="73" t="s">
        <v>52</v>
      </c>
      <c r="L10" s="37"/>
    </row>
    <row r="11" spans="1:12" ht="12.75">
      <c r="A11" s="131"/>
      <c r="B11" s="447" t="s">
        <v>247</v>
      </c>
      <c r="C11" s="447"/>
      <c r="D11" s="447"/>
      <c r="E11" s="133">
        <v>57534684</v>
      </c>
      <c r="F11" s="133"/>
      <c r="G11" s="133">
        <f>G18+G17+G12</f>
        <v>0</v>
      </c>
      <c r="H11" s="133">
        <f>H18+H17+H12</f>
        <v>0</v>
      </c>
      <c r="I11" s="133">
        <f>I18+I17+I12</f>
        <v>0</v>
      </c>
      <c r="J11" s="133">
        <f>J18+J17+J12</f>
        <v>0</v>
      </c>
      <c r="K11" s="133">
        <f aca="true" t="shared" si="0" ref="K11:K18">SUM(E11:J11)</f>
        <v>57534684</v>
      </c>
      <c r="L11" s="127"/>
    </row>
    <row r="12" spans="1:12" ht="12.75">
      <c r="A12" s="131"/>
      <c r="B12" s="460" t="s">
        <v>248</v>
      </c>
      <c r="C12" s="460"/>
      <c r="D12" s="460"/>
      <c r="E12" s="36">
        <f aca="true" t="shared" si="1" ref="E12:J12">SUM(E13:E16)</f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133">
        <f t="shared" si="0"/>
        <v>0</v>
      </c>
      <c r="L12" s="127"/>
    </row>
    <row r="13" spans="1:12" ht="12.75">
      <c r="A13" s="131"/>
      <c r="B13" s="459" t="s">
        <v>249</v>
      </c>
      <c r="C13" s="459"/>
      <c r="D13" s="459"/>
      <c r="E13" s="34"/>
      <c r="F13" s="34"/>
      <c r="G13" s="34"/>
      <c r="H13" s="34"/>
      <c r="I13" s="34"/>
      <c r="J13" s="34"/>
      <c r="K13" s="134">
        <f t="shared" si="0"/>
        <v>0</v>
      </c>
      <c r="L13" s="37"/>
    </row>
    <row r="14" spans="1:12" ht="12.75">
      <c r="A14" s="131"/>
      <c r="B14" s="459" t="s">
        <v>250</v>
      </c>
      <c r="C14" s="459"/>
      <c r="D14" s="459"/>
      <c r="E14" s="34"/>
      <c r="F14" s="34"/>
      <c r="G14" s="34"/>
      <c r="H14" s="34"/>
      <c r="I14" s="34"/>
      <c r="J14" s="34"/>
      <c r="K14" s="134">
        <f t="shared" si="0"/>
        <v>0</v>
      </c>
      <c r="L14" s="37"/>
    </row>
    <row r="15" spans="1:12" ht="12.75">
      <c r="A15" s="131"/>
      <c r="B15" s="461" t="s">
        <v>359</v>
      </c>
      <c r="C15" s="461"/>
      <c r="D15" s="461"/>
      <c r="E15" s="34"/>
      <c r="F15" s="34"/>
      <c r="G15" s="34"/>
      <c r="H15" s="34"/>
      <c r="I15" s="34"/>
      <c r="J15" s="34"/>
      <c r="K15" s="134">
        <f t="shared" si="0"/>
        <v>0</v>
      </c>
      <c r="L15" s="37"/>
    </row>
    <row r="16" spans="1:12" ht="12.75">
      <c r="A16" s="131"/>
      <c r="B16" s="461" t="s">
        <v>252</v>
      </c>
      <c r="C16" s="461"/>
      <c r="D16" s="461"/>
      <c r="E16" s="34"/>
      <c r="F16" s="34"/>
      <c r="G16" s="34"/>
      <c r="H16" s="34"/>
      <c r="I16" s="34"/>
      <c r="J16" s="34"/>
      <c r="K16" s="134">
        <f t="shared" si="0"/>
        <v>0</v>
      </c>
      <c r="L16" s="37"/>
    </row>
    <row r="17" spans="1:12" ht="12.75">
      <c r="A17" s="131"/>
      <c r="B17" s="462" t="s">
        <v>253</v>
      </c>
      <c r="C17" s="462"/>
      <c r="D17" s="462"/>
      <c r="E17" s="36">
        <v>57534684</v>
      </c>
      <c r="F17" s="36"/>
      <c r="G17" s="36"/>
      <c r="H17" s="36"/>
      <c r="I17" s="36"/>
      <c r="J17" s="36"/>
      <c r="K17" s="133">
        <f t="shared" si="0"/>
        <v>57534684</v>
      </c>
      <c r="L17" s="127"/>
    </row>
    <row r="18" spans="1:12" ht="12.75">
      <c r="A18" s="131"/>
      <c r="B18" s="462" t="s">
        <v>254</v>
      </c>
      <c r="C18" s="462"/>
      <c r="D18" s="462"/>
      <c r="E18" s="36"/>
      <c r="F18" s="34"/>
      <c r="G18" s="34"/>
      <c r="H18" s="34"/>
      <c r="I18" s="34"/>
      <c r="J18" s="34"/>
      <c r="K18" s="133">
        <f t="shared" si="0"/>
        <v>0</v>
      </c>
      <c r="L18" s="37"/>
    </row>
    <row r="19" spans="1:12" ht="12.75">
      <c r="A19" s="131"/>
      <c r="B19" s="460" t="s">
        <v>255</v>
      </c>
      <c r="C19" s="460"/>
      <c r="D19" s="460"/>
      <c r="E19" s="34"/>
      <c r="F19" s="36"/>
      <c r="G19" s="34"/>
      <c r="H19" s="34"/>
      <c r="I19" s="34"/>
      <c r="J19" s="34"/>
      <c r="K19" s="34"/>
      <c r="L19" s="37"/>
    </row>
    <row r="20" spans="1:12" ht="12.75">
      <c r="A20" s="131"/>
      <c r="B20" s="459" t="s">
        <v>248</v>
      </c>
      <c r="C20" s="459"/>
      <c r="D20" s="459"/>
      <c r="E20" s="34"/>
      <c r="F20" s="34"/>
      <c r="G20" s="34"/>
      <c r="H20" s="34"/>
      <c r="I20" s="34"/>
      <c r="J20" s="34"/>
      <c r="K20" s="34"/>
      <c r="L20" s="37"/>
    </row>
    <row r="21" spans="1:12" ht="12.75">
      <c r="A21" s="131"/>
      <c r="B21" s="459" t="s">
        <v>249</v>
      </c>
      <c r="C21" s="459"/>
      <c r="D21" s="459"/>
      <c r="E21" s="34"/>
      <c r="F21" s="34"/>
      <c r="G21" s="34"/>
      <c r="H21" s="34"/>
      <c r="I21" s="34"/>
      <c r="J21" s="34"/>
      <c r="K21" s="34"/>
      <c r="L21" s="37"/>
    </row>
    <row r="22" spans="1:12" ht="12.75">
      <c r="A22" s="131"/>
      <c r="B22" s="459" t="s">
        <v>256</v>
      </c>
      <c r="C22" s="459"/>
      <c r="D22" s="459"/>
      <c r="E22" s="34"/>
      <c r="F22" s="34"/>
      <c r="G22" s="34"/>
      <c r="H22" s="34"/>
      <c r="I22" s="34"/>
      <c r="J22" s="34"/>
      <c r="K22" s="34"/>
      <c r="L22" s="37"/>
    </row>
    <row r="23" spans="1:12" ht="12.75">
      <c r="A23" s="131"/>
      <c r="B23" s="461" t="s">
        <v>251</v>
      </c>
      <c r="C23" s="461"/>
      <c r="D23" s="461"/>
      <c r="E23" s="34"/>
      <c r="F23" s="34"/>
      <c r="G23" s="34"/>
      <c r="H23" s="34"/>
      <c r="I23" s="34"/>
      <c r="J23" s="34"/>
      <c r="K23" s="34"/>
      <c r="L23" s="37"/>
    </row>
    <row r="24" spans="1:12" ht="12.75">
      <c r="A24" s="131"/>
      <c r="B24" s="461" t="s">
        <v>252</v>
      </c>
      <c r="C24" s="461"/>
      <c r="D24" s="461"/>
      <c r="E24" s="34"/>
      <c r="F24" s="34"/>
      <c r="G24" s="34"/>
      <c r="H24" s="34"/>
      <c r="I24" s="34"/>
      <c r="J24" s="34"/>
      <c r="K24" s="34"/>
      <c r="L24" s="37"/>
    </row>
    <row r="25" spans="1:12" ht="12.75">
      <c r="A25" s="131"/>
      <c r="B25" s="461"/>
      <c r="C25" s="461"/>
      <c r="D25" s="461"/>
      <c r="E25" s="34"/>
      <c r="F25" s="34"/>
      <c r="G25" s="34"/>
      <c r="H25" s="34"/>
      <c r="I25" s="34"/>
      <c r="J25" s="34"/>
      <c r="K25" s="34"/>
      <c r="L25" s="37"/>
    </row>
    <row r="26" spans="1:12" ht="12.75">
      <c r="A26" s="131"/>
      <c r="B26" s="460" t="s">
        <v>257</v>
      </c>
      <c r="C26" s="460"/>
      <c r="D26" s="460"/>
      <c r="E26" s="36">
        <f aca="true" t="shared" si="2" ref="E26:K26">E11+E19</f>
        <v>57534684</v>
      </c>
      <c r="F26" s="36">
        <f t="shared" si="2"/>
        <v>0</v>
      </c>
      <c r="G26" s="36">
        <f t="shared" si="2"/>
        <v>0</v>
      </c>
      <c r="H26" s="36">
        <f t="shared" si="2"/>
        <v>0</v>
      </c>
      <c r="I26" s="36">
        <f t="shared" si="2"/>
        <v>0</v>
      </c>
      <c r="J26" s="36">
        <f t="shared" si="2"/>
        <v>0</v>
      </c>
      <c r="K26" s="36">
        <f t="shared" si="2"/>
        <v>57534684</v>
      </c>
      <c r="L26" s="37"/>
    </row>
    <row r="27" spans="1:12" ht="12.75">
      <c r="A27" s="13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2.75">
      <c r="A28" s="131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25.5">
      <c r="A29" s="131"/>
      <c r="B29" s="446" t="s">
        <v>258</v>
      </c>
      <c r="C29" s="446"/>
      <c r="D29" s="446"/>
      <c r="E29" s="71" t="s">
        <v>474</v>
      </c>
      <c r="F29" s="71" t="s">
        <v>475</v>
      </c>
      <c r="G29" s="73" t="s">
        <v>403</v>
      </c>
      <c r="H29" s="73" t="s">
        <v>404</v>
      </c>
      <c r="I29" s="73" t="s">
        <v>410</v>
      </c>
      <c r="J29" s="73" t="s">
        <v>424</v>
      </c>
      <c r="K29" s="73" t="s">
        <v>52</v>
      </c>
      <c r="L29" s="37"/>
    </row>
    <row r="30" spans="1:12" ht="12.75">
      <c r="A30" s="131"/>
      <c r="B30" s="460" t="s">
        <v>259</v>
      </c>
      <c r="C30" s="460"/>
      <c r="D30" s="460"/>
      <c r="E30" s="36">
        <f>SUM(E31:E35)</f>
        <v>6684063</v>
      </c>
      <c r="F30" s="36">
        <f>SUM(F31:F35)</f>
        <v>5353189</v>
      </c>
      <c r="G30" s="36">
        <v>2352390</v>
      </c>
      <c r="H30" s="36">
        <v>42965042</v>
      </c>
      <c r="I30" s="36">
        <f>SUM(I31:I35)</f>
        <v>0</v>
      </c>
      <c r="J30" s="36">
        <f>SUM(J31:J35)</f>
        <v>0</v>
      </c>
      <c r="K30" s="36">
        <f>SUM(K31:K35)</f>
        <v>57354684</v>
      </c>
      <c r="L30" s="127"/>
    </row>
    <row r="31" spans="1:12" ht="12.75">
      <c r="A31" s="131"/>
      <c r="B31" s="459" t="s">
        <v>478</v>
      </c>
      <c r="C31" s="459"/>
      <c r="D31" s="459"/>
      <c r="E31" s="34">
        <v>6684063</v>
      </c>
      <c r="F31" s="34">
        <v>5353189</v>
      </c>
      <c r="G31" s="34">
        <v>2352390</v>
      </c>
      <c r="H31" s="34">
        <v>42965042</v>
      </c>
      <c r="I31" s="34"/>
      <c r="J31" s="34"/>
      <c r="K31" s="36">
        <f>SUM(E31:J31)</f>
        <v>57354684</v>
      </c>
      <c r="L31" s="37"/>
    </row>
    <row r="32" spans="1:12" ht="12.75">
      <c r="A32" s="131"/>
      <c r="B32" s="459"/>
      <c r="C32" s="459"/>
      <c r="D32" s="459"/>
      <c r="E32" s="34"/>
      <c r="F32" s="34"/>
      <c r="G32" s="34"/>
      <c r="H32" s="34"/>
      <c r="I32" s="34"/>
      <c r="J32" s="34"/>
      <c r="K32" s="34">
        <f>SUM(E32:J32)</f>
        <v>0</v>
      </c>
      <c r="L32" s="37"/>
    </row>
    <row r="33" spans="1:12" ht="12.75">
      <c r="A33" s="131"/>
      <c r="B33" s="459"/>
      <c r="C33" s="459"/>
      <c r="D33" s="459"/>
      <c r="E33" s="34"/>
      <c r="F33" s="34"/>
      <c r="G33" s="34"/>
      <c r="H33" s="34"/>
      <c r="I33" s="34"/>
      <c r="J33" s="34"/>
      <c r="K33" s="34">
        <f>SUM(E33:J33)</f>
        <v>0</v>
      </c>
      <c r="L33" s="37"/>
    </row>
    <row r="34" spans="1:12" ht="12.75">
      <c r="A34" s="131"/>
      <c r="B34" s="459"/>
      <c r="C34" s="459"/>
      <c r="D34" s="459"/>
      <c r="E34" s="34"/>
      <c r="F34" s="34"/>
      <c r="G34" s="34"/>
      <c r="H34" s="34"/>
      <c r="I34" s="34"/>
      <c r="J34" s="34"/>
      <c r="K34" s="34">
        <f>SUM(E34:J34)</f>
        <v>0</v>
      </c>
      <c r="L34" s="37"/>
    </row>
    <row r="35" spans="1:15" ht="12.75">
      <c r="A35" s="131"/>
      <c r="B35" s="75"/>
      <c r="C35" s="75"/>
      <c r="D35" s="75"/>
      <c r="E35" s="34"/>
      <c r="F35" s="34"/>
      <c r="G35" s="34"/>
      <c r="H35" s="34"/>
      <c r="I35" s="34"/>
      <c r="J35" s="34"/>
      <c r="K35" s="34">
        <f>SUM(E35:J35)</f>
        <v>0</v>
      </c>
      <c r="L35" s="37"/>
      <c r="O35" s="64"/>
    </row>
    <row r="36" spans="1:12" ht="12.75">
      <c r="A36" s="131"/>
      <c r="B36" s="135" t="s">
        <v>261</v>
      </c>
      <c r="C36" s="135"/>
      <c r="D36" s="135"/>
      <c r="E36" s="36"/>
      <c r="F36" s="36"/>
      <c r="G36" s="36"/>
      <c r="H36" s="36"/>
      <c r="I36" s="36"/>
      <c r="J36" s="36"/>
      <c r="K36" s="36"/>
      <c r="L36" s="127"/>
    </row>
    <row r="37" spans="1:12" ht="12.75">
      <c r="A37" s="131"/>
      <c r="B37" s="459" t="s">
        <v>414</v>
      </c>
      <c r="C37" s="459"/>
      <c r="D37" s="459"/>
      <c r="E37" s="34"/>
      <c r="F37" s="34"/>
      <c r="G37" s="34"/>
      <c r="H37" s="34"/>
      <c r="I37" s="34"/>
      <c r="J37" s="34"/>
      <c r="K37" s="34"/>
      <c r="L37" s="37"/>
    </row>
    <row r="38" spans="1:12" ht="12.75">
      <c r="A38" s="131"/>
      <c r="B38" s="460" t="s">
        <v>262</v>
      </c>
      <c r="C38" s="460"/>
      <c r="D38" s="460"/>
      <c r="E38" s="36">
        <f aca="true" t="shared" si="3" ref="E38:K38">E30+E36</f>
        <v>6684063</v>
      </c>
      <c r="F38" s="36">
        <f t="shared" si="3"/>
        <v>5353189</v>
      </c>
      <c r="G38" s="36">
        <f t="shared" si="3"/>
        <v>2352390</v>
      </c>
      <c r="H38" s="36">
        <f t="shared" si="3"/>
        <v>42965042</v>
      </c>
      <c r="I38" s="36">
        <f t="shared" si="3"/>
        <v>0</v>
      </c>
      <c r="J38" s="36">
        <f t="shared" si="3"/>
        <v>0</v>
      </c>
      <c r="K38" s="36">
        <f t="shared" si="3"/>
        <v>57354684</v>
      </c>
      <c r="L38" s="139">
        <v>0.09090909090909091</v>
      </c>
    </row>
    <row r="39" spans="1:12" ht="12.75">
      <c r="A39" s="131"/>
      <c r="B39" s="130"/>
      <c r="C39" s="132"/>
      <c r="D39" s="132"/>
      <c r="E39" s="136"/>
      <c r="F39" s="136"/>
      <c r="G39" s="136"/>
      <c r="H39" s="136"/>
      <c r="I39" s="136"/>
      <c r="J39" s="136"/>
      <c r="K39" s="136"/>
      <c r="L39" s="37"/>
    </row>
    <row r="40" s="131" customFormat="1" ht="12.75"/>
    <row r="41" s="131" customFormat="1" ht="12.75"/>
    <row r="42" spans="2:12" s="131" customFormat="1" ht="12.75">
      <c r="B42" s="463" t="s">
        <v>427</v>
      </c>
      <c r="C42" s="463"/>
      <c r="D42" s="463"/>
      <c r="E42" s="463"/>
      <c r="F42" s="463"/>
      <c r="G42" s="463"/>
      <c r="H42" s="463"/>
      <c r="I42" s="463"/>
      <c r="J42" s="463"/>
      <c r="K42" s="463"/>
      <c r="L42" s="463"/>
    </row>
    <row r="43" spans="2:12" s="131" customFormat="1" ht="12.75">
      <c r="B43" s="464" t="s">
        <v>428</v>
      </c>
      <c r="C43" s="464"/>
      <c r="D43" s="464"/>
      <c r="E43" s="464"/>
      <c r="F43" s="464"/>
      <c r="G43" s="464"/>
      <c r="H43" s="464"/>
      <c r="I43" s="464"/>
      <c r="J43" s="464"/>
      <c r="K43" s="464"/>
      <c r="L43" s="464"/>
    </row>
    <row r="44" spans="2:12" s="131" customFormat="1" ht="12.75">
      <c r="B44" s="37"/>
      <c r="C44" s="37"/>
      <c r="D44" s="37"/>
      <c r="E44" s="37"/>
      <c r="F44" s="37"/>
      <c r="G44" s="37"/>
      <c r="H44" s="37"/>
      <c r="I44" s="37"/>
      <c r="J44" s="37"/>
      <c r="K44" s="77" t="s">
        <v>423</v>
      </c>
      <c r="L44" s="37"/>
    </row>
    <row r="45" spans="2:12" s="131" customFormat="1" ht="25.5">
      <c r="B45" s="447" t="s">
        <v>246</v>
      </c>
      <c r="C45" s="447"/>
      <c r="D45" s="447"/>
      <c r="E45" s="71" t="s">
        <v>476</v>
      </c>
      <c r="F45" s="71" t="s">
        <v>560</v>
      </c>
      <c r="G45" s="73" t="s">
        <v>559</v>
      </c>
      <c r="H45" s="73">
        <v>2020</v>
      </c>
      <c r="I45" s="73">
        <v>2021</v>
      </c>
      <c r="J45" s="73">
        <v>2022</v>
      </c>
      <c r="K45" s="73" t="s">
        <v>52</v>
      </c>
      <c r="L45" s="37"/>
    </row>
    <row r="46" spans="2:12" s="131" customFormat="1" ht="12.75">
      <c r="B46" s="447" t="s">
        <v>247</v>
      </c>
      <c r="C46" s="447"/>
      <c r="D46" s="447"/>
      <c r="E46" s="133">
        <f>E47+E52+E53</f>
        <v>0</v>
      </c>
      <c r="F46" s="133">
        <f aca="true" t="shared" si="4" ref="F46:K46">F47+F52+F53</f>
        <v>144089532</v>
      </c>
      <c r="G46" s="133">
        <f t="shared" si="4"/>
        <v>0</v>
      </c>
      <c r="H46" s="133">
        <f t="shared" si="4"/>
        <v>0</v>
      </c>
      <c r="I46" s="133">
        <f t="shared" si="4"/>
        <v>0</v>
      </c>
      <c r="J46" s="133">
        <f t="shared" si="4"/>
        <v>0</v>
      </c>
      <c r="K46" s="133">
        <f t="shared" si="4"/>
        <v>144089532</v>
      </c>
      <c r="L46" s="127"/>
    </row>
    <row r="47" spans="2:12" s="131" customFormat="1" ht="12.75">
      <c r="B47" s="460" t="s">
        <v>248</v>
      </c>
      <c r="C47" s="460"/>
      <c r="D47" s="460"/>
      <c r="E47" s="36">
        <f aca="true" t="shared" si="5" ref="E47:J47">SUM(E48:E51)</f>
        <v>0</v>
      </c>
      <c r="F47" s="36">
        <f t="shared" si="5"/>
        <v>46189532</v>
      </c>
      <c r="G47" s="36">
        <f t="shared" si="5"/>
        <v>0</v>
      </c>
      <c r="H47" s="36">
        <f t="shared" si="5"/>
        <v>0</v>
      </c>
      <c r="I47" s="36">
        <f t="shared" si="5"/>
        <v>0</v>
      </c>
      <c r="J47" s="36">
        <f t="shared" si="5"/>
        <v>0</v>
      </c>
      <c r="K47" s="133">
        <f aca="true" t="shared" si="6" ref="K47:K53">SUM(E47:J47)</f>
        <v>46189532</v>
      </c>
      <c r="L47" s="127"/>
    </row>
    <row r="48" spans="2:12" s="131" customFormat="1" ht="12.75">
      <c r="B48" s="459" t="s">
        <v>249</v>
      </c>
      <c r="C48" s="459"/>
      <c r="D48" s="459"/>
      <c r="E48" s="34"/>
      <c r="F48" s="34"/>
      <c r="G48" s="34"/>
      <c r="H48" s="34"/>
      <c r="I48" s="34"/>
      <c r="J48" s="34"/>
      <c r="K48" s="134">
        <f t="shared" si="6"/>
        <v>0</v>
      </c>
      <c r="L48" s="37"/>
    </row>
    <row r="49" spans="2:12" s="131" customFormat="1" ht="12.75">
      <c r="B49" s="459" t="s">
        <v>250</v>
      </c>
      <c r="C49" s="459"/>
      <c r="D49" s="459"/>
      <c r="E49" s="34"/>
      <c r="F49" s="34">
        <v>26189532</v>
      </c>
      <c r="G49" s="34"/>
      <c r="H49" s="34"/>
      <c r="I49" s="34"/>
      <c r="J49" s="34"/>
      <c r="K49" s="134">
        <f t="shared" si="6"/>
        <v>26189532</v>
      </c>
      <c r="L49" s="37"/>
    </row>
    <row r="50" spans="2:12" s="131" customFormat="1" ht="12.75">
      <c r="B50" s="461" t="s">
        <v>359</v>
      </c>
      <c r="C50" s="461"/>
      <c r="D50" s="461"/>
      <c r="E50" s="34"/>
      <c r="F50" s="34"/>
      <c r="G50" s="34"/>
      <c r="H50" s="34"/>
      <c r="I50" s="34"/>
      <c r="J50" s="34"/>
      <c r="K50" s="134">
        <f t="shared" si="6"/>
        <v>0</v>
      </c>
      <c r="L50" s="37"/>
    </row>
    <row r="51" spans="2:12" s="131" customFormat="1" ht="12.75">
      <c r="B51" s="461" t="s">
        <v>252</v>
      </c>
      <c r="C51" s="461"/>
      <c r="D51" s="461"/>
      <c r="E51" s="34"/>
      <c r="F51" s="34">
        <v>20000000</v>
      </c>
      <c r="G51" s="34"/>
      <c r="H51" s="34"/>
      <c r="I51" s="34"/>
      <c r="J51" s="34"/>
      <c r="K51" s="134">
        <f t="shared" si="6"/>
        <v>20000000</v>
      </c>
      <c r="L51" s="37"/>
    </row>
    <row r="52" spans="2:12" s="131" customFormat="1" ht="12.75">
      <c r="B52" s="462" t="s">
        <v>253</v>
      </c>
      <c r="C52" s="462"/>
      <c r="D52" s="462"/>
      <c r="E52" s="36"/>
      <c r="F52" s="36">
        <v>97900000</v>
      </c>
      <c r="G52" s="36"/>
      <c r="H52" s="36"/>
      <c r="I52" s="36"/>
      <c r="J52" s="36"/>
      <c r="K52" s="133">
        <f t="shared" si="6"/>
        <v>97900000</v>
      </c>
      <c r="L52" s="127"/>
    </row>
    <row r="53" spans="2:12" s="131" customFormat="1" ht="12.75">
      <c r="B53" s="462" t="s">
        <v>254</v>
      </c>
      <c r="C53" s="462"/>
      <c r="D53" s="462"/>
      <c r="E53" s="36"/>
      <c r="F53" s="34"/>
      <c r="G53" s="34"/>
      <c r="H53" s="34"/>
      <c r="I53" s="34"/>
      <c r="J53" s="34"/>
      <c r="K53" s="133">
        <f t="shared" si="6"/>
        <v>0</v>
      </c>
      <c r="L53" s="37"/>
    </row>
    <row r="54" spans="2:12" s="131" customFormat="1" ht="12.75">
      <c r="B54" s="460" t="s">
        <v>255</v>
      </c>
      <c r="C54" s="460"/>
      <c r="D54" s="460"/>
      <c r="E54" s="34"/>
      <c r="F54" s="36"/>
      <c r="G54" s="34"/>
      <c r="H54" s="34"/>
      <c r="I54" s="34"/>
      <c r="J54" s="34"/>
      <c r="K54" s="34"/>
      <c r="L54" s="37"/>
    </row>
    <row r="55" spans="2:12" s="131" customFormat="1" ht="12.75">
      <c r="B55" s="459" t="s">
        <v>248</v>
      </c>
      <c r="C55" s="459"/>
      <c r="D55" s="459"/>
      <c r="E55" s="34"/>
      <c r="F55" s="34"/>
      <c r="G55" s="34"/>
      <c r="H55" s="34"/>
      <c r="I55" s="34"/>
      <c r="J55" s="34"/>
      <c r="K55" s="34"/>
      <c r="L55" s="37"/>
    </row>
    <row r="56" spans="2:12" s="131" customFormat="1" ht="12.75">
      <c r="B56" s="459" t="s">
        <v>249</v>
      </c>
      <c r="C56" s="459"/>
      <c r="D56" s="459"/>
      <c r="E56" s="34"/>
      <c r="F56" s="34"/>
      <c r="G56" s="34"/>
      <c r="H56" s="34"/>
      <c r="I56" s="34"/>
      <c r="J56" s="34"/>
      <c r="K56" s="34"/>
      <c r="L56" s="37"/>
    </row>
    <row r="57" spans="2:12" s="131" customFormat="1" ht="12.75">
      <c r="B57" s="459" t="s">
        <v>256</v>
      </c>
      <c r="C57" s="459"/>
      <c r="D57" s="459"/>
      <c r="E57" s="34"/>
      <c r="F57" s="34"/>
      <c r="G57" s="34"/>
      <c r="H57" s="34"/>
      <c r="I57" s="34"/>
      <c r="J57" s="34"/>
      <c r="K57" s="34"/>
      <c r="L57" s="37"/>
    </row>
    <row r="58" spans="2:12" s="131" customFormat="1" ht="12.75">
      <c r="B58" s="461" t="s">
        <v>251</v>
      </c>
      <c r="C58" s="461"/>
      <c r="D58" s="461"/>
      <c r="E58" s="34"/>
      <c r="F58" s="34"/>
      <c r="G58" s="34"/>
      <c r="H58" s="34"/>
      <c r="I58" s="34"/>
      <c r="J58" s="34"/>
      <c r="K58" s="34"/>
      <c r="L58" s="37"/>
    </row>
    <row r="59" spans="2:12" s="131" customFormat="1" ht="12.75">
      <c r="B59" s="461" t="s">
        <v>252</v>
      </c>
      <c r="C59" s="461"/>
      <c r="D59" s="461"/>
      <c r="E59" s="34"/>
      <c r="F59" s="34"/>
      <c r="G59" s="34"/>
      <c r="H59" s="34"/>
      <c r="I59" s="34"/>
      <c r="J59" s="34"/>
      <c r="K59" s="34"/>
      <c r="L59" s="37"/>
    </row>
    <row r="60" spans="2:12" s="131" customFormat="1" ht="12.75">
      <c r="B60" s="461"/>
      <c r="C60" s="461"/>
      <c r="D60" s="461"/>
      <c r="E60" s="34"/>
      <c r="F60" s="34"/>
      <c r="G60" s="34"/>
      <c r="H60" s="34"/>
      <c r="I60" s="34"/>
      <c r="J60" s="34"/>
      <c r="K60" s="34"/>
      <c r="L60" s="37"/>
    </row>
    <row r="61" spans="2:12" s="131" customFormat="1" ht="12.75">
      <c r="B61" s="460" t="s">
        <v>257</v>
      </c>
      <c r="C61" s="460"/>
      <c r="D61" s="460"/>
      <c r="E61" s="36">
        <f aca="true" t="shared" si="7" ref="E61:K61">E46+E54</f>
        <v>0</v>
      </c>
      <c r="F61" s="36">
        <f t="shared" si="7"/>
        <v>144089532</v>
      </c>
      <c r="G61" s="36">
        <f t="shared" si="7"/>
        <v>0</v>
      </c>
      <c r="H61" s="36">
        <f t="shared" si="7"/>
        <v>0</v>
      </c>
      <c r="I61" s="36">
        <f t="shared" si="7"/>
        <v>0</v>
      </c>
      <c r="J61" s="36">
        <f t="shared" si="7"/>
        <v>0</v>
      </c>
      <c r="K61" s="36">
        <f t="shared" si="7"/>
        <v>144089532</v>
      </c>
      <c r="L61" s="37"/>
    </row>
    <row r="62" spans="2:12" s="131" customFormat="1" ht="12.7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2:12" s="131" customFormat="1" ht="12.7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2:12" s="131" customFormat="1" ht="25.5">
      <c r="B64" s="446" t="s">
        <v>258</v>
      </c>
      <c r="C64" s="446"/>
      <c r="D64" s="446"/>
      <c r="E64" s="71" t="s">
        <v>474</v>
      </c>
      <c r="F64" s="71" t="s">
        <v>561</v>
      </c>
      <c r="G64" s="73" t="s">
        <v>559</v>
      </c>
      <c r="H64" s="73">
        <v>2020</v>
      </c>
      <c r="I64" s="73">
        <v>2021</v>
      </c>
      <c r="J64" s="73">
        <v>2022</v>
      </c>
      <c r="K64" s="73" t="s">
        <v>52</v>
      </c>
      <c r="L64" s="37"/>
    </row>
    <row r="65" spans="2:12" s="131" customFormat="1" ht="12.75">
      <c r="B65" s="460" t="s">
        <v>259</v>
      </c>
      <c r="C65" s="460"/>
      <c r="D65" s="460"/>
      <c r="E65" s="36">
        <f aca="true" t="shared" si="8" ref="E65:J65">SUM(E66:E70)</f>
        <v>2709600</v>
      </c>
      <c r="F65" s="36">
        <f t="shared" si="8"/>
        <v>890712</v>
      </c>
      <c r="G65" s="36">
        <f>5450100-3600000-312</f>
        <v>1849788</v>
      </c>
      <c r="H65" s="36">
        <f>92449900+46189532</f>
        <v>138639432</v>
      </c>
      <c r="I65" s="36">
        <f t="shared" si="8"/>
        <v>0</v>
      </c>
      <c r="J65" s="36">
        <f t="shared" si="8"/>
        <v>0</v>
      </c>
      <c r="K65" s="36">
        <f>SUM(E65:J65)</f>
        <v>144089532</v>
      </c>
      <c r="L65" s="127"/>
    </row>
    <row r="66" spans="2:12" s="131" customFormat="1" ht="12.75">
      <c r="B66" s="459" t="s">
        <v>473</v>
      </c>
      <c r="C66" s="459"/>
      <c r="D66" s="459"/>
      <c r="E66" s="34">
        <v>2709600</v>
      </c>
      <c r="F66" s="34">
        <v>890712</v>
      </c>
      <c r="G66" s="34">
        <v>1849788</v>
      </c>
      <c r="H66" s="34">
        <v>138639432</v>
      </c>
      <c r="I66" s="34"/>
      <c r="J66" s="34"/>
      <c r="K66" s="36">
        <f aca="true" t="shared" si="9" ref="K66:K72">SUM(E66:J66)</f>
        <v>144089532</v>
      </c>
      <c r="L66" s="37"/>
    </row>
    <row r="67" spans="2:12" s="131" customFormat="1" ht="12.75">
      <c r="B67" s="459"/>
      <c r="C67" s="459"/>
      <c r="D67" s="459"/>
      <c r="E67" s="34"/>
      <c r="F67" s="34"/>
      <c r="G67" s="34"/>
      <c r="H67" s="34"/>
      <c r="I67" s="34"/>
      <c r="J67" s="34"/>
      <c r="K67" s="36">
        <f t="shared" si="9"/>
        <v>0</v>
      </c>
      <c r="L67" s="37"/>
    </row>
    <row r="68" spans="2:12" s="131" customFormat="1" ht="12.75">
      <c r="B68" s="459"/>
      <c r="C68" s="459"/>
      <c r="D68" s="459"/>
      <c r="E68" s="34"/>
      <c r="F68" s="34"/>
      <c r="G68" s="34"/>
      <c r="H68" s="34"/>
      <c r="I68" s="34"/>
      <c r="J68" s="34"/>
      <c r="K68" s="36">
        <f t="shared" si="9"/>
        <v>0</v>
      </c>
      <c r="L68" s="37"/>
    </row>
    <row r="69" spans="2:12" s="131" customFormat="1" ht="12.75">
      <c r="B69" s="459"/>
      <c r="C69" s="459"/>
      <c r="D69" s="459"/>
      <c r="E69" s="34"/>
      <c r="F69" s="34"/>
      <c r="G69" s="34"/>
      <c r="H69" s="34"/>
      <c r="I69" s="34"/>
      <c r="J69" s="34"/>
      <c r="K69" s="36">
        <f t="shared" si="9"/>
        <v>0</v>
      </c>
      <c r="L69" s="37"/>
    </row>
    <row r="70" spans="2:12" s="131" customFormat="1" ht="12.75">
      <c r="B70" s="459"/>
      <c r="C70" s="459"/>
      <c r="D70" s="459"/>
      <c r="E70" s="34"/>
      <c r="F70" s="34"/>
      <c r="G70" s="34"/>
      <c r="H70" s="34"/>
      <c r="I70" s="34"/>
      <c r="J70" s="34"/>
      <c r="K70" s="36">
        <f t="shared" si="9"/>
        <v>0</v>
      </c>
      <c r="L70" s="37"/>
    </row>
    <row r="71" spans="2:12" s="131" customFormat="1" ht="12.75">
      <c r="B71" s="135" t="s">
        <v>261</v>
      </c>
      <c r="C71" s="135"/>
      <c r="D71" s="135"/>
      <c r="E71" s="36"/>
      <c r="F71" s="36"/>
      <c r="G71" s="36"/>
      <c r="H71" s="36"/>
      <c r="I71" s="36"/>
      <c r="J71" s="36"/>
      <c r="K71" s="36">
        <f t="shared" si="9"/>
        <v>0</v>
      </c>
      <c r="L71" s="127"/>
    </row>
    <row r="72" spans="2:12" s="131" customFormat="1" ht="12.75">
      <c r="B72" s="459" t="s">
        <v>414</v>
      </c>
      <c r="C72" s="459"/>
      <c r="D72" s="459"/>
      <c r="E72" s="34"/>
      <c r="F72" s="34"/>
      <c r="G72" s="34"/>
      <c r="H72" s="34"/>
      <c r="I72" s="34"/>
      <c r="J72" s="34"/>
      <c r="K72" s="36">
        <f t="shared" si="9"/>
        <v>0</v>
      </c>
      <c r="L72" s="37"/>
    </row>
    <row r="73" spans="2:12" s="131" customFormat="1" ht="12.75">
      <c r="B73" s="460" t="s">
        <v>262</v>
      </c>
      <c r="C73" s="460"/>
      <c r="D73" s="460"/>
      <c r="E73" s="36">
        <f>E65+E71</f>
        <v>2709600</v>
      </c>
      <c r="F73" s="36">
        <f aca="true" t="shared" si="10" ref="F73:K73">F65+F71</f>
        <v>890712</v>
      </c>
      <c r="G73" s="36">
        <f t="shared" si="10"/>
        <v>1849788</v>
      </c>
      <c r="H73" s="36">
        <f t="shared" si="10"/>
        <v>138639432</v>
      </c>
      <c r="I73" s="36">
        <f t="shared" si="10"/>
        <v>0</v>
      </c>
      <c r="J73" s="36">
        <f t="shared" si="10"/>
        <v>0</v>
      </c>
      <c r="K73" s="36">
        <f t="shared" si="10"/>
        <v>144089532</v>
      </c>
      <c r="L73" s="139">
        <v>0.18181818181818182</v>
      </c>
    </row>
    <row r="74" spans="2:12" s="131" customFormat="1" ht="12.75">
      <c r="B74" s="130"/>
      <c r="C74" s="132"/>
      <c r="D74" s="132"/>
      <c r="E74" s="136"/>
      <c r="F74" s="136"/>
      <c r="G74" s="136"/>
      <c r="H74" s="136"/>
      <c r="I74" s="136"/>
      <c r="J74" s="136"/>
      <c r="K74" s="136"/>
      <c r="L74" s="37"/>
    </row>
    <row r="77" spans="2:12" s="131" customFormat="1" ht="12.75">
      <c r="B77" s="463" t="s">
        <v>429</v>
      </c>
      <c r="C77" s="463"/>
      <c r="D77" s="463"/>
      <c r="E77" s="463"/>
      <c r="F77" s="463"/>
      <c r="G77" s="463"/>
      <c r="H77" s="463"/>
      <c r="I77" s="463"/>
      <c r="J77" s="463"/>
      <c r="K77" s="463"/>
      <c r="L77" s="463"/>
    </row>
    <row r="78" spans="2:12" s="131" customFormat="1" ht="12.75">
      <c r="B78" s="464" t="s">
        <v>430</v>
      </c>
      <c r="C78" s="464"/>
      <c r="D78" s="464"/>
      <c r="E78" s="464"/>
      <c r="F78" s="464"/>
      <c r="G78" s="464"/>
      <c r="H78" s="464"/>
      <c r="I78" s="464"/>
      <c r="J78" s="464"/>
      <c r="K78" s="464"/>
      <c r="L78" s="464"/>
    </row>
    <row r="79" spans="2:12" s="131" customFormat="1" ht="12.75">
      <c r="B79" s="37"/>
      <c r="C79" s="37"/>
      <c r="D79" s="37"/>
      <c r="E79" s="37"/>
      <c r="F79" s="37"/>
      <c r="G79" s="37"/>
      <c r="H79" s="37"/>
      <c r="I79" s="37"/>
      <c r="J79" s="37"/>
      <c r="K79" s="77" t="s">
        <v>423</v>
      </c>
      <c r="L79" s="37"/>
    </row>
    <row r="80" spans="2:12" s="131" customFormat="1" ht="38.25">
      <c r="B80" s="447" t="s">
        <v>246</v>
      </c>
      <c r="C80" s="447"/>
      <c r="D80" s="447"/>
      <c r="E80" s="71" t="s">
        <v>472</v>
      </c>
      <c r="F80" s="71" t="s">
        <v>559</v>
      </c>
      <c r="G80" s="73">
        <v>2020</v>
      </c>
      <c r="H80" s="73">
        <v>2021</v>
      </c>
      <c r="I80" s="73">
        <v>2022</v>
      </c>
      <c r="J80" s="73">
        <v>2023</v>
      </c>
      <c r="K80" s="73" t="s">
        <v>52</v>
      </c>
      <c r="L80" s="37"/>
    </row>
    <row r="81" spans="2:12" s="131" customFormat="1" ht="12.75">
      <c r="B81" s="447" t="s">
        <v>247</v>
      </c>
      <c r="C81" s="447"/>
      <c r="D81" s="447"/>
      <c r="E81" s="133">
        <f aca="true" t="shared" si="11" ref="E81:J81">E82+E87+E88</f>
        <v>16494922</v>
      </c>
      <c r="F81" s="133">
        <v>7853678</v>
      </c>
      <c r="G81" s="133">
        <v>651400</v>
      </c>
      <c r="H81" s="133">
        <f t="shared" si="11"/>
        <v>0</v>
      </c>
      <c r="I81" s="133">
        <f t="shared" si="11"/>
        <v>0</v>
      </c>
      <c r="J81" s="133">
        <f t="shared" si="11"/>
        <v>0</v>
      </c>
      <c r="K81" s="133">
        <f>K82+K87+K88</f>
        <v>25000000</v>
      </c>
      <c r="L81" s="127"/>
    </row>
    <row r="82" spans="2:12" s="131" customFormat="1" ht="12.75">
      <c r="B82" s="460" t="s">
        <v>248</v>
      </c>
      <c r="C82" s="460"/>
      <c r="D82" s="460"/>
      <c r="E82" s="36">
        <f aca="true" t="shared" si="12" ref="E82:J82">SUM(E83:E86)</f>
        <v>0</v>
      </c>
      <c r="F82" s="36">
        <f t="shared" si="12"/>
        <v>0</v>
      </c>
      <c r="G82" s="36">
        <f t="shared" si="12"/>
        <v>0</v>
      </c>
      <c r="H82" s="36">
        <f t="shared" si="12"/>
        <v>0</v>
      </c>
      <c r="I82" s="36">
        <f t="shared" si="12"/>
        <v>0</v>
      </c>
      <c r="J82" s="36">
        <f t="shared" si="12"/>
        <v>0</v>
      </c>
      <c r="K82" s="133">
        <f aca="true" t="shared" si="13" ref="K82:K88">SUM(E82:J82)</f>
        <v>0</v>
      </c>
      <c r="L82" s="127"/>
    </row>
    <row r="83" spans="2:12" s="131" customFormat="1" ht="12.75">
      <c r="B83" s="459" t="s">
        <v>249</v>
      </c>
      <c r="C83" s="459"/>
      <c r="D83" s="459"/>
      <c r="E83" s="34"/>
      <c r="F83" s="34"/>
      <c r="G83" s="34"/>
      <c r="H83" s="34"/>
      <c r="I83" s="34"/>
      <c r="J83" s="34"/>
      <c r="K83" s="134">
        <f t="shared" si="13"/>
        <v>0</v>
      </c>
      <c r="L83" s="37"/>
    </row>
    <row r="84" spans="2:12" s="131" customFormat="1" ht="12.75">
      <c r="B84" s="459" t="s">
        <v>250</v>
      </c>
      <c r="C84" s="459"/>
      <c r="D84" s="459"/>
      <c r="E84" s="34"/>
      <c r="F84" s="34"/>
      <c r="G84" s="34"/>
      <c r="H84" s="34"/>
      <c r="I84" s="34"/>
      <c r="J84" s="34"/>
      <c r="K84" s="134">
        <f t="shared" si="13"/>
        <v>0</v>
      </c>
      <c r="L84" s="37"/>
    </row>
    <row r="85" spans="2:12" s="131" customFormat="1" ht="12.75">
      <c r="B85" s="461" t="s">
        <v>359</v>
      </c>
      <c r="C85" s="461"/>
      <c r="D85" s="461"/>
      <c r="E85" s="34"/>
      <c r="F85" s="34"/>
      <c r="G85" s="34"/>
      <c r="H85" s="34"/>
      <c r="I85" s="34"/>
      <c r="J85" s="34"/>
      <c r="K85" s="134">
        <f t="shared" si="13"/>
        <v>0</v>
      </c>
      <c r="L85" s="37"/>
    </row>
    <row r="86" spans="2:12" s="131" customFormat="1" ht="12.75">
      <c r="B86" s="461" t="s">
        <v>252</v>
      </c>
      <c r="C86" s="461"/>
      <c r="D86" s="461"/>
      <c r="E86" s="34"/>
      <c r="F86" s="34"/>
      <c r="G86" s="34"/>
      <c r="H86" s="34"/>
      <c r="I86" s="34"/>
      <c r="J86" s="34"/>
      <c r="K86" s="134">
        <f t="shared" si="13"/>
        <v>0</v>
      </c>
      <c r="L86" s="37"/>
    </row>
    <row r="87" spans="2:12" s="131" customFormat="1" ht="12.75">
      <c r="B87" s="462" t="s">
        <v>253</v>
      </c>
      <c r="C87" s="462"/>
      <c r="D87" s="462"/>
      <c r="E87" s="36">
        <v>16494922</v>
      </c>
      <c r="F87" s="36">
        <v>7853678</v>
      </c>
      <c r="G87" s="36">
        <v>651400</v>
      </c>
      <c r="H87" s="36"/>
      <c r="I87" s="36"/>
      <c r="J87" s="36"/>
      <c r="K87" s="133">
        <f t="shared" si="13"/>
        <v>25000000</v>
      </c>
      <c r="L87" s="127"/>
    </row>
    <row r="88" spans="2:12" s="131" customFormat="1" ht="12.75">
      <c r="B88" s="462" t="s">
        <v>254</v>
      </c>
      <c r="C88" s="462"/>
      <c r="D88" s="462"/>
      <c r="E88" s="36"/>
      <c r="F88" s="34"/>
      <c r="G88" s="34"/>
      <c r="H88" s="34"/>
      <c r="I88" s="34"/>
      <c r="J88" s="34"/>
      <c r="K88" s="133">
        <f t="shared" si="13"/>
        <v>0</v>
      </c>
      <c r="L88" s="37"/>
    </row>
    <row r="89" spans="2:12" s="131" customFormat="1" ht="12.75">
      <c r="B89" s="460" t="s">
        <v>255</v>
      </c>
      <c r="C89" s="460"/>
      <c r="D89" s="460"/>
      <c r="E89" s="34"/>
      <c r="F89" s="36"/>
      <c r="G89" s="34"/>
      <c r="H89" s="34"/>
      <c r="I89" s="34"/>
      <c r="J89" s="34"/>
      <c r="K89" s="34"/>
      <c r="L89" s="37"/>
    </row>
    <row r="90" spans="2:12" s="131" customFormat="1" ht="12.75">
      <c r="B90" s="459" t="s">
        <v>248</v>
      </c>
      <c r="C90" s="459"/>
      <c r="D90" s="459"/>
      <c r="E90" s="34"/>
      <c r="F90" s="34"/>
      <c r="G90" s="34"/>
      <c r="H90" s="34"/>
      <c r="I90" s="34"/>
      <c r="J90" s="34"/>
      <c r="K90" s="34"/>
      <c r="L90" s="37"/>
    </row>
    <row r="91" spans="2:12" s="131" customFormat="1" ht="12.75">
      <c r="B91" s="459" t="s">
        <v>249</v>
      </c>
      <c r="C91" s="459"/>
      <c r="D91" s="459"/>
      <c r="E91" s="34"/>
      <c r="F91" s="34"/>
      <c r="G91" s="34"/>
      <c r="H91" s="34"/>
      <c r="I91" s="34"/>
      <c r="J91" s="34"/>
      <c r="K91" s="34"/>
      <c r="L91" s="37"/>
    </row>
    <row r="92" spans="2:12" s="131" customFormat="1" ht="12.75">
      <c r="B92" s="459" t="s">
        <v>256</v>
      </c>
      <c r="C92" s="459"/>
      <c r="D92" s="459"/>
      <c r="E92" s="34"/>
      <c r="F92" s="34"/>
      <c r="G92" s="34"/>
      <c r="H92" s="34"/>
      <c r="I92" s="34"/>
      <c r="J92" s="34"/>
      <c r="K92" s="34"/>
      <c r="L92" s="37"/>
    </row>
    <row r="93" spans="2:12" s="131" customFormat="1" ht="12.75">
      <c r="B93" s="461" t="s">
        <v>251</v>
      </c>
      <c r="C93" s="461"/>
      <c r="D93" s="461"/>
      <c r="E93" s="34"/>
      <c r="F93" s="34"/>
      <c r="G93" s="34"/>
      <c r="H93" s="34"/>
      <c r="I93" s="34"/>
      <c r="J93" s="34"/>
      <c r="K93" s="34"/>
      <c r="L93" s="37"/>
    </row>
    <row r="94" spans="2:12" s="131" customFormat="1" ht="12.75">
      <c r="B94" s="461" t="s">
        <v>252</v>
      </c>
      <c r="C94" s="461"/>
      <c r="D94" s="461"/>
      <c r="E94" s="34"/>
      <c r="F94" s="34"/>
      <c r="G94" s="34"/>
      <c r="H94" s="34"/>
      <c r="I94" s="34"/>
      <c r="J94" s="34"/>
      <c r="K94" s="34"/>
      <c r="L94" s="37"/>
    </row>
    <row r="95" spans="2:12" s="131" customFormat="1" ht="12.75">
      <c r="B95" s="461"/>
      <c r="C95" s="461"/>
      <c r="D95" s="461"/>
      <c r="E95" s="34"/>
      <c r="F95" s="34"/>
      <c r="G95" s="34"/>
      <c r="H95" s="34"/>
      <c r="I95" s="34"/>
      <c r="J95" s="34"/>
      <c r="K95" s="34"/>
      <c r="L95" s="37"/>
    </row>
    <row r="96" spans="2:12" s="131" customFormat="1" ht="12.75">
      <c r="B96" s="460" t="s">
        <v>257</v>
      </c>
      <c r="C96" s="460"/>
      <c r="D96" s="460"/>
      <c r="E96" s="36">
        <f aca="true" t="shared" si="14" ref="E96:K96">E81+E89</f>
        <v>16494922</v>
      </c>
      <c r="F96" s="36">
        <f t="shared" si="14"/>
        <v>7853678</v>
      </c>
      <c r="G96" s="36">
        <f t="shared" si="14"/>
        <v>651400</v>
      </c>
      <c r="H96" s="36">
        <f t="shared" si="14"/>
        <v>0</v>
      </c>
      <c r="I96" s="36">
        <f t="shared" si="14"/>
        <v>0</v>
      </c>
      <c r="J96" s="36">
        <f t="shared" si="14"/>
        <v>0</v>
      </c>
      <c r="K96" s="36">
        <f t="shared" si="14"/>
        <v>25000000</v>
      </c>
      <c r="L96" s="37"/>
    </row>
    <row r="97" spans="2:12" s="131" customFormat="1" ht="12.7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2:12" s="131" customFormat="1" ht="12.7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2:12" s="131" customFormat="1" ht="38.25">
      <c r="B99" s="446" t="s">
        <v>258</v>
      </c>
      <c r="C99" s="446"/>
      <c r="D99" s="446"/>
      <c r="E99" s="71" t="s">
        <v>479</v>
      </c>
      <c r="F99" s="71" t="s">
        <v>559</v>
      </c>
      <c r="G99" s="73">
        <v>2020</v>
      </c>
      <c r="H99" s="73">
        <v>2021</v>
      </c>
      <c r="I99" s="73">
        <v>2022</v>
      </c>
      <c r="J99" s="73">
        <v>2023</v>
      </c>
      <c r="K99" s="73" t="s">
        <v>52</v>
      </c>
      <c r="L99" s="37"/>
    </row>
    <row r="100" spans="2:12" s="131" customFormat="1" ht="12.75">
      <c r="B100" s="460" t="s">
        <v>259</v>
      </c>
      <c r="C100" s="460"/>
      <c r="D100" s="460"/>
      <c r="E100" s="36">
        <f aca="true" t="shared" si="15" ref="E100:K100">E101</f>
        <v>7318119</v>
      </c>
      <c r="F100" s="36">
        <f t="shared" si="15"/>
        <v>17030481</v>
      </c>
      <c r="G100" s="36">
        <v>651400</v>
      </c>
      <c r="H100" s="36">
        <f t="shared" si="15"/>
        <v>0</v>
      </c>
      <c r="I100" s="36">
        <f t="shared" si="15"/>
        <v>0</v>
      </c>
      <c r="J100" s="36">
        <f t="shared" si="15"/>
        <v>0</v>
      </c>
      <c r="K100" s="36">
        <f t="shared" si="15"/>
        <v>25000000</v>
      </c>
      <c r="L100" s="127"/>
    </row>
    <row r="101" spans="2:12" s="131" customFormat="1" ht="12.75">
      <c r="B101" s="459" t="s">
        <v>260</v>
      </c>
      <c r="C101" s="459"/>
      <c r="D101" s="459"/>
      <c r="E101" s="34">
        <v>7318119</v>
      </c>
      <c r="F101" s="34">
        <v>17030481</v>
      </c>
      <c r="G101" s="34">
        <v>651400</v>
      </c>
      <c r="H101" s="34"/>
      <c r="I101" s="34"/>
      <c r="J101" s="34"/>
      <c r="K101" s="36">
        <f>SUM(E101:J101)</f>
        <v>25000000</v>
      </c>
      <c r="L101" s="37"/>
    </row>
    <row r="102" spans="2:12" s="131" customFormat="1" ht="12.75">
      <c r="B102" s="461"/>
      <c r="C102" s="461"/>
      <c r="D102" s="461"/>
      <c r="E102" s="34"/>
      <c r="F102" s="34"/>
      <c r="G102" s="34"/>
      <c r="H102" s="34"/>
      <c r="I102" s="34"/>
      <c r="J102" s="34"/>
      <c r="K102" s="34">
        <f>SUM(E102:J102)</f>
        <v>0</v>
      </c>
      <c r="L102" s="37"/>
    </row>
    <row r="103" spans="2:12" s="131" customFormat="1" ht="12.75">
      <c r="B103" s="461"/>
      <c r="C103" s="461"/>
      <c r="D103" s="461"/>
      <c r="E103" s="34"/>
      <c r="F103" s="34"/>
      <c r="G103" s="34"/>
      <c r="H103" s="34"/>
      <c r="I103" s="34"/>
      <c r="J103" s="34"/>
      <c r="K103" s="34"/>
      <c r="L103" s="37"/>
    </row>
    <row r="104" spans="2:12" s="131" customFormat="1" ht="12.75">
      <c r="B104" s="135" t="s">
        <v>261</v>
      </c>
      <c r="C104" s="135"/>
      <c r="D104" s="135"/>
      <c r="E104" s="36"/>
      <c r="F104" s="36"/>
      <c r="G104" s="36"/>
      <c r="H104" s="36"/>
      <c r="I104" s="36"/>
      <c r="J104" s="36"/>
      <c r="K104" s="36"/>
      <c r="L104" s="127"/>
    </row>
    <row r="105" spans="2:12" s="131" customFormat="1" ht="12.75">
      <c r="B105" s="459" t="s">
        <v>414</v>
      </c>
      <c r="C105" s="459"/>
      <c r="D105" s="459"/>
      <c r="E105" s="34"/>
      <c r="F105" s="34"/>
      <c r="G105" s="34"/>
      <c r="H105" s="34"/>
      <c r="I105" s="34"/>
      <c r="J105" s="34"/>
      <c r="K105" s="34"/>
      <c r="L105" s="37"/>
    </row>
    <row r="106" spans="2:12" s="131" customFormat="1" ht="12.75">
      <c r="B106" s="460" t="s">
        <v>262</v>
      </c>
      <c r="C106" s="460"/>
      <c r="D106" s="460"/>
      <c r="E106" s="36">
        <f>E100+E104</f>
        <v>7318119</v>
      </c>
      <c r="F106" s="36">
        <f aca="true" t="shared" si="16" ref="F106:K106">F100+F104</f>
        <v>17030481</v>
      </c>
      <c r="G106" s="36">
        <f t="shared" si="16"/>
        <v>651400</v>
      </c>
      <c r="H106" s="36">
        <f t="shared" si="16"/>
        <v>0</v>
      </c>
      <c r="I106" s="36">
        <f t="shared" si="16"/>
        <v>0</v>
      </c>
      <c r="J106" s="36">
        <f t="shared" si="16"/>
        <v>0</v>
      </c>
      <c r="K106" s="36">
        <f t="shared" si="16"/>
        <v>25000000</v>
      </c>
      <c r="L106" s="139">
        <v>0.2727272727272727</v>
      </c>
    </row>
    <row r="107" spans="2:12" s="131" customFormat="1" ht="12.75">
      <c r="B107" s="130"/>
      <c r="C107" s="132"/>
      <c r="D107" s="132"/>
      <c r="E107" s="136"/>
      <c r="F107" s="136"/>
      <c r="G107" s="136"/>
      <c r="H107" s="136"/>
      <c r="I107" s="136"/>
      <c r="J107" s="136"/>
      <c r="K107" s="136"/>
      <c r="L107" s="37"/>
    </row>
    <row r="108" ht="10.5" customHeight="1"/>
    <row r="109" s="62" customFormat="1" ht="14.25"/>
    <row r="110" spans="2:12" s="131" customFormat="1" ht="12.75">
      <c r="B110" s="463" t="s">
        <v>431</v>
      </c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</row>
    <row r="111" spans="2:12" s="131" customFormat="1" ht="12.75">
      <c r="B111" s="464" t="s">
        <v>432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</row>
    <row r="112" spans="2:12" s="131" customFormat="1" ht="12.75">
      <c r="B112" s="37"/>
      <c r="C112" s="37"/>
      <c r="D112" s="37"/>
      <c r="E112" s="37"/>
      <c r="F112" s="37"/>
      <c r="G112" s="37"/>
      <c r="H112" s="37"/>
      <c r="I112" s="37"/>
      <c r="J112" s="37"/>
      <c r="K112" s="77" t="s">
        <v>423</v>
      </c>
      <c r="L112" s="37"/>
    </row>
    <row r="113" spans="2:12" s="131" customFormat="1" ht="38.25">
      <c r="B113" s="447" t="s">
        <v>246</v>
      </c>
      <c r="C113" s="447"/>
      <c r="D113" s="447"/>
      <c r="E113" s="71" t="s">
        <v>472</v>
      </c>
      <c r="F113" s="73" t="s">
        <v>559</v>
      </c>
      <c r="G113" s="73">
        <v>2020</v>
      </c>
      <c r="H113" s="73">
        <v>2021</v>
      </c>
      <c r="I113" s="73">
        <v>2022</v>
      </c>
      <c r="J113" s="73">
        <v>2023</v>
      </c>
      <c r="K113" s="73" t="s">
        <v>52</v>
      </c>
      <c r="L113" s="37"/>
    </row>
    <row r="114" spans="2:12" s="131" customFormat="1" ht="12.75">
      <c r="B114" s="447" t="s">
        <v>247</v>
      </c>
      <c r="C114" s="447"/>
      <c r="D114" s="447"/>
      <c r="E114" s="133">
        <v>151765500</v>
      </c>
      <c r="F114" s="133">
        <f aca="true" t="shared" si="17" ref="F114:K114">F115+F120+F121</f>
        <v>0</v>
      </c>
      <c r="G114" s="133">
        <f t="shared" si="17"/>
        <v>0</v>
      </c>
      <c r="H114" s="133">
        <f t="shared" si="17"/>
        <v>0</v>
      </c>
      <c r="I114" s="133">
        <f t="shared" si="17"/>
        <v>0</v>
      </c>
      <c r="J114" s="133">
        <f t="shared" si="17"/>
        <v>0</v>
      </c>
      <c r="K114" s="133">
        <f t="shared" si="17"/>
        <v>151765500</v>
      </c>
      <c r="L114" s="127"/>
    </row>
    <row r="115" spans="2:12" s="131" customFormat="1" ht="12.75">
      <c r="B115" s="460" t="s">
        <v>248</v>
      </c>
      <c r="C115" s="460"/>
      <c r="D115" s="460"/>
      <c r="E115" s="36">
        <f aca="true" t="shared" si="18" ref="E115:J115">SUM(E116:E119)</f>
        <v>0</v>
      </c>
      <c r="F115" s="36">
        <f t="shared" si="18"/>
        <v>0</v>
      </c>
      <c r="G115" s="36">
        <f t="shared" si="18"/>
        <v>0</v>
      </c>
      <c r="H115" s="36">
        <f t="shared" si="18"/>
        <v>0</v>
      </c>
      <c r="I115" s="36">
        <f t="shared" si="18"/>
        <v>0</v>
      </c>
      <c r="J115" s="36">
        <f t="shared" si="18"/>
        <v>0</v>
      </c>
      <c r="K115" s="133">
        <f aca="true" t="shared" si="19" ref="K115:K121">SUM(E115:J115)</f>
        <v>0</v>
      </c>
      <c r="L115" s="127"/>
    </row>
    <row r="116" spans="2:12" s="131" customFormat="1" ht="12.75">
      <c r="B116" s="459" t="s">
        <v>249</v>
      </c>
      <c r="C116" s="459"/>
      <c r="D116" s="459"/>
      <c r="E116" s="34"/>
      <c r="F116" s="34"/>
      <c r="G116" s="34"/>
      <c r="H116" s="34"/>
      <c r="I116" s="34"/>
      <c r="J116" s="34"/>
      <c r="K116" s="134">
        <f t="shared" si="19"/>
        <v>0</v>
      </c>
      <c r="L116" s="37"/>
    </row>
    <row r="117" spans="2:12" s="131" customFormat="1" ht="12.75">
      <c r="B117" s="459" t="s">
        <v>250</v>
      </c>
      <c r="C117" s="459"/>
      <c r="D117" s="459"/>
      <c r="E117" s="34"/>
      <c r="F117" s="34"/>
      <c r="G117" s="34"/>
      <c r="H117" s="34"/>
      <c r="I117" s="34"/>
      <c r="J117" s="34"/>
      <c r="K117" s="134">
        <f t="shared" si="19"/>
        <v>0</v>
      </c>
      <c r="L117" s="37"/>
    </row>
    <row r="118" spans="2:12" s="131" customFormat="1" ht="12.75">
      <c r="B118" s="461" t="s">
        <v>359</v>
      </c>
      <c r="C118" s="461"/>
      <c r="D118" s="461"/>
      <c r="E118" s="34"/>
      <c r="F118" s="34"/>
      <c r="G118" s="34"/>
      <c r="H118" s="34"/>
      <c r="I118" s="34"/>
      <c r="J118" s="34"/>
      <c r="K118" s="134">
        <f t="shared" si="19"/>
        <v>0</v>
      </c>
      <c r="L118" s="37"/>
    </row>
    <row r="119" spans="2:12" s="131" customFormat="1" ht="12.75">
      <c r="B119" s="461" t="s">
        <v>252</v>
      </c>
      <c r="C119" s="461"/>
      <c r="D119" s="461"/>
      <c r="E119" s="34"/>
      <c r="F119" s="34"/>
      <c r="G119" s="34"/>
      <c r="H119" s="34"/>
      <c r="I119" s="34"/>
      <c r="J119" s="34"/>
      <c r="K119" s="134">
        <f t="shared" si="19"/>
        <v>0</v>
      </c>
      <c r="L119" s="37"/>
    </row>
    <row r="120" spans="2:12" s="131" customFormat="1" ht="12.75">
      <c r="B120" s="462" t="s">
        <v>253</v>
      </c>
      <c r="C120" s="462"/>
      <c r="D120" s="462"/>
      <c r="E120" s="36">
        <v>151765500</v>
      </c>
      <c r="F120" s="36"/>
      <c r="G120" s="36"/>
      <c r="H120" s="36"/>
      <c r="I120" s="36"/>
      <c r="J120" s="36"/>
      <c r="K120" s="133">
        <f t="shared" si="19"/>
        <v>151765500</v>
      </c>
      <c r="L120" s="127"/>
    </row>
    <row r="121" spans="2:12" s="131" customFormat="1" ht="12.75">
      <c r="B121" s="462" t="s">
        <v>254</v>
      </c>
      <c r="C121" s="462"/>
      <c r="D121" s="462"/>
      <c r="E121" s="36"/>
      <c r="F121" s="34"/>
      <c r="G121" s="34"/>
      <c r="H121" s="34"/>
      <c r="I121" s="34"/>
      <c r="J121" s="34"/>
      <c r="K121" s="133">
        <f t="shared" si="19"/>
        <v>0</v>
      </c>
      <c r="L121" s="37"/>
    </row>
    <row r="122" spans="2:12" s="131" customFormat="1" ht="12.75">
      <c r="B122" s="460" t="s">
        <v>255</v>
      </c>
      <c r="C122" s="460"/>
      <c r="D122" s="460"/>
      <c r="E122" s="34"/>
      <c r="F122" s="36"/>
      <c r="G122" s="34"/>
      <c r="H122" s="34"/>
      <c r="I122" s="34"/>
      <c r="J122" s="34"/>
      <c r="K122" s="34"/>
      <c r="L122" s="37"/>
    </row>
    <row r="123" spans="2:12" s="131" customFormat="1" ht="12.75">
      <c r="B123" s="459" t="s">
        <v>248</v>
      </c>
      <c r="C123" s="459"/>
      <c r="D123" s="459"/>
      <c r="E123" s="34"/>
      <c r="F123" s="34"/>
      <c r="G123" s="34"/>
      <c r="H123" s="34"/>
      <c r="I123" s="34"/>
      <c r="J123" s="34"/>
      <c r="K123" s="34"/>
      <c r="L123" s="37"/>
    </row>
    <row r="124" spans="2:12" s="131" customFormat="1" ht="12.75">
      <c r="B124" s="459" t="s">
        <v>249</v>
      </c>
      <c r="C124" s="459"/>
      <c r="D124" s="459"/>
      <c r="E124" s="34"/>
      <c r="F124" s="34"/>
      <c r="G124" s="34"/>
      <c r="H124" s="34"/>
      <c r="I124" s="34"/>
      <c r="J124" s="34"/>
      <c r="K124" s="34"/>
      <c r="L124" s="37"/>
    </row>
    <row r="125" spans="2:12" s="131" customFormat="1" ht="12.75">
      <c r="B125" s="459" t="s">
        <v>256</v>
      </c>
      <c r="C125" s="459"/>
      <c r="D125" s="459"/>
      <c r="E125" s="34"/>
      <c r="F125" s="34"/>
      <c r="G125" s="34"/>
      <c r="H125" s="34"/>
      <c r="I125" s="34"/>
      <c r="J125" s="34"/>
      <c r="K125" s="34"/>
      <c r="L125" s="37"/>
    </row>
    <row r="126" spans="2:12" s="131" customFormat="1" ht="12.75">
      <c r="B126" s="461" t="s">
        <v>251</v>
      </c>
      <c r="C126" s="461"/>
      <c r="D126" s="461"/>
      <c r="E126" s="34"/>
      <c r="F126" s="34"/>
      <c r="G126" s="34"/>
      <c r="H126" s="34"/>
      <c r="I126" s="34"/>
      <c r="J126" s="34"/>
      <c r="K126" s="34"/>
      <c r="L126" s="37"/>
    </row>
    <row r="127" spans="2:12" s="131" customFormat="1" ht="12.75">
      <c r="B127" s="461" t="s">
        <v>252</v>
      </c>
      <c r="C127" s="461"/>
      <c r="D127" s="461"/>
      <c r="E127" s="34"/>
      <c r="F127" s="34"/>
      <c r="G127" s="34"/>
      <c r="H127" s="34"/>
      <c r="I127" s="34"/>
      <c r="J127" s="34"/>
      <c r="K127" s="34"/>
      <c r="L127" s="37"/>
    </row>
    <row r="128" spans="2:12" s="131" customFormat="1" ht="12.75">
      <c r="B128" s="461"/>
      <c r="C128" s="461"/>
      <c r="D128" s="461"/>
      <c r="E128" s="34"/>
      <c r="F128" s="34"/>
      <c r="G128" s="34"/>
      <c r="H128" s="34"/>
      <c r="I128" s="34"/>
      <c r="J128" s="34"/>
      <c r="K128" s="34"/>
      <c r="L128" s="37"/>
    </row>
    <row r="129" spans="2:12" s="131" customFormat="1" ht="12.75">
      <c r="B129" s="460" t="s">
        <v>257</v>
      </c>
      <c r="C129" s="460"/>
      <c r="D129" s="460"/>
      <c r="E129" s="36">
        <f aca="true" t="shared" si="20" ref="E129:K129">E114+E122</f>
        <v>151765500</v>
      </c>
      <c r="F129" s="36">
        <f t="shared" si="20"/>
        <v>0</v>
      </c>
      <c r="G129" s="36">
        <f t="shared" si="20"/>
        <v>0</v>
      </c>
      <c r="H129" s="36">
        <f t="shared" si="20"/>
        <v>0</v>
      </c>
      <c r="I129" s="36">
        <f t="shared" si="20"/>
        <v>0</v>
      </c>
      <c r="J129" s="36">
        <f t="shared" si="20"/>
        <v>0</v>
      </c>
      <c r="K129" s="36">
        <f t="shared" si="20"/>
        <v>151765500</v>
      </c>
      <c r="L129" s="37"/>
    </row>
    <row r="130" spans="2:12" s="131" customFormat="1" ht="12.7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2:12" s="131" customFormat="1" ht="12.7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2:12" s="131" customFormat="1" ht="38.25">
      <c r="B132" s="446" t="s">
        <v>258</v>
      </c>
      <c r="C132" s="446"/>
      <c r="D132" s="446"/>
      <c r="E132" s="71" t="s">
        <v>479</v>
      </c>
      <c r="F132" s="73">
        <v>2019</v>
      </c>
      <c r="G132" s="73">
        <v>2020</v>
      </c>
      <c r="H132" s="73">
        <v>2021</v>
      </c>
      <c r="I132" s="73">
        <v>2022</v>
      </c>
      <c r="J132" s="73">
        <v>2023</v>
      </c>
      <c r="K132" s="73" t="s">
        <v>52</v>
      </c>
      <c r="L132" s="37"/>
    </row>
    <row r="133" spans="2:12" s="131" customFormat="1" ht="12.75">
      <c r="B133" s="460" t="s">
        <v>259</v>
      </c>
      <c r="C133" s="460"/>
      <c r="D133" s="460"/>
      <c r="E133" s="36">
        <f aca="true" t="shared" si="21" ref="E133:J133">E134</f>
        <v>7128185</v>
      </c>
      <c r="F133" s="36">
        <v>1432090</v>
      </c>
      <c r="G133" s="36">
        <v>142495830</v>
      </c>
      <c r="H133" s="36">
        <f t="shared" si="21"/>
        <v>709395</v>
      </c>
      <c r="I133" s="36">
        <f t="shared" si="21"/>
        <v>0</v>
      </c>
      <c r="J133" s="36">
        <f t="shared" si="21"/>
        <v>0</v>
      </c>
      <c r="K133" s="36">
        <f>SUM(E133:J133)</f>
        <v>151765500</v>
      </c>
      <c r="L133" s="127"/>
    </row>
    <row r="134" spans="2:12" s="131" customFormat="1" ht="12.75">
      <c r="B134" s="459" t="s">
        <v>260</v>
      </c>
      <c r="C134" s="459"/>
      <c r="D134" s="459"/>
      <c r="E134" s="34">
        <v>7128185</v>
      </c>
      <c r="F134" s="34">
        <v>1432090</v>
      </c>
      <c r="G134" s="34">
        <v>142495830</v>
      </c>
      <c r="H134" s="34">
        <v>709395</v>
      </c>
      <c r="I134" s="34"/>
      <c r="J134" s="34"/>
      <c r="K134" s="36">
        <f>SUM(E134:J134)</f>
        <v>151765500</v>
      </c>
      <c r="L134" s="37"/>
    </row>
    <row r="135" spans="2:12" s="131" customFormat="1" ht="12.75">
      <c r="B135" s="461"/>
      <c r="C135" s="461"/>
      <c r="D135" s="461"/>
      <c r="E135" s="34"/>
      <c r="F135" s="34"/>
      <c r="G135" s="34"/>
      <c r="H135" s="34"/>
      <c r="I135" s="34"/>
      <c r="J135" s="34"/>
      <c r="K135" s="34">
        <f>SUM(E135:J135)</f>
        <v>0</v>
      </c>
      <c r="L135" s="37"/>
    </row>
    <row r="136" spans="2:12" s="131" customFormat="1" ht="12.75">
      <c r="B136" s="461"/>
      <c r="C136" s="461"/>
      <c r="D136" s="461"/>
      <c r="E136" s="34"/>
      <c r="F136" s="34"/>
      <c r="G136" s="34"/>
      <c r="H136" s="34"/>
      <c r="I136" s="34"/>
      <c r="J136" s="34"/>
      <c r="K136" s="34"/>
      <c r="L136" s="37"/>
    </row>
    <row r="137" spans="2:12" s="131" customFormat="1" ht="12.75">
      <c r="B137" s="135" t="s">
        <v>261</v>
      </c>
      <c r="C137" s="135"/>
      <c r="D137" s="135"/>
      <c r="E137" s="36"/>
      <c r="F137" s="36"/>
      <c r="G137" s="36"/>
      <c r="H137" s="36"/>
      <c r="I137" s="36"/>
      <c r="J137" s="36"/>
      <c r="K137" s="36"/>
      <c r="L137" s="127"/>
    </row>
    <row r="138" spans="2:12" s="131" customFormat="1" ht="12.75">
      <c r="B138" s="459" t="s">
        <v>414</v>
      </c>
      <c r="C138" s="459"/>
      <c r="D138" s="459"/>
      <c r="E138" s="34"/>
      <c r="F138" s="34"/>
      <c r="G138" s="34"/>
      <c r="H138" s="34"/>
      <c r="I138" s="34"/>
      <c r="J138" s="34"/>
      <c r="K138" s="34"/>
      <c r="L138" s="37"/>
    </row>
    <row r="139" spans="2:12" s="131" customFormat="1" ht="12.75">
      <c r="B139" s="460" t="s">
        <v>262</v>
      </c>
      <c r="C139" s="460"/>
      <c r="D139" s="460"/>
      <c r="E139" s="36">
        <f>E133+E137</f>
        <v>7128185</v>
      </c>
      <c r="F139" s="36">
        <f aca="true" t="shared" si="22" ref="F139:K139">F133+F137</f>
        <v>1432090</v>
      </c>
      <c r="G139" s="36">
        <f t="shared" si="22"/>
        <v>142495830</v>
      </c>
      <c r="H139" s="36">
        <f t="shared" si="22"/>
        <v>709395</v>
      </c>
      <c r="I139" s="36">
        <f t="shared" si="22"/>
        <v>0</v>
      </c>
      <c r="J139" s="36">
        <f t="shared" si="22"/>
        <v>0</v>
      </c>
      <c r="K139" s="36">
        <f t="shared" si="22"/>
        <v>151765500</v>
      </c>
      <c r="L139" s="139">
        <v>0.36363636363636365</v>
      </c>
    </row>
    <row r="140" spans="2:12" ht="12.75">
      <c r="B140" s="51"/>
      <c r="C140" s="50"/>
      <c r="D140" s="50"/>
      <c r="E140" s="52"/>
      <c r="F140" s="52"/>
      <c r="G140" s="52"/>
      <c r="H140" s="52"/>
      <c r="I140" s="52"/>
      <c r="J140" s="52"/>
      <c r="K140" s="52"/>
      <c r="L140" s="49"/>
    </row>
    <row r="141" s="131" customFormat="1" ht="12.75"/>
    <row r="142" s="131" customFormat="1" ht="12.75"/>
    <row r="143" spans="2:12" s="131" customFormat="1" ht="12.75">
      <c r="B143" s="463" t="s">
        <v>433</v>
      </c>
      <c r="C143" s="463"/>
      <c r="D143" s="463"/>
      <c r="E143" s="463"/>
      <c r="F143" s="463"/>
      <c r="G143" s="463"/>
      <c r="H143" s="463"/>
      <c r="I143" s="463"/>
      <c r="J143" s="463"/>
      <c r="K143" s="463"/>
      <c r="L143" s="463"/>
    </row>
    <row r="144" spans="2:12" s="131" customFormat="1" ht="12.75">
      <c r="B144" s="464" t="s">
        <v>434</v>
      </c>
      <c r="C144" s="464"/>
      <c r="D144" s="464"/>
      <c r="E144" s="464"/>
      <c r="F144" s="464"/>
      <c r="G144" s="464"/>
      <c r="H144" s="464"/>
      <c r="I144" s="464"/>
      <c r="J144" s="464"/>
      <c r="K144" s="464"/>
      <c r="L144" s="464"/>
    </row>
    <row r="145" spans="2:12" s="131" customFormat="1" ht="12.75">
      <c r="B145" s="37"/>
      <c r="C145" s="37"/>
      <c r="D145" s="37"/>
      <c r="E145" s="37"/>
      <c r="F145" s="37"/>
      <c r="G145" s="37"/>
      <c r="H145" s="37"/>
      <c r="I145" s="37"/>
      <c r="J145" s="37"/>
      <c r="K145" s="77" t="s">
        <v>423</v>
      </c>
      <c r="L145" s="37"/>
    </row>
    <row r="146" spans="2:12" s="131" customFormat="1" ht="38.25">
      <c r="B146" s="447" t="s">
        <v>246</v>
      </c>
      <c r="C146" s="447"/>
      <c r="D146" s="447"/>
      <c r="E146" s="71" t="s">
        <v>472</v>
      </c>
      <c r="F146" s="73" t="s">
        <v>559</v>
      </c>
      <c r="G146" s="73">
        <v>2020</v>
      </c>
      <c r="H146" s="73">
        <v>2021</v>
      </c>
      <c r="I146" s="73">
        <v>2022</v>
      </c>
      <c r="J146" s="73">
        <v>2023</v>
      </c>
      <c r="K146" s="73" t="s">
        <v>52</v>
      </c>
      <c r="L146" s="37"/>
    </row>
    <row r="147" spans="2:12" s="131" customFormat="1" ht="12.75">
      <c r="B147" s="447" t="s">
        <v>247</v>
      </c>
      <c r="C147" s="447"/>
      <c r="D147" s="447"/>
      <c r="E147" s="133">
        <f aca="true" t="shared" si="23" ref="E147:K147">E148+E153+E154</f>
        <v>271378625</v>
      </c>
      <c r="F147" s="133">
        <f t="shared" si="23"/>
        <v>0</v>
      </c>
      <c r="G147" s="133">
        <f t="shared" si="23"/>
        <v>0</v>
      </c>
      <c r="H147" s="133">
        <f t="shared" si="23"/>
        <v>0</v>
      </c>
      <c r="I147" s="133">
        <f t="shared" si="23"/>
        <v>0</v>
      </c>
      <c r="J147" s="133">
        <f t="shared" si="23"/>
        <v>0</v>
      </c>
      <c r="K147" s="133">
        <f t="shared" si="23"/>
        <v>271378625</v>
      </c>
      <c r="L147" s="127"/>
    </row>
    <row r="148" spans="2:12" s="131" customFormat="1" ht="12.75">
      <c r="B148" s="460" t="s">
        <v>248</v>
      </c>
      <c r="C148" s="460"/>
      <c r="D148" s="460"/>
      <c r="E148" s="36">
        <f aca="true" t="shared" si="24" ref="E148:J148">SUM(E149:E152)</f>
        <v>0</v>
      </c>
      <c r="F148" s="36">
        <f t="shared" si="24"/>
        <v>0</v>
      </c>
      <c r="G148" s="36">
        <f t="shared" si="24"/>
        <v>0</v>
      </c>
      <c r="H148" s="36">
        <f t="shared" si="24"/>
        <v>0</v>
      </c>
      <c r="I148" s="36">
        <f t="shared" si="24"/>
        <v>0</v>
      </c>
      <c r="J148" s="36">
        <f t="shared" si="24"/>
        <v>0</v>
      </c>
      <c r="K148" s="133">
        <f aca="true" t="shared" si="25" ref="K148:K154">SUM(E148:J148)</f>
        <v>0</v>
      </c>
      <c r="L148" s="127"/>
    </row>
    <row r="149" spans="2:12" s="131" customFormat="1" ht="12.75">
      <c r="B149" s="459" t="s">
        <v>249</v>
      </c>
      <c r="C149" s="459"/>
      <c r="D149" s="459"/>
      <c r="E149" s="34"/>
      <c r="F149" s="34"/>
      <c r="G149" s="34"/>
      <c r="H149" s="34"/>
      <c r="I149" s="34"/>
      <c r="J149" s="34"/>
      <c r="K149" s="134">
        <f t="shared" si="25"/>
        <v>0</v>
      </c>
      <c r="L149" s="37"/>
    </row>
    <row r="150" spans="2:12" s="131" customFormat="1" ht="12.75">
      <c r="B150" s="459" t="s">
        <v>250</v>
      </c>
      <c r="C150" s="459"/>
      <c r="D150" s="459"/>
      <c r="E150" s="34"/>
      <c r="F150" s="34"/>
      <c r="G150" s="34"/>
      <c r="H150" s="34"/>
      <c r="I150" s="34"/>
      <c r="J150" s="34"/>
      <c r="K150" s="134">
        <f t="shared" si="25"/>
        <v>0</v>
      </c>
      <c r="L150" s="37"/>
    </row>
    <row r="151" spans="2:12" s="131" customFormat="1" ht="12.75">
      <c r="B151" s="461" t="s">
        <v>359</v>
      </c>
      <c r="C151" s="461"/>
      <c r="D151" s="461"/>
      <c r="E151" s="34"/>
      <c r="F151" s="34"/>
      <c r="G151" s="34"/>
      <c r="H151" s="34"/>
      <c r="I151" s="34"/>
      <c r="J151" s="34"/>
      <c r="K151" s="134">
        <f t="shared" si="25"/>
        <v>0</v>
      </c>
      <c r="L151" s="37"/>
    </row>
    <row r="152" spans="2:12" s="131" customFormat="1" ht="12.75">
      <c r="B152" s="461" t="s">
        <v>252</v>
      </c>
      <c r="C152" s="461"/>
      <c r="D152" s="461"/>
      <c r="E152" s="34"/>
      <c r="F152" s="34"/>
      <c r="G152" s="34"/>
      <c r="H152" s="34"/>
      <c r="I152" s="34"/>
      <c r="J152" s="34"/>
      <c r="K152" s="134">
        <f t="shared" si="25"/>
        <v>0</v>
      </c>
      <c r="L152" s="37"/>
    </row>
    <row r="153" spans="2:12" s="131" customFormat="1" ht="12.75">
      <c r="B153" s="462" t="s">
        <v>253</v>
      </c>
      <c r="C153" s="462"/>
      <c r="D153" s="462"/>
      <c r="E153" s="36">
        <v>271378625</v>
      </c>
      <c r="F153" s="36"/>
      <c r="G153" s="36"/>
      <c r="H153" s="36"/>
      <c r="I153" s="36"/>
      <c r="J153" s="36"/>
      <c r="K153" s="133">
        <f t="shared" si="25"/>
        <v>271378625</v>
      </c>
      <c r="L153" s="127"/>
    </row>
    <row r="154" spans="2:12" s="131" customFormat="1" ht="12.75">
      <c r="B154" s="462" t="s">
        <v>254</v>
      </c>
      <c r="C154" s="462"/>
      <c r="D154" s="462"/>
      <c r="E154" s="36"/>
      <c r="F154" s="34"/>
      <c r="G154" s="34"/>
      <c r="H154" s="34"/>
      <c r="I154" s="34"/>
      <c r="J154" s="34"/>
      <c r="K154" s="133">
        <f t="shared" si="25"/>
        <v>0</v>
      </c>
      <c r="L154" s="37"/>
    </row>
    <row r="155" spans="2:12" s="131" customFormat="1" ht="12.75">
      <c r="B155" s="460" t="s">
        <v>255</v>
      </c>
      <c r="C155" s="460"/>
      <c r="D155" s="460"/>
      <c r="E155" s="34"/>
      <c r="F155" s="36"/>
      <c r="G155" s="34"/>
      <c r="H155" s="34"/>
      <c r="I155" s="34"/>
      <c r="J155" s="34"/>
      <c r="K155" s="34"/>
      <c r="L155" s="37"/>
    </row>
    <row r="156" spans="2:12" s="131" customFormat="1" ht="12.75">
      <c r="B156" s="459" t="s">
        <v>248</v>
      </c>
      <c r="C156" s="459"/>
      <c r="D156" s="459"/>
      <c r="E156" s="34"/>
      <c r="F156" s="34"/>
      <c r="G156" s="34"/>
      <c r="H156" s="34"/>
      <c r="I156" s="34"/>
      <c r="J156" s="34"/>
      <c r="K156" s="34"/>
      <c r="L156" s="37"/>
    </row>
    <row r="157" spans="2:12" s="131" customFormat="1" ht="12.75">
      <c r="B157" s="459" t="s">
        <v>249</v>
      </c>
      <c r="C157" s="459"/>
      <c r="D157" s="459"/>
      <c r="E157" s="34"/>
      <c r="F157" s="34"/>
      <c r="G157" s="34"/>
      <c r="H157" s="34"/>
      <c r="I157" s="34"/>
      <c r="J157" s="34"/>
      <c r="K157" s="34"/>
      <c r="L157" s="37"/>
    </row>
    <row r="158" spans="2:12" s="131" customFormat="1" ht="12.75">
      <c r="B158" s="459" t="s">
        <v>256</v>
      </c>
      <c r="C158" s="459"/>
      <c r="D158" s="459"/>
      <c r="E158" s="34"/>
      <c r="F158" s="34"/>
      <c r="G158" s="34"/>
      <c r="H158" s="34"/>
      <c r="I158" s="34"/>
      <c r="J158" s="34"/>
      <c r="K158" s="34"/>
      <c r="L158" s="37"/>
    </row>
    <row r="159" spans="2:12" s="131" customFormat="1" ht="12.75">
      <c r="B159" s="461" t="s">
        <v>251</v>
      </c>
      <c r="C159" s="461"/>
      <c r="D159" s="461"/>
      <c r="E159" s="34"/>
      <c r="F159" s="34"/>
      <c r="G159" s="34"/>
      <c r="H159" s="34"/>
      <c r="I159" s="34"/>
      <c r="J159" s="34"/>
      <c r="K159" s="34"/>
      <c r="L159" s="37"/>
    </row>
    <row r="160" spans="2:12" s="131" customFormat="1" ht="12.75">
      <c r="B160" s="461" t="s">
        <v>252</v>
      </c>
      <c r="C160" s="461"/>
      <c r="D160" s="461"/>
      <c r="E160" s="34"/>
      <c r="F160" s="34"/>
      <c r="G160" s="34"/>
      <c r="H160" s="34"/>
      <c r="I160" s="34"/>
      <c r="J160" s="34"/>
      <c r="K160" s="34"/>
      <c r="L160" s="37"/>
    </row>
    <row r="161" spans="2:12" s="131" customFormat="1" ht="12.75">
      <c r="B161" s="461"/>
      <c r="C161" s="461"/>
      <c r="D161" s="461"/>
      <c r="E161" s="34"/>
      <c r="F161" s="34"/>
      <c r="G161" s="34"/>
      <c r="H161" s="34"/>
      <c r="I161" s="34"/>
      <c r="J161" s="34"/>
      <c r="K161" s="34"/>
      <c r="L161" s="37"/>
    </row>
    <row r="162" spans="2:12" s="131" customFormat="1" ht="12.75">
      <c r="B162" s="460" t="s">
        <v>257</v>
      </c>
      <c r="C162" s="460"/>
      <c r="D162" s="460"/>
      <c r="E162" s="36">
        <f aca="true" t="shared" si="26" ref="E162:K162">E147+E155</f>
        <v>271378625</v>
      </c>
      <c r="F162" s="36">
        <f t="shared" si="26"/>
        <v>0</v>
      </c>
      <c r="G162" s="36">
        <f t="shared" si="26"/>
        <v>0</v>
      </c>
      <c r="H162" s="36">
        <f t="shared" si="26"/>
        <v>0</v>
      </c>
      <c r="I162" s="36">
        <f t="shared" si="26"/>
        <v>0</v>
      </c>
      <c r="J162" s="36">
        <f t="shared" si="26"/>
        <v>0</v>
      </c>
      <c r="K162" s="36">
        <f t="shared" si="26"/>
        <v>271378625</v>
      </c>
      <c r="L162" s="37"/>
    </row>
    <row r="163" spans="2:12" s="131" customFormat="1" ht="12.75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2:12" s="131" customFormat="1" ht="12.75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2:12" s="131" customFormat="1" ht="38.25">
      <c r="B165" s="446" t="s">
        <v>258</v>
      </c>
      <c r="C165" s="446"/>
      <c r="D165" s="446"/>
      <c r="E165" s="71" t="s">
        <v>479</v>
      </c>
      <c r="F165" s="73" t="s">
        <v>559</v>
      </c>
      <c r="G165" s="73">
        <v>2020</v>
      </c>
      <c r="H165" s="73">
        <v>2021</v>
      </c>
      <c r="I165" s="73">
        <v>2022</v>
      </c>
      <c r="J165" s="73">
        <v>2023</v>
      </c>
      <c r="K165" s="73" t="s">
        <v>52</v>
      </c>
      <c r="L165" s="37"/>
    </row>
    <row r="166" spans="2:12" s="131" customFormat="1" ht="12.75">
      <c r="B166" s="460" t="s">
        <v>259</v>
      </c>
      <c r="C166" s="460"/>
      <c r="D166" s="460"/>
      <c r="E166" s="36">
        <f aca="true" t="shared" si="27" ref="E166:K166">E167</f>
        <v>0</v>
      </c>
      <c r="F166" s="36"/>
      <c r="G166" s="36">
        <f>G167</f>
        <v>271378625</v>
      </c>
      <c r="H166" s="36">
        <f>H167</f>
        <v>0</v>
      </c>
      <c r="I166" s="36">
        <f t="shared" si="27"/>
        <v>0</v>
      </c>
      <c r="J166" s="36">
        <f t="shared" si="27"/>
        <v>0</v>
      </c>
      <c r="K166" s="36">
        <f t="shared" si="27"/>
        <v>271378625</v>
      </c>
      <c r="L166" s="127"/>
    </row>
    <row r="167" spans="2:12" s="131" customFormat="1" ht="12.75">
      <c r="B167" s="459" t="s">
        <v>260</v>
      </c>
      <c r="C167" s="459"/>
      <c r="D167" s="459"/>
      <c r="E167" s="34"/>
      <c r="G167" s="34">
        <v>271378625</v>
      </c>
      <c r="H167" s="34"/>
      <c r="I167" s="34"/>
      <c r="J167" s="34"/>
      <c r="K167" s="36">
        <f>SUM(E167:J167)</f>
        <v>271378625</v>
      </c>
      <c r="L167" s="37"/>
    </row>
    <row r="168" spans="2:12" s="131" customFormat="1" ht="12.75">
      <c r="B168" s="461"/>
      <c r="C168" s="461"/>
      <c r="D168" s="461"/>
      <c r="E168" s="34"/>
      <c r="F168" s="34"/>
      <c r="G168" s="34"/>
      <c r="H168" s="34"/>
      <c r="I168" s="34"/>
      <c r="J168" s="34"/>
      <c r="K168" s="34">
        <f>SUM(E168:J168)</f>
        <v>0</v>
      </c>
      <c r="L168" s="37"/>
    </row>
    <row r="169" spans="2:12" s="131" customFormat="1" ht="12.75">
      <c r="B169" s="461"/>
      <c r="C169" s="461"/>
      <c r="D169" s="461"/>
      <c r="E169" s="34"/>
      <c r="F169" s="34"/>
      <c r="G169" s="34"/>
      <c r="H169" s="34"/>
      <c r="I169" s="34"/>
      <c r="J169" s="34"/>
      <c r="K169" s="34"/>
      <c r="L169" s="37"/>
    </row>
    <row r="170" spans="2:12" s="131" customFormat="1" ht="12.75">
      <c r="B170" s="135" t="s">
        <v>261</v>
      </c>
      <c r="C170" s="135"/>
      <c r="D170" s="135"/>
      <c r="E170" s="36"/>
      <c r="F170" s="36"/>
      <c r="G170" s="36"/>
      <c r="H170" s="36"/>
      <c r="I170" s="36"/>
      <c r="J170" s="36"/>
      <c r="K170" s="36"/>
      <c r="L170" s="127"/>
    </row>
    <row r="171" spans="2:12" s="131" customFormat="1" ht="12.75">
      <c r="B171" s="459" t="s">
        <v>414</v>
      </c>
      <c r="C171" s="459"/>
      <c r="D171" s="459"/>
      <c r="E171" s="34"/>
      <c r="F171" s="34"/>
      <c r="G171" s="34"/>
      <c r="H171" s="34"/>
      <c r="I171" s="34"/>
      <c r="J171" s="34"/>
      <c r="K171" s="34"/>
      <c r="L171" s="37"/>
    </row>
    <row r="172" spans="2:12" s="131" customFormat="1" ht="12.75">
      <c r="B172" s="460" t="s">
        <v>262</v>
      </c>
      <c r="C172" s="460"/>
      <c r="D172" s="460"/>
      <c r="E172" s="36">
        <f aca="true" t="shared" si="28" ref="E172:K172">E166+E170</f>
        <v>0</v>
      </c>
      <c r="F172" s="36">
        <f t="shared" si="28"/>
        <v>0</v>
      </c>
      <c r="G172" s="36">
        <f t="shared" si="28"/>
        <v>271378625</v>
      </c>
      <c r="H172" s="36">
        <f t="shared" si="28"/>
        <v>0</v>
      </c>
      <c r="I172" s="36">
        <f t="shared" si="28"/>
        <v>0</v>
      </c>
      <c r="J172" s="36">
        <f t="shared" si="28"/>
        <v>0</v>
      </c>
      <c r="K172" s="36">
        <f t="shared" si="28"/>
        <v>271378625</v>
      </c>
      <c r="L172" s="139">
        <v>0.45454545454545453</v>
      </c>
    </row>
    <row r="173" spans="2:12" ht="12.75">
      <c r="B173" s="51"/>
      <c r="C173" s="50"/>
      <c r="D173" s="50"/>
      <c r="E173" s="52"/>
      <c r="F173" s="52"/>
      <c r="G173" s="52"/>
      <c r="H173" s="52"/>
      <c r="I173" s="52"/>
      <c r="J173" s="52"/>
      <c r="K173" s="52"/>
      <c r="L173" s="63"/>
    </row>
    <row r="174" spans="2:11" ht="12.75">
      <c r="B174" s="51"/>
      <c r="C174" s="50"/>
      <c r="D174" s="50"/>
      <c r="E174" s="52"/>
      <c r="F174" s="52"/>
      <c r="G174" s="52"/>
      <c r="H174" s="52"/>
      <c r="I174" s="52"/>
      <c r="J174" s="52"/>
      <c r="K174" s="52"/>
    </row>
    <row r="175" s="131" customFormat="1" ht="12.75"/>
    <row r="176" spans="2:12" s="131" customFormat="1" ht="12.75">
      <c r="B176" s="463" t="s">
        <v>563</v>
      </c>
      <c r="C176" s="463"/>
      <c r="D176" s="463"/>
      <c r="E176" s="463"/>
      <c r="F176" s="463"/>
      <c r="G176" s="463"/>
      <c r="H176" s="463"/>
      <c r="I176" s="463"/>
      <c r="J176" s="463"/>
      <c r="K176" s="463"/>
      <c r="L176" s="463"/>
    </row>
    <row r="177" spans="2:12" s="131" customFormat="1" ht="12.75">
      <c r="B177" s="464" t="s">
        <v>564</v>
      </c>
      <c r="C177" s="464"/>
      <c r="D177" s="464"/>
      <c r="E177" s="464"/>
      <c r="F177" s="464"/>
      <c r="G177" s="464"/>
      <c r="H177" s="464"/>
      <c r="I177" s="464"/>
      <c r="J177" s="464"/>
      <c r="K177" s="464"/>
      <c r="L177" s="464"/>
    </row>
    <row r="178" spans="2:12" s="131" customFormat="1" ht="12.75">
      <c r="B178" s="37"/>
      <c r="C178" s="37"/>
      <c r="D178" s="37"/>
      <c r="E178" s="37"/>
      <c r="F178" s="37"/>
      <c r="G178" s="37"/>
      <c r="H178" s="37"/>
      <c r="I178" s="37"/>
      <c r="J178" s="37"/>
      <c r="K178" s="77" t="s">
        <v>423</v>
      </c>
      <c r="L178" s="37"/>
    </row>
    <row r="179" spans="2:12" s="131" customFormat="1" ht="38.25">
      <c r="B179" s="447" t="s">
        <v>246</v>
      </c>
      <c r="C179" s="447"/>
      <c r="D179" s="447"/>
      <c r="E179" s="71" t="s">
        <v>472</v>
      </c>
      <c r="F179" s="73" t="s">
        <v>559</v>
      </c>
      <c r="G179" s="73">
        <v>2020</v>
      </c>
      <c r="H179" s="73">
        <v>2021</v>
      </c>
      <c r="I179" s="73">
        <v>2022</v>
      </c>
      <c r="J179" s="73">
        <v>2023</v>
      </c>
      <c r="K179" s="73" t="s">
        <v>52</v>
      </c>
      <c r="L179" s="37"/>
    </row>
    <row r="180" spans="2:12" s="131" customFormat="1" ht="12.75">
      <c r="B180" s="447" t="s">
        <v>247</v>
      </c>
      <c r="C180" s="447"/>
      <c r="D180" s="447"/>
      <c r="E180" s="133">
        <f aca="true" t="shared" si="29" ref="E180:K180">E181+E186+E187</f>
        <v>0</v>
      </c>
      <c r="F180" s="133">
        <f t="shared" si="29"/>
        <v>127000000</v>
      </c>
      <c r="G180" s="133">
        <f t="shared" si="29"/>
        <v>0</v>
      </c>
      <c r="H180" s="133">
        <f t="shared" si="29"/>
        <v>0</v>
      </c>
      <c r="I180" s="133">
        <f t="shared" si="29"/>
        <v>0</v>
      </c>
      <c r="J180" s="133">
        <f t="shared" si="29"/>
        <v>0</v>
      </c>
      <c r="K180" s="133">
        <f t="shared" si="29"/>
        <v>127000000</v>
      </c>
      <c r="L180" s="127"/>
    </row>
    <row r="181" spans="2:12" s="131" customFormat="1" ht="12.75">
      <c r="B181" s="460" t="s">
        <v>248</v>
      </c>
      <c r="C181" s="460"/>
      <c r="D181" s="460"/>
      <c r="E181" s="36">
        <f aca="true" t="shared" si="30" ref="E181:J181">SUM(E182:E185)</f>
        <v>0</v>
      </c>
      <c r="F181" s="36">
        <f t="shared" si="30"/>
        <v>0</v>
      </c>
      <c r="G181" s="36">
        <f t="shared" si="30"/>
        <v>0</v>
      </c>
      <c r="H181" s="36">
        <f t="shared" si="30"/>
        <v>0</v>
      </c>
      <c r="I181" s="36">
        <f t="shared" si="30"/>
        <v>0</v>
      </c>
      <c r="J181" s="36">
        <f t="shared" si="30"/>
        <v>0</v>
      </c>
      <c r="K181" s="133">
        <f aca="true" t="shared" si="31" ref="K181:K187">SUM(E181:J181)</f>
        <v>0</v>
      </c>
      <c r="L181" s="127"/>
    </row>
    <row r="182" spans="2:12" s="131" customFormat="1" ht="12.75">
      <c r="B182" s="459" t="s">
        <v>249</v>
      </c>
      <c r="C182" s="459"/>
      <c r="D182" s="459"/>
      <c r="E182" s="34"/>
      <c r="F182" s="34"/>
      <c r="G182" s="34"/>
      <c r="H182" s="34"/>
      <c r="I182" s="34"/>
      <c r="J182" s="34"/>
      <c r="K182" s="134">
        <f t="shared" si="31"/>
        <v>0</v>
      </c>
      <c r="L182" s="37"/>
    </row>
    <row r="183" spans="2:12" s="131" customFormat="1" ht="12.75">
      <c r="B183" s="459" t="s">
        <v>250</v>
      </c>
      <c r="C183" s="459"/>
      <c r="D183" s="459"/>
      <c r="E183" s="34"/>
      <c r="F183" s="34"/>
      <c r="G183" s="34"/>
      <c r="H183" s="34"/>
      <c r="I183" s="34"/>
      <c r="J183" s="34"/>
      <c r="K183" s="134">
        <f t="shared" si="31"/>
        <v>0</v>
      </c>
      <c r="L183" s="37"/>
    </row>
    <row r="184" spans="2:12" s="131" customFormat="1" ht="12.75">
      <c r="B184" s="461" t="s">
        <v>359</v>
      </c>
      <c r="C184" s="461"/>
      <c r="D184" s="461"/>
      <c r="E184" s="34"/>
      <c r="F184" s="34"/>
      <c r="G184" s="34"/>
      <c r="H184" s="34"/>
      <c r="I184" s="34"/>
      <c r="J184" s="34"/>
      <c r="K184" s="134">
        <f t="shared" si="31"/>
        <v>0</v>
      </c>
      <c r="L184" s="37"/>
    </row>
    <row r="185" spans="2:12" s="131" customFormat="1" ht="12.75">
      <c r="B185" s="461" t="s">
        <v>252</v>
      </c>
      <c r="C185" s="461"/>
      <c r="D185" s="461"/>
      <c r="E185" s="34"/>
      <c r="F185" s="34"/>
      <c r="G185" s="34"/>
      <c r="H185" s="34"/>
      <c r="I185" s="34"/>
      <c r="J185" s="34"/>
      <c r="K185" s="134">
        <f t="shared" si="31"/>
        <v>0</v>
      </c>
      <c r="L185" s="37"/>
    </row>
    <row r="186" spans="2:12" s="131" customFormat="1" ht="12.75">
      <c r="B186" s="462" t="s">
        <v>253</v>
      </c>
      <c r="C186" s="462"/>
      <c r="D186" s="462"/>
      <c r="E186" s="36"/>
      <c r="F186" s="36">
        <v>127000000</v>
      </c>
      <c r="G186" s="36"/>
      <c r="H186" s="36"/>
      <c r="I186" s="36"/>
      <c r="J186" s="36"/>
      <c r="K186" s="133">
        <f t="shared" si="31"/>
        <v>127000000</v>
      </c>
      <c r="L186" s="127"/>
    </row>
    <row r="187" spans="2:12" s="131" customFormat="1" ht="12.75">
      <c r="B187" s="462" t="s">
        <v>254</v>
      </c>
      <c r="C187" s="462"/>
      <c r="D187" s="462"/>
      <c r="E187" s="36"/>
      <c r="F187" s="34"/>
      <c r="G187" s="34"/>
      <c r="H187" s="34"/>
      <c r="I187" s="34"/>
      <c r="J187" s="34"/>
      <c r="K187" s="133">
        <f t="shared" si="31"/>
        <v>0</v>
      </c>
      <c r="L187" s="37"/>
    </row>
    <row r="188" spans="2:12" s="131" customFormat="1" ht="12.75">
      <c r="B188" s="460" t="s">
        <v>255</v>
      </c>
      <c r="C188" s="460"/>
      <c r="D188" s="460"/>
      <c r="E188" s="34"/>
      <c r="F188" s="36"/>
      <c r="G188" s="34"/>
      <c r="H188" s="34"/>
      <c r="I188" s="34"/>
      <c r="J188" s="34"/>
      <c r="K188" s="34"/>
      <c r="L188" s="37"/>
    </row>
    <row r="189" spans="2:12" s="131" customFormat="1" ht="12.75">
      <c r="B189" s="459" t="s">
        <v>248</v>
      </c>
      <c r="C189" s="459"/>
      <c r="D189" s="459"/>
      <c r="E189" s="34"/>
      <c r="F189" s="34"/>
      <c r="G189" s="34"/>
      <c r="H189" s="34"/>
      <c r="I189" s="34"/>
      <c r="J189" s="34"/>
      <c r="K189" s="34"/>
      <c r="L189" s="37"/>
    </row>
    <row r="190" spans="2:12" s="131" customFormat="1" ht="12.75">
      <c r="B190" s="459" t="s">
        <v>249</v>
      </c>
      <c r="C190" s="459"/>
      <c r="D190" s="459"/>
      <c r="E190" s="34"/>
      <c r="F190" s="34"/>
      <c r="G190" s="34"/>
      <c r="H190" s="34"/>
      <c r="I190" s="34"/>
      <c r="J190" s="34"/>
      <c r="K190" s="34"/>
      <c r="L190" s="37"/>
    </row>
    <row r="191" spans="2:12" s="131" customFormat="1" ht="12.75">
      <c r="B191" s="459" t="s">
        <v>256</v>
      </c>
      <c r="C191" s="459"/>
      <c r="D191" s="459"/>
      <c r="E191" s="34"/>
      <c r="F191" s="34"/>
      <c r="G191" s="34"/>
      <c r="H191" s="34"/>
      <c r="I191" s="34"/>
      <c r="J191" s="34"/>
      <c r="K191" s="34"/>
      <c r="L191" s="37"/>
    </row>
    <row r="192" spans="2:12" s="131" customFormat="1" ht="12.75">
      <c r="B192" s="461" t="s">
        <v>251</v>
      </c>
      <c r="C192" s="461"/>
      <c r="D192" s="461"/>
      <c r="E192" s="34"/>
      <c r="F192" s="34"/>
      <c r="G192" s="34"/>
      <c r="H192" s="34"/>
      <c r="I192" s="34"/>
      <c r="J192" s="34"/>
      <c r="K192" s="34"/>
      <c r="L192" s="37"/>
    </row>
    <row r="193" spans="2:12" s="131" customFormat="1" ht="12.75">
      <c r="B193" s="461" t="s">
        <v>252</v>
      </c>
      <c r="C193" s="461"/>
      <c r="D193" s="461"/>
      <c r="E193" s="34"/>
      <c r="F193" s="34"/>
      <c r="G193" s="34"/>
      <c r="H193" s="34"/>
      <c r="I193" s="34"/>
      <c r="J193" s="34"/>
      <c r="K193" s="34"/>
      <c r="L193" s="37"/>
    </row>
    <row r="194" spans="2:12" s="131" customFormat="1" ht="12.75">
      <c r="B194" s="461"/>
      <c r="C194" s="461"/>
      <c r="D194" s="461"/>
      <c r="E194" s="34"/>
      <c r="F194" s="34"/>
      <c r="G194" s="34"/>
      <c r="H194" s="34"/>
      <c r="I194" s="34"/>
      <c r="J194" s="34"/>
      <c r="K194" s="34"/>
      <c r="L194" s="37"/>
    </row>
    <row r="195" spans="2:12" s="131" customFormat="1" ht="12.75">
      <c r="B195" s="460" t="s">
        <v>257</v>
      </c>
      <c r="C195" s="460"/>
      <c r="D195" s="460"/>
      <c r="E195" s="36">
        <f aca="true" t="shared" si="32" ref="E195:K195">E180+E188</f>
        <v>0</v>
      </c>
      <c r="F195" s="36">
        <f t="shared" si="32"/>
        <v>127000000</v>
      </c>
      <c r="G195" s="36">
        <f t="shared" si="32"/>
        <v>0</v>
      </c>
      <c r="H195" s="36">
        <f t="shared" si="32"/>
        <v>0</v>
      </c>
      <c r="I195" s="36">
        <f t="shared" si="32"/>
        <v>0</v>
      </c>
      <c r="J195" s="36">
        <f t="shared" si="32"/>
        <v>0</v>
      </c>
      <c r="K195" s="36">
        <f t="shared" si="32"/>
        <v>127000000</v>
      </c>
      <c r="L195" s="37"/>
    </row>
    <row r="196" spans="2:12" s="131" customFormat="1" ht="12.75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2:12" s="131" customFormat="1" ht="12.75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2:12" s="131" customFormat="1" ht="38.25">
      <c r="B198" s="446" t="s">
        <v>258</v>
      </c>
      <c r="C198" s="446"/>
      <c r="D198" s="446"/>
      <c r="E198" s="71" t="s">
        <v>479</v>
      </c>
      <c r="F198" s="73" t="s">
        <v>559</v>
      </c>
      <c r="G198" s="73">
        <v>2020</v>
      </c>
      <c r="H198" s="73">
        <v>2021</v>
      </c>
      <c r="I198" s="73">
        <v>2022</v>
      </c>
      <c r="J198" s="73">
        <v>2023</v>
      </c>
      <c r="K198" s="73" t="s">
        <v>52</v>
      </c>
      <c r="L198" s="37"/>
    </row>
    <row r="199" spans="2:12" s="131" customFormat="1" ht="12.75">
      <c r="B199" s="460" t="s">
        <v>259</v>
      </c>
      <c r="C199" s="460"/>
      <c r="D199" s="460"/>
      <c r="E199" s="36">
        <f aca="true" t="shared" si="33" ref="E199:K199">E200</f>
        <v>0</v>
      </c>
      <c r="F199" s="36">
        <f>F200</f>
        <v>127000000</v>
      </c>
      <c r="G199" s="36">
        <f>G200</f>
        <v>0</v>
      </c>
      <c r="H199" s="36">
        <f>H200</f>
        <v>0</v>
      </c>
      <c r="I199" s="36">
        <f t="shared" si="33"/>
        <v>0</v>
      </c>
      <c r="J199" s="36">
        <f t="shared" si="33"/>
        <v>0</v>
      </c>
      <c r="K199" s="36">
        <f t="shared" si="33"/>
        <v>127000000</v>
      </c>
      <c r="L199" s="127"/>
    </row>
    <row r="200" spans="2:12" s="131" customFormat="1" ht="12.75">
      <c r="B200" s="459" t="s">
        <v>260</v>
      </c>
      <c r="C200" s="459"/>
      <c r="D200" s="459"/>
      <c r="E200" s="34"/>
      <c r="F200" s="34">
        <v>127000000</v>
      </c>
      <c r="G200" s="34"/>
      <c r="H200" s="34"/>
      <c r="I200" s="34"/>
      <c r="J200" s="34"/>
      <c r="K200" s="36">
        <f>SUM(E200:J200)</f>
        <v>127000000</v>
      </c>
      <c r="L200" s="37"/>
    </row>
    <row r="201" spans="2:12" s="131" customFormat="1" ht="12.75">
      <c r="B201" s="461"/>
      <c r="C201" s="461"/>
      <c r="D201" s="461"/>
      <c r="E201" s="34"/>
      <c r="F201" s="34"/>
      <c r="G201" s="34"/>
      <c r="H201" s="34"/>
      <c r="I201" s="34"/>
      <c r="J201" s="34"/>
      <c r="K201" s="34">
        <f>SUM(E201:J201)</f>
        <v>0</v>
      </c>
      <c r="L201" s="37"/>
    </row>
    <row r="202" spans="2:12" s="131" customFormat="1" ht="12.75">
      <c r="B202" s="461"/>
      <c r="C202" s="461"/>
      <c r="D202" s="461"/>
      <c r="E202" s="34"/>
      <c r="F202" s="34"/>
      <c r="G202" s="34"/>
      <c r="H202" s="34"/>
      <c r="I202" s="34"/>
      <c r="J202" s="34"/>
      <c r="K202" s="34"/>
      <c r="L202" s="37"/>
    </row>
    <row r="203" spans="2:12" s="131" customFormat="1" ht="12.75">
      <c r="B203" s="135" t="s">
        <v>261</v>
      </c>
      <c r="C203" s="135"/>
      <c r="D203" s="135"/>
      <c r="E203" s="36"/>
      <c r="F203" s="36"/>
      <c r="G203" s="36"/>
      <c r="H203" s="36"/>
      <c r="I203" s="36"/>
      <c r="J203" s="36"/>
      <c r="K203" s="36"/>
      <c r="L203" s="127"/>
    </row>
    <row r="204" spans="2:12" s="131" customFormat="1" ht="12.75">
      <c r="B204" s="459" t="s">
        <v>414</v>
      </c>
      <c r="C204" s="459"/>
      <c r="D204" s="459"/>
      <c r="E204" s="34"/>
      <c r="F204" s="34"/>
      <c r="G204" s="34"/>
      <c r="H204" s="34"/>
      <c r="I204" s="34"/>
      <c r="J204" s="34"/>
      <c r="K204" s="34"/>
      <c r="L204" s="37"/>
    </row>
    <row r="205" spans="2:12" s="131" customFormat="1" ht="12.75">
      <c r="B205" s="460" t="s">
        <v>262</v>
      </c>
      <c r="C205" s="460"/>
      <c r="D205" s="460"/>
      <c r="E205" s="36">
        <f aca="true" t="shared" si="34" ref="E205:K205">E199+E203</f>
        <v>0</v>
      </c>
      <c r="F205" s="36">
        <f t="shared" si="34"/>
        <v>127000000</v>
      </c>
      <c r="G205" s="36">
        <f t="shared" si="34"/>
        <v>0</v>
      </c>
      <c r="H205" s="36">
        <f t="shared" si="34"/>
        <v>0</v>
      </c>
      <c r="I205" s="36">
        <f t="shared" si="34"/>
        <v>0</v>
      </c>
      <c r="J205" s="36">
        <f t="shared" si="34"/>
        <v>0</v>
      </c>
      <c r="K205" s="36">
        <f t="shared" si="34"/>
        <v>127000000</v>
      </c>
      <c r="L205" s="139">
        <v>0.5454545454545454</v>
      </c>
    </row>
    <row r="206" spans="2:12" s="131" customFormat="1" ht="12.75">
      <c r="B206" s="51"/>
      <c r="C206" s="50"/>
      <c r="D206" s="50"/>
      <c r="E206" s="52"/>
      <c r="F206" s="52"/>
      <c r="G206" s="52"/>
      <c r="H206" s="52"/>
      <c r="I206" s="52"/>
      <c r="J206" s="52"/>
      <c r="K206" s="52"/>
      <c r="L206" s="63"/>
    </row>
    <row r="207" spans="2:12" s="131" customFormat="1" ht="12.75"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</row>
    <row r="208" spans="2:12" s="131" customFormat="1" ht="12.75"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</row>
    <row r="209" spans="2:12" s="131" customFormat="1" ht="12.75">
      <c r="B209" s="463" t="s">
        <v>435</v>
      </c>
      <c r="C209" s="463"/>
      <c r="D209" s="463"/>
      <c r="E209" s="463"/>
      <c r="F209" s="463"/>
      <c r="G209" s="463"/>
      <c r="H209" s="463"/>
      <c r="I209" s="463"/>
      <c r="J209" s="463"/>
      <c r="K209" s="463"/>
      <c r="L209" s="463"/>
    </row>
    <row r="210" spans="2:12" s="131" customFormat="1" ht="12.75">
      <c r="B210" s="464" t="s">
        <v>436</v>
      </c>
      <c r="C210" s="464"/>
      <c r="D210" s="464"/>
      <c r="E210" s="464"/>
      <c r="F210" s="464"/>
      <c r="G210" s="464"/>
      <c r="H210" s="464"/>
      <c r="I210" s="464"/>
      <c r="J210" s="464"/>
      <c r="K210" s="464"/>
      <c r="L210" s="464"/>
    </row>
    <row r="211" spans="2:12" s="131" customFormat="1" ht="12.75">
      <c r="B211" s="37"/>
      <c r="C211" s="37"/>
      <c r="D211" s="37"/>
      <c r="E211" s="37"/>
      <c r="F211" s="37"/>
      <c r="G211" s="37"/>
      <c r="H211" s="37"/>
      <c r="I211" s="37"/>
      <c r="J211" s="37"/>
      <c r="K211" s="77" t="s">
        <v>423</v>
      </c>
      <c r="L211" s="37"/>
    </row>
    <row r="212" spans="2:12" s="131" customFormat="1" ht="38.25">
      <c r="B212" s="466" t="s">
        <v>246</v>
      </c>
      <c r="C212" s="467"/>
      <c r="D212" s="468"/>
      <c r="E212" s="71" t="s">
        <v>421</v>
      </c>
      <c r="F212" s="73">
        <v>2018</v>
      </c>
      <c r="G212" s="73">
        <v>2019</v>
      </c>
      <c r="H212" s="73">
        <v>2020</v>
      </c>
      <c r="I212" s="73">
        <v>2021</v>
      </c>
      <c r="J212" s="73">
        <v>2022</v>
      </c>
      <c r="K212" s="73" t="s">
        <v>52</v>
      </c>
      <c r="L212" s="37"/>
    </row>
    <row r="213" spans="2:12" s="131" customFormat="1" ht="12.75">
      <c r="B213" s="466" t="s">
        <v>247</v>
      </c>
      <c r="C213" s="467"/>
      <c r="D213" s="468"/>
      <c r="E213" s="133">
        <f aca="true" t="shared" si="35" ref="E213:K213">E214+E219+E220</f>
        <v>0</v>
      </c>
      <c r="F213" s="133">
        <f t="shared" si="35"/>
        <v>27739026</v>
      </c>
      <c r="G213" s="133">
        <v>8188581</v>
      </c>
      <c r="H213" s="133">
        <f t="shared" si="35"/>
        <v>18101169</v>
      </c>
      <c r="I213" s="133">
        <f t="shared" si="35"/>
        <v>13841876</v>
      </c>
      <c r="J213" s="133">
        <f t="shared" si="35"/>
        <v>0</v>
      </c>
      <c r="K213" s="133">
        <f t="shared" si="35"/>
        <v>67870652</v>
      </c>
      <c r="L213" s="127"/>
    </row>
    <row r="214" spans="2:12" s="131" customFormat="1" ht="12.75">
      <c r="B214" s="469" t="s">
        <v>248</v>
      </c>
      <c r="C214" s="470"/>
      <c r="D214" s="471"/>
      <c r="E214" s="36">
        <f aca="true" t="shared" si="36" ref="E214:J214">SUM(E215:E218)</f>
        <v>0</v>
      </c>
      <c r="F214" s="36">
        <f t="shared" si="36"/>
        <v>0</v>
      </c>
      <c r="G214" s="36">
        <f t="shared" si="36"/>
        <v>0</v>
      </c>
      <c r="H214" s="36">
        <f t="shared" si="36"/>
        <v>0</v>
      </c>
      <c r="I214" s="36">
        <f t="shared" si="36"/>
        <v>0</v>
      </c>
      <c r="J214" s="36">
        <f t="shared" si="36"/>
        <v>0</v>
      </c>
      <c r="K214" s="133">
        <f aca="true" t="shared" si="37" ref="K214:K220">SUM(E214:J214)</f>
        <v>0</v>
      </c>
      <c r="L214" s="127"/>
    </row>
    <row r="215" spans="2:12" s="131" customFormat="1" ht="12.75">
      <c r="B215" s="472" t="s">
        <v>249</v>
      </c>
      <c r="C215" s="473"/>
      <c r="D215" s="474"/>
      <c r="E215" s="34"/>
      <c r="F215" s="34"/>
      <c r="G215" s="34"/>
      <c r="H215" s="34"/>
      <c r="I215" s="34"/>
      <c r="J215" s="34"/>
      <c r="K215" s="134">
        <f t="shared" si="37"/>
        <v>0</v>
      </c>
      <c r="L215" s="37"/>
    </row>
    <row r="216" spans="2:12" s="131" customFormat="1" ht="12.75">
      <c r="B216" s="472" t="s">
        <v>250</v>
      </c>
      <c r="C216" s="473"/>
      <c r="D216" s="474"/>
      <c r="E216" s="34"/>
      <c r="F216" s="34"/>
      <c r="G216" s="34"/>
      <c r="H216" s="34"/>
      <c r="I216" s="34"/>
      <c r="J216" s="34"/>
      <c r="K216" s="134">
        <f t="shared" si="37"/>
        <v>0</v>
      </c>
      <c r="L216" s="37"/>
    </row>
    <row r="217" spans="2:12" s="131" customFormat="1" ht="12.75">
      <c r="B217" s="475" t="s">
        <v>359</v>
      </c>
      <c r="C217" s="476"/>
      <c r="D217" s="477"/>
      <c r="E217" s="34"/>
      <c r="F217" s="34"/>
      <c r="G217" s="34"/>
      <c r="H217" s="34"/>
      <c r="I217" s="34"/>
      <c r="J217" s="34"/>
      <c r="K217" s="134">
        <f t="shared" si="37"/>
        <v>0</v>
      </c>
      <c r="L217" s="37"/>
    </row>
    <row r="218" spans="2:12" s="131" customFormat="1" ht="12.75">
      <c r="B218" s="475" t="s">
        <v>252</v>
      </c>
      <c r="C218" s="476"/>
      <c r="D218" s="477"/>
      <c r="E218" s="34"/>
      <c r="F218" s="34"/>
      <c r="G218" s="34"/>
      <c r="H218" s="34"/>
      <c r="I218" s="34"/>
      <c r="J218" s="34"/>
      <c r="K218" s="134">
        <f t="shared" si="37"/>
        <v>0</v>
      </c>
      <c r="L218" s="37"/>
    </row>
    <row r="219" spans="2:12" s="131" customFormat="1" ht="12.75">
      <c r="B219" s="478" t="s">
        <v>253</v>
      </c>
      <c r="C219" s="479"/>
      <c r="D219" s="480"/>
      <c r="E219" s="36"/>
      <c r="F219" s="36">
        <v>27739026</v>
      </c>
      <c r="G219" s="36">
        <v>8188581</v>
      </c>
      <c r="H219" s="36">
        <v>18101169</v>
      </c>
      <c r="I219" s="36">
        <v>13841876</v>
      </c>
      <c r="J219" s="36"/>
      <c r="K219" s="133">
        <f t="shared" si="37"/>
        <v>67870652</v>
      </c>
      <c r="L219" s="127"/>
    </row>
    <row r="220" spans="2:12" s="131" customFormat="1" ht="12.75">
      <c r="B220" s="478" t="s">
        <v>254</v>
      </c>
      <c r="C220" s="479"/>
      <c r="D220" s="480"/>
      <c r="E220" s="36"/>
      <c r="F220" s="34"/>
      <c r="G220" s="34"/>
      <c r="H220" s="34"/>
      <c r="I220" s="34"/>
      <c r="J220" s="34"/>
      <c r="K220" s="133">
        <f t="shared" si="37"/>
        <v>0</v>
      </c>
      <c r="L220" s="37"/>
    </row>
    <row r="221" spans="2:12" s="131" customFormat="1" ht="12.75">
      <c r="B221" s="460" t="s">
        <v>255</v>
      </c>
      <c r="C221" s="460"/>
      <c r="D221" s="460"/>
      <c r="E221" s="34"/>
      <c r="F221" s="36"/>
      <c r="G221" s="34"/>
      <c r="H221" s="34"/>
      <c r="I221" s="34"/>
      <c r="J221" s="34"/>
      <c r="K221" s="34"/>
      <c r="L221" s="37"/>
    </row>
    <row r="222" spans="2:12" s="131" customFormat="1" ht="12.75">
      <c r="B222" s="459" t="s">
        <v>248</v>
      </c>
      <c r="C222" s="459"/>
      <c r="D222" s="459"/>
      <c r="E222" s="34"/>
      <c r="F222" s="34"/>
      <c r="G222" s="34"/>
      <c r="H222" s="34"/>
      <c r="I222" s="34"/>
      <c r="J222" s="34"/>
      <c r="K222" s="34"/>
      <c r="L222" s="37"/>
    </row>
    <row r="223" spans="2:12" s="131" customFormat="1" ht="12.75">
      <c r="B223" s="459" t="s">
        <v>249</v>
      </c>
      <c r="C223" s="459"/>
      <c r="D223" s="459"/>
      <c r="E223" s="34"/>
      <c r="F223" s="34"/>
      <c r="G223" s="34"/>
      <c r="H223" s="34"/>
      <c r="I223" s="34"/>
      <c r="J223" s="34"/>
      <c r="K223" s="34"/>
      <c r="L223" s="37"/>
    </row>
    <row r="224" spans="2:12" s="131" customFormat="1" ht="12.75">
      <c r="B224" s="459" t="s">
        <v>256</v>
      </c>
      <c r="C224" s="459"/>
      <c r="D224" s="459"/>
      <c r="E224" s="34"/>
      <c r="F224" s="34"/>
      <c r="G224" s="34"/>
      <c r="H224" s="34"/>
      <c r="I224" s="34"/>
      <c r="J224" s="34"/>
      <c r="K224" s="34"/>
      <c r="L224" s="37"/>
    </row>
    <row r="225" spans="2:12" s="131" customFormat="1" ht="12.75">
      <c r="B225" s="461" t="s">
        <v>251</v>
      </c>
      <c r="C225" s="461"/>
      <c r="D225" s="461"/>
      <c r="E225" s="34"/>
      <c r="F225" s="34"/>
      <c r="G225" s="34"/>
      <c r="H225" s="34"/>
      <c r="I225" s="34"/>
      <c r="J225" s="34"/>
      <c r="K225" s="34"/>
      <c r="L225" s="37"/>
    </row>
    <row r="226" spans="2:12" s="131" customFormat="1" ht="12.75">
      <c r="B226" s="461" t="s">
        <v>252</v>
      </c>
      <c r="C226" s="461"/>
      <c r="D226" s="461"/>
      <c r="E226" s="34"/>
      <c r="F226" s="34"/>
      <c r="G226" s="34"/>
      <c r="H226" s="34"/>
      <c r="I226" s="34"/>
      <c r="J226" s="34"/>
      <c r="K226" s="34"/>
      <c r="L226" s="37"/>
    </row>
    <row r="227" spans="2:12" s="131" customFormat="1" ht="12.75">
      <c r="B227" s="461"/>
      <c r="C227" s="461"/>
      <c r="D227" s="461"/>
      <c r="E227" s="34"/>
      <c r="F227" s="34"/>
      <c r="G227" s="34"/>
      <c r="H227" s="34"/>
      <c r="I227" s="34"/>
      <c r="J227" s="34"/>
      <c r="K227" s="34"/>
      <c r="L227" s="37"/>
    </row>
    <row r="228" spans="2:12" s="131" customFormat="1" ht="12.75">
      <c r="B228" s="460" t="s">
        <v>257</v>
      </c>
      <c r="C228" s="460"/>
      <c r="D228" s="460"/>
      <c r="E228" s="36">
        <f aca="true" t="shared" si="38" ref="E228:K228">E213+E221</f>
        <v>0</v>
      </c>
      <c r="F228" s="36">
        <f t="shared" si="38"/>
        <v>27739026</v>
      </c>
      <c r="G228" s="36">
        <f t="shared" si="38"/>
        <v>8188581</v>
      </c>
      <c r="H228" s="36">
        <f t="shared" si="38"/>
        <v>18101169</v>
      </c>
      <c r="I228" s="36">
        <f t="shared" si="38"/>
        <v>13841876</v>
      </c>
      <c r="J228" s="36">
        <f t="shared" si="38"/>
        <v>0</v>
      </c>
      <c r="K228" s="36">
        <f t="shared" si="38"/>
        <v>67870652</v>
      </c>
      <c r="L228" s="37"/>
    </row>
    <row r="229" spans="2:12" s="131" customFormat="1" ht="12.7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2:12" s="131" customFormat="1" ht="12.7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2:12" s="131" customFormat="1" ht="38.25">
      <c r="B231" s="446" t="s">
        <v>258</v>
      </c>
      <c r="C231" s="446"/>
      <c r="D231" s="446"/>
      <c r="E231" s="71" t="s">
        <v>422</v>
      </c>
      <c r="F231" s="73" t="s">
        <v>561</v>
      </c>
      <c r="G231" s="73" t="s">
        <v>559</v>
      </c>
      <c r="H231" s="73">
        <v>2020</v>
      </c>
      <c r="I231" s="73">
        <v>2021</v>
      </c>
      <c r="J231" s="73">
        <v>2022</v>
      </c>
      <c r="K231" s="73" t="s">
        <v>52</v>
      </c>
      <c r="L231" s="37"/>
    </row>
    <row r="232" spans="2:12" s="131" customFormat="1" ht="12.75">
      <c r="B232" s="460" t="s">
        <v>259</v>
      </c>
      <c r="C232" s="460"/>
      <c r="D232" s="460"/>
      <c r="E232" s="36">
        <f aca="true" t="shared" si="39" ref="E232:K232">E233</f>
        <v>2400000</v>
      </c>
      <c r="F232" s="36">
        <f t="shared" si="39"/>
        <v>11042739</v>
      </c>
      <c r="G232" s="36">
        <f t="shared" si="39"/>
        <v>8781556</v>
      </c>
      <c r="H232" s="36">
        <f t="shared" si="39"/>
        <v>26804741</v>
      </c>
      <c r="I232" s="36">
        <f t="shared" si="39"/>
        <v>13841876</v>
      </c>
      <c r="J232" s="36">
        <f t="shared" si="39"/>
        <v>0</v>
      </c>
      <c r="K232" s="36">
        <f t="shared" si="39"/>
        <v>62870912</v>
      </c>
      <c r="L232" s="127"/>
    </row>
    <row r="233" spans="2:12" s="131" customFormat="1" ht="12.75">
      <c r="B233" s="459" t="s">
        <v>260</v>
      </c>
      <c r="C233" s="459"/>
      <c r="D233" s="459"/>
      <c r="E233" s="34">
        <v>2400000</v>
      </c>
      <c r="F233" s="34">
        <v>11042739</v>
      </c>
      <c r="G233" s="34">
        <f>8703572+78029-45</f>
        <v>8781556</v>
      </c>
      <c r="H233" s="34">
        <v>26804741</v>
      </c>
      <c r="I233" s="34">
        <v>13841876</v>
      </c>
      <c r="J233" s="34"/>
      <c r="K233" s="36">
        <f>SUM(E233:J233)</f>
        <v>62870912</v>
      </c>
      <c r="L233" s="37"/>
    </row>
    <row r="234" spans="2:12" s="131" customFormat="1" ht="12.75">
      <c r="B234" s="461"/>
      <c r="C234" s="461"/>
      <c r="D234" s="461"/>
      <c r="E234" s="34"/>
      <c r="F234" s="34"/>
      <c r="G234" s="34"/>
      <c r="H234" s="34"/>
      <c r="I234" s="34"/>
      <c r="J234" s="34"/>
      <c r="K234" s="34">
        <f>SUM(E234:J234)</f>
        <v>0</v>
      </c>
      <c r="L234" s="37"/>
    </row>
    <row r="235" spans="2:12" s="131" customFormat="1" ht="12.75">
      <c r="B235" s="461"/>
      <c r="C235" s="461"/>
      <c r="D235" s="461"/>
      <c r="E235" s="34"/>
      <c r="F235" s="34"/>
      <c r="G235" s="34"/>
      <c r="H235" s="34"/>
      <c r="I235" s="34"/>
      <c r="J235" s="34"/>
      <c r="K235" s="34"/>
      <c r="L235" s="37"/>
    </row>
    <row r="236" spans="2:12" s="131" customFormat="1" ht="12.75">
      <c r="B236" s="135" t="s">
        <v>261</v>
      </c>
      <c r="C236" s="135"/>
      <c r="D236" s="135"/>
      <c r="E236" s="36"/>
      <c r="F236" s="36"/>
      <c r="G236" s="36"/>
      <c r="H236" s="36"/>
      <c r="I236" s="36"/>
      <c r="J236" s="36"/>
      <c r="K236" s="36"/>
      <c r="L236" s="127"/>
    </row>
    <row r="237" spans="2:12" s="131" customFormat="1" ht="12.75">
      <c r="B237" s="459" t="s">
        <v>414</v>
      </c>
      <c r="C237" s="459"/>
      <c r="D237" s="459"/>
      <c r="E237" s="34"/>
      <c r="F237" s="34"/>
      <c r="G237" s="34"/>
      <c r="H237" s="34"/>
      <c r="I237" s="34"/>
      <c r="J237" s="34"/>
      <c r="K237" s="34"/>
      <c r="L237" s="37"/>
    </row>
    <row r="238" spans="2:12" s="131" customFormat="1" ht="12.75">
      <c r="B238" s="460" t="s">
        <v>262</v>
      </c>
      <c r="C238" s="460"/>
      <c r="D238" s="460"/>
      <c r="E238" s="36">
        <f>E232+E236</f>
        <v>2400000</v>
      </c>
      <c r="F238" s="36">
        <f aca="true" t="shared" si="40" ref="F238:K238">F232+F236</f>
        <v>11042739</v>
      </c>
      <c r="G238" s="36">
        <f t="shared" si="40"/>
        <v>8781556</v>
      </c>
      <c r="H238" s="36">
        <f t="shared" si="40"/>
        <v>26804741</v>
      </c>
      <c r="I238" s="36">
        <f t="shared" si="40"/>
        <v>13841876</v>
      </c>
      <c r="J238" s="36">
        <f t="shared" si="40"/>
        <v>0</v>
      </c>
      <c r="K238" s="36">
        <f t="shared" si="40"/>
        <v>62870912</v>
      </c>
      <c r="L238" s="37"/>
    </row>
    <row r="239" s="131" customFormat="1" ht="12.75">
      <c r="L239" s="139">
        <v>0.6363636363636364</v>
      </c>
    </row>
    <row r="240" s="131" customFormat="1" ht="10.5" customHeight="1"/>
    <row r="241" s="131" customFormat="1" ht="12.75">
      <c r="L241" s="137"/>
    </row>
    <row r="242" spans="2:12" s="131" customFormat="1" ht="12.75">
      <c r="B242" s="463" t="s">
        <v>437</v>
      </c>
      <c r="C242" s="463"/>
      <c r="D242" s="463"/>
      <c r="E242" s="463"/>
      <c r="F242" s="463"/>
      <c r="G242" s="463"/>
      <c r="H242" s="463"/>
      <c r="I242" s="463"/>
      <c r="J242" s="463"/>
      <c r="K242" s="463"/>
      <c r="L242" s="463"/>
    </row>
    <row r="243" spans="2:12" s="131" customFormat="1" ht="12.75">
      <c r="B243" s="464" t="s">
        <v>438</v>
      </c>
      <c r="C243" s="464"/>
      <c r="D243" s="464"/>
      <c r="E243" s="464"/>
      <c r="F243" s="464"/>
      <c r="G243" s="464"/>
      <c r="H243" s="464"/>
      <c r="I243" s="464"/>
      <c r="J243" s="464"/>
      <c r="K243" s="464"/>
      <c r="L243" s="464"/>
    </row>
    <row r="244" spans="2:12" s="131" customFormat="1" ht="12.75">
      <c r="B244" s="37"/>
      <c r="C244" s="37"/>
      <c r="D244" s="37"/>
      <c r="E244" s="37"/>
      <c r="F244" s="37"/>
      <c r="G244" s="37"/>
      <c r="H244" s="37"/>
      <c r="I244" s="37"/>
      <c r="J244" s="37"/>
      <c r="K244" s="77" t="s">
        <v>423</v>
      </c>
      <c r="L244" s="37"/>
    </row>
    <row r="245" spans="2:12" s="131" customFormat="1" ht="25.5">
      <c r="B245" s="447" t="s">
        <v>246</v>
      </c>
      <c r="C245" s="447"/>
      <c r="D245" s="447"/>
      <c r="E245" s="71" t="s">
        <v>481</v>
      </c>
      <c r="F245" s="71" t="s">
        <v>475</v>
      </c>
      <c r="G245" s="73" t="s">
        <v>559</v>
      </c>
      <c r="H245" s="73">
        <v>2020</v>
      </c>
      <c r="I245" s="73">
        <v>2021</v>
      </c>
      <c r="J245" s="73">
        <v>2022</v>
      </c>
      <c r="K245" s="73" t="s">
        <v>52</v>
      </c>
      <c r="L245" s="37"/>
    </row>
    <row r="246" spans="2:12" s="131" customFormat="1" ht="12.75">
      <c r="B246" s="447" t="s">
        <v>247</v>
      </c>
      <c r="C246" s="447"/>
      <c r="D246" s="447"/>
      <c r="E246" s="133">
        <f>E247+E252+E253</f>
        <v>0</v>
      </c>
      <c r="F246" s="133">
        <v>7361114</v>
      </c>
      <c r="G246" s="133">
        <f>G247+G252+G253</f>
        <v>730961</v>
      </c>
      <c r="H246" s="133">
        <f>H247+H252+H253</f>
        <v>12914304</v>
      </c>
      <c r="I246" s="133">
        <f>I247+I252+I253</f>
        <v>0</v>
      </c>
      <c r="J246" s="133">
        <f>J247+J252+J253</f>
        <v>0</v>
      </c>
      <c r="K246" s="133">
        <f>K247+K252+K253</f>
        <v>18683343</v>
      </c>
      <c r="L246" s="127"/>
    </row>
    <row r="247" spans="2:12" s="131" customFormat="1" ht="12.75">
      <c r="B247" s="460" t="s">
        <v>248</v>
      </c>
      <c r="C247" s="460"/>
      <c r="D247" s="460"/>
      <c r="E247" s="36">
        <f aca="true" t="shared" si="41" ref="E247:J247">SUM(E248:E251)</f>
        <v>0</v>
      </c>
      <c r="F247" s="36">
        <f t="shared" si="41"/>
        <v>0</v>
      </c>
      <c r="G247" s="36">
        <f t="shared" si="41"/>
        <v>0</v>
      </c>
      <c r="H247" s="36">
        <f t="shared" si="41"/>
        <v>0</v>
      </c>
      <c r="I247" s="36">
        <f t="shared" si="41"/>
        <v>0</v>
      </c>
      <c r="J247" s="36">
        <f t="shared" si="41"/>
        <v>0</v>
      </c>
      <c r="K247" s="133">
        <f aca="true" t="shared" si="42" ref="K247:K253">SUM(E247:J247)</f>
        <v>0</v>
      </c>
      <c r="L247" s="127"/>
    </row>
    <row r="248" spans="2:12" s="131" customFormat="1" ht="12.75">
      <c r="B248" s="459" t="s">
        <v>249</v>
      </c>
      <c r="C248" s="459"/>
      <c r="D248" s="459"/>
      <c r="E248" s="34"/>
      <c r="F248" s="34"/>
      <c r="G248" s="34"/>
      <c r="H248" s="34"/>
      <c r="I248" s="34"/>
      <c r="J248" s="34"/>
      <c r="K248" s="134">
        <f t="shared" si="42"/>
        <v>0</v>
      </c>
      <c r="L248" s="37"/>
    </row>
    <row r="249" spans="2:12" s="131" customFormat="1" ht="12.75">
      <c r="B249" s="459" t="s">
        <v>250</v>
      </c>
      <c r="C249" s="459"/>
      <c r="D249" s="459"/>
      <c r="E249" s="34"/>
      <c r="F249" s="34"/>
      <c r="G249" s="34"/>
      <c r="H249" s="34"/>
      <c r="I249" s="34"/>
      <c r="J249" s="34"/>
      <c r="K249" s="134">
        <f t="shared" si="42"/>
        <v>0</v>
      </c>
      <c r="L249" s="37"/>
    </row>
    <row r="250" spans="2:12" s="131" customFormat="1" ht="12.75">
      <c r="B250" s="461" t="s">
        <v>359</v>
      </c>
      <c r="C250" s="461"/>
      <c r="D250" s="461"/>
      <c r="E250" s="34"/>
      <c r="F250" s="34"/>
      <c r="G250" s="34"/>
      <c r="H250" s="34"/>
      <c r="I250" s="34"/>
      <c r="J250" s="34"/>
      <c r="K250" s="134">
        <f t="shared" si="42"/>
        <v>0</v>
      </c>
      <c r="L250" s="37"/>
    </row>
    <row r="251" spans="2:12" s="131" customFormat="1" ht="12.75">
      <c r="B251" s="461" t="s">
        <v>252</v>
      </c>
      <c r="C251" s="461"/>
      <c r="D251" s="461"/>
      <c r="E251" s="34"/>
      <c r="F251" s="34"/>
      <c r="G251" s="34"/>
      <c r="H251" s="34"/>
      <c r="I251" s="34"/>
      <c r="J251" s="34"/>
      <c r="K251" s="134">
        <f t="shared" si="42"/>
        <v>0</v>
      </c>
      <c r="L251" s="37"/>
    </row>
    <row r="252" spans="2:12" s="131" customFormat="1" ht="12.75">
      <c r="B252" s="462" t="s">
        <v>253</v>
      </c>
      <c r="C252" s="462"/>
      <c r="D252" s="462"/>
      <c r="E252" s="36"/>
      <c r="F252" s="36">
        <f>6500000-1461922</f>
        <v>5038078</v>
      </c>
      <c r="G252" s="36">
        <v>730961</v>
      </c>
      <c r="H252" s="36">
        <v>12914304</v>
      </c>
      <c r="I252" s="36"/>
      <c r="J252" s="36"/>
      <c r="K252" s="133">
        <f t="shared" si="42"/>
        <v>18683343</v>
      </c>
      <c r="L252" s="127"/>
    </row>
    <row r="253" spans="2:12" s="131" customFormat="1" ht="12.75">
      <c r="B253" s="462" t="s">
        <v>254</v>
      </c>
      <c r="C253" s="462"/>
      <c r="D253" s="462"/>
      <c r="E253" s="36"/>
      <c r="F253" s="34"/>
      <c r="G253" s="34"/>
      <c r="H253" s="34"/>
      <c r="I253" s="34"/>
      <c r="J253" s="34"/>
      <c r="K253" s="133">
        <f t="shared" si="42"/>
        <v>0</v>
      </c>
      <c r="L253" s="37"/>
    </row>
    <row r="254" spans="2:12" s="131" customFormat="1" ht="12.75">
      <c r="B254" s="460" t="s">
        <v>255</v>
      </c>
      <c r="C254" s="460"/>
      <c r="D254" s="460"/>
      <c r="E254" s="34"/>
      <c r="F254" s="36"/>
      <c r="G254" s="34"/>
      <c r="H254" s="34"/>
      <c r="I254" s="34"/>
      <c r="J254" s="34"/>
      <c r="K254" s="34"/>
      <c r="L254" s="37"/>
    </row>
    <row r="255" spans="2:12" s="131" customFormat="1" ht="12.75">
      <c r="B255" s="459" t="s">
        <v>248</v>
      </c>
      <c r="C255" s="459"/>
      <c r="D255" s="459"/>
      <c r="E255" s="34"/>
      <c r="F255" s="34"/>
      <c r="G255" s="34"/>
      <c r="H255" s="34"/>
      <c r="I255" s="34"/>
      <c r="J255" s="34"/>
      <c r="K255" s="34"/>
      <c r="L255" s="37"/>
    </row>
    <row r="256" spans="2:12" s="131" customFormat="1" ht="12.75">
      <c r="B256" s="459" t="s">
        <v>249</v>
      </c>
      <c r="C256" s="459"/>
      <c r="D256" s="459"/>
      <c r="E256" s="34"/>
      <c r="F256" s="34"/>
      <c r="G256" s="34"/>
      <c r="H256" s="34"/>
      <c r="I256" s="34"/>
      <c r="J256" s="34"/>
      <c r="K256" s="34"/>
      <c r="L256" s="37"/>
    </row>
    <row r="257" spans="2:12" s="131" customFormat="1" ht="12.75">
      <c r="B257" s="459" t="s">
        <v>256</v>
      </c>
      <c r="C257" s="459"/>
      <c r="D257" s="459"/>
      <c r="E257" s="34"/>
      <c r="F257" s="34"/>
      <c r="G257" s="34"/>
      <c r="H257" s="34"/>
      <c r="I257" s="34"/>
      <c r="J257" s="34"/>
      <c r="K257" s="34"/>
      <c r="L257" s="37"/>
    </row>
    <row r="258" spans="2:12" s="131" customFormat="1" ht="12.75">
      <c r="B258" s="461" t="s">
        <v>251</v>
      </c>
      <c r="C258" s="461"/>
      <c r="D258" s="461"/>
      <c r="E258" s="34"/>
      <c r="F258" s="34"/>
      <c r="G258" s="34"/>
      <c r="H258" s="34"/>
      <c r="I258" s="34"/>
      <c r="J258" s="34"/>
      <c r="K258" s="34"/>
      <c r="L258" s="37"/>
    </row>
    <row r="259" spans="2:12" s="131" customFormat="1" ht="12.75">
      <c r="B259" s="461" t="s">
        <v>252</v>
      </c>
      <c r="C259" s="461"/>
      <c r="D259" s="461"/>
      <c r="E259" s="34"/>
      <c r="F259" s="34"/>
      <c r="G259" s="34"/>
      <c r="H259" s="34"/>
      <c r="I259" s="34"/>
      <c r="J259" s="34"/>
      <c r="K259" s="34"/>
      <c r="L259" s="37"/>
    </row>
    <row r="260" spans="2:12" s="131" customFormat="1" ht="12.75">
      <c r="B260" s="461"/>
      <c r="C260" s="461"/>
      <c r="D260" s="461"/>
      <c r="E260" s="34"/>
      <c r="F260" s="34"/>
      <c r="G260" s="34"/>
      <c r="H260" s="34"/>
      <c r="I260" s="34"/>
      <c r="J260" s="34"/>
      <c r="K260" s="34"/>
      <c r="L260" s="37"/>
    </row>
    <row r="261" spans="2:12" s="131" customFormat="1" ht="12.75">
      <c r="B261" s="460" t="s">
        <v>257</v>
      </c>
      <c r="C261" s="460"/>
      <c r="D261" s="460"/>
      <c r="E261" s="36">
        <f aca="true" t="shared" si="43" ref="E261:K261">E246+E254</f>
        <v>0</v>
      </c>
      <c r="F261" s="36">
        <f t="shared" si="43"/>
        <v>7361114</v>
      </c>
      <c r="G261" s="36">
        <f t="shared" si="43"/>
        <v>730961</v>
      </c>
      <c r="H261" s="36">
        <f t="shared" si="43"/>
        <v>12914304</v>
      </c>
      <c r="I261" s="36">
        <f t="shared" si="43"/>
        <v>0</v>
      </c>
      <c r="J261" s="36">
        <f t="shared" si="43"/>
        <v>0</v>
      </c>
      <c r="K261" s="36">
        <f t="shared" si="43"/>
        <v>18683343</v>
      </c>
      <c r="L261" s="37"/>
    </row>
    <row r="262" spans="2:12" s="131" customFormat="1" ht="12.7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2:12" s="131" customFormat="1" ht="12.75" customHeight="1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2:12" s="131" customFormat="1" ht="51.75" customHeight="1">
      <c r="B264" s="446" t="s">
        <v>258</v>
      </c>
      <c r="C264" s="446"/>
      <c r="D264" s="446"/>
      <c r="E264" s="71" t="s">
        <v>480</v>
      </c>
      <c r="F264" s="73" t="s">
        <v>561</v>
      </c>
      <c r="G264" s="73" t="s">
        <v>559</v>
      </c>
      <c r="H264" s="73">
        <v>2020</v>
      </c>
      <c r="I264" s="73">
        <v>2021</v>
      </c>
      <c r="J264" s="73">
        <v>2022</v>
      </c>
      <c r="K264" s="73" t="s">
        <v>52</v>
      </c>
      <c r="L264" s="37"/>
    </row>
    <row r="265" spans="2:12" s="131" customFormat="1" ht="21" customHeight="1">
      <c r="B265" s="460" t="s">
        <v>259</v>
      </c>
      <c r="C265" s="460"/>
      <c r="D265" s="460"/>
      <c r="E265" s="36">
        <f aca="true" t="shared" si="44" ref="E265:K265">E266</f>
        <v>400000</v>
      </c>
      <c r="F265" s="36">
        <f t="shared" si="44"/>
        <v>2349826</v>
      </c>
      <c r="G265" s="36">
        <f t="shared" si="44"/>
        <v>3019213</v>
      </c>
      <c r="H265" s="36">
        <f t="shared" si="44"/>
        <v>12914304</v>
      </c>
      <c r="I265" s="36">
        <f t="shared" si="44"/>
        <v>0</v>
      </c>
      <c r="J265" s="36">
        <f t="shared" si="44"/>
        <v>0</v>
      </c>
      <c r="K265" s="36">
        <f t="shared" si="44"/>
        <v>18683343</v>
      </c>
      <c r="L265" s="37"/>
    </row>
    <row r="266" spans="2:12" s="131" customFormat="1" ht="21" customHeight="1">
      <c r="B266" s="459" t="s">
        <v>260</v>
      </c>
      <c r="C266" s="459"/>
      <c r="D266" s="459"/>
      <c r="E266" s="34">
        <v>400000</v>
      </c>
      <c r="F266" s="34">
        <f>4349826-2000000</f>
        <v>2349826</v>
      </c>
      <c r="G266" s="34">
        <f>8272402-5253189</f>
        <v>3019213</v>
      </c>
      <c r="H266" s="34">
        <v>12914304</v>
      </c>
      <c r="I266" s="34"/>
      <c r="J266" s="34"/>
      <c r="K266" s="36">
        <f>SUM(E266:J266)</f>
        <v>18683343</v>
      </c>
      <c r="L266" s="37"/>
    </row>
    <row r="267" spans="2:12" s="131" customFormat="1" ht="12.75">
      <c r="B267" s="461"/>
      <c r="C267" s="461"/>
      <c r="D267" s="461"/>
      <c r="E267" s="34"/>
      <c r="F267" s="34"/>
      <c r="G267" s="34"/>
      <c r="H267" s="34"/>
      <c r="I267" s="34"/>
      <c r="J267" s="34"/>
      <c r="K267" s="34">
        <f>SUM(E267:J267)</f>
        <v>0</v>
      </c>
      <c r="L267" s="37"/>
    </row>
    <row r="268" spans="2:12" s="131" customFormat="1" ht="12.75">
      <c r="B268" s="461"/>
      <c r="C268" s="461"/>
      <c r="D268" s="461"/>
      <c r="E268" s="34"/>
      <c r="F268" s="34"/>
      <c r="G268" s="34"/>
      <c r="H268" s="34"/>
      <c r="I268" s="34"/>
      <c r="J268" s="34"/>
      <c r="K268" s="34"/>
      <c r="L268" s="127"/>
    </row>
    <row r="269" spans="2:12" s="131" customFormat="1" ht="12.75">
      <c r="B269" s="135" t="s">
        <v>261</v>
      </c>
      <c r="C269" s="135"/>
      <c r="D269" s="135"/>
      <c r="E269" s="36"/>
      <c r="F269" s="36"/>
      <c r="G269" s="36"/>
      <c r="H269" s="36"/>
      <c r="I269" s="36"/>
      <c r="J269" s="36"/>
      <c r="K269" s="36"/>
      <c r="L269" s="37"/>
    </row>
    <row r="270" spans="2:12" s="131" customFormat="1" ht="12.75">
      <c r="B270" s="459" t="s">
        <v>414</v>
      </c>
      <c r="C270" s="459"/>
      <c r="D270" s="459"/>
      <c r="E270" s="34"/>
      <c r="F270" s="34"/>
      <c r="G270" s="34"/>
      <c r="H270" s="34"/>
      <c r="I270" s="34"/>
      <c r="J270" s="34"/>
      <c r="K270" s="34"/>
      <c r="L270" s="37"/>
    </row>
    <row r="271" spans="2:12" s="131" customFormat="1" ht="12.75">
      <c r="B271" s="460" t="s">
        <v>262</v>
      </c>
      <c r="C271" s="460"/>
      <c r="D271" s="460"/>
      <c r="E271" s="36">
        <f>E265+E269</f>
        <v>400000</v>
      </c>
      <c r="F271" s="36">
        <f aca="true" t="shared" si="45" ref="F271:K271">F265+F269</f>
        <v>2349826</v>
      </c>
      <c r="G271" s="36">
        <f t="shared" si="45"/>
        <v>3019213</v>
      </c>
      <c r="H271" s="36">
        <f t="shared" si="45"/>
        <v>12914304</v>
      </c>
      <c r="I271" s="36">
        <f t="shared" si="45"/>
        <v>0</v>
      </c>
      <c r="J271" s="36">
        <f t="shared" si="45"/>
        <v>0</v>
      </c>
      <c r="K271" s="36">
        <f t="shared" si="45"/>
        <v>18683343</v>
      </c>
      <c r="L271" s="139">
        <v>0.7272727272727273</v>
      </c>
    </row>
    <row r="272" spans="2:12" s="131" customFormat="1" ht="12.75">
      <c r="B272" s="464"/>
      <c r="C272" s="464"/>
      <c r="D272" s="464"/>
      <c r="E272" s="138"/>
      <c r="F272" s="138"/>
      <c r="G272" s="138"/>
      <c r="H272" s="138"/>
      <c r="I272" s="138"/>
      <c r="J272" s="138"/>
      <c r="K272" s="138"/>
      <c r="L272" s="37"/>
    </row>
    <row r="273" s="131" customFormat="1" ht="12.75"/>
    <row r="274" spans="2:12" s="131" customFormat="1" ht="12.75">
      <c r="B274" s="463" t="s">
        <v>482</v>
      </c>
      <c r="C274" s="463"/>
      <c r="D274" s="463"/>
      <c r="E274" s="463"/>
      <c r="F274" s="463"/>
      <c r="G274" s="463"/>
      <c r="H274" s="463"/>
      <c r="I274" s="463"/>
      <c r="J274" s="463"/>
      <c r="K274" s="463"/>
      <c r="L274" s="463"/>
    </row>
    <row r="275" spans="2:12" s="131" customFormat="1" ht="12.75">
      <c r="B275" s="464" t="s">
        <v>483</v>
      </c>
      <c r="C275" s="464"/>
      <c r="D275" s="464"/>
      <c r="E275" s="464"/>
      <c r="F275" s="464"/>
      <c r="G275" s="464"/>
      <c r="H275" s="464"/>
      <c r="I275" s="464"/>
      <c r="J275" s="464"/>
      <c r="K275" s="464"/>
      <c r="L275" s="464"/>
    </row>
    <row r="276" spans="2:12" s="131" customFormat="1" ht="12.75">
      <c r="B276" s="37"/>
      <c r="C276" s="37"/>
      <c r="D276" s="37"/>
      <c r="E276" s="37"/>
      <c r="F276" s="37"/>
      <c r="G276" s="37"/>
      <c r="H276" s="37"/>
      <c r="I276" s="37"/>
      <c r="J276" s="37"/>
      <c r="K276" s="77" t="s">
        <v>423</v>
      </c>
      <c r="L276" s="37"/>
    </row>
    <row r="277" spans="2:12" s="131" customFormat="1" ht="38.25">
      <c r="B277" s="447" t="s">
        <v>246</v>
      </c>
      <c r="C277" s="447"/>
      <c r="D277" s="447"/>
      <c r="E277" s="71" t="s">
        <v>472</v>
      </c>
      <c r="F277" s="73" t="s">
        <v>559</v>
      </c>
      <c r="G277" s="73">
        <v>2020</v>
      </c>
      <c r="H277" s="73">
        <v>2021</v>
      </c>
      <c r="I277" s="73">
        <v>2022</v>
      </c>
      <c r="J277" s="73">
        <v>2023</v>
      </c>
      <c r="K277" s="73" t="s">
        <v>52</v>
      </c>
      <c r="L277" s="37"/>
    </row>
    <row r="278" spans="2:12" s="131" customFormat="1" ht="12.75">
      <c r="B278" s="447" t="s">
        <v>247</v>
      </c>
      <c r="C278" s="447"/>
      <c r="D278" s="447"/>
      <c r="E278" s="133">
        <v>9764880</v>
      </c>
      <c r="F278" s="133"/>
      <c r="G278" s="133">
        <f>G279+G284+G285</f>
        <v>0</v>
      </c>
      <c r="H278" s="133">
        <f>H279+H284+H285</f>
        <v>0</v>
      </c>
      <c r="I278" s="133">
        <f>I279+I284+I285</f>
        <v>0</v>
      </c>
      <c r="J278" s="133">
        <f>J279+J284+J285</f>
        <v>0</v>
      </c>
      <c r="K278" s="133">
        <f>K279+K284+K285</f>
        <v>9764880</v>
      </c>
      <c r="L278" s="127"/>
    </row>
    <row r="279" spans="2:12" s="131" customFormat="1" ht="12.75">
      <c r="B279" s="460" t="s">
        <v>248</v>
      </c>
      <c r="C279" s="460"/>
      <c r="D279" s="460"/>
      <c r="E279" s="36">
        <f aca="true" t="shared" si="46" ref="E279:J279">SUM(E280:E283)</f>
        <v>0</v>
      </c>
      <c r="F279" s="36">
        <f t="shared" si="46"/>
        <v>0</v>
      </c>
      <c r="G279" s="36">
        <f t="shared" si="46"/>
        <v>0</v>
      </c>
      <c r="H279" s="36">
        <f t="shared" si="46"/>
        <v>0</v>
      </c>
      <c r="I279" s="36">
        <f t="shared" si="46"/>
        <v>0</v>
      </c>
      <c r="J279" s="36">
        <f t="shared" si="46"/>
        <v>0</v>
      </c>
      <c r="K279" s="133">
        <f aca="true" t="shared" si="47" ref="K279:K285">SUM(E279:J279)</f>
        <v>0</v>
      </c>
      <c r="L279" s="127"/>
    </row>
    <row r="280" spans="2:12" s="131" customFormat="1" ht="12.75">
      <c r="B280" s="459" t="s">
        <v>249</v>
      </c>
      <c r="C280" s="459"/>
      <c r="D280" s="459"/>
      <c r="E280" s="34"/>
      <c r="F280" s="34"/>
      <c r="G280" s="34"/>
      <c r="H280" s="34"/>
      <c r="I280" s="34"/>
      <c r="J280" s="34"/>
      <c r="K280" s="134">
        <f t="shared" si="47"/>
        <v>0</v>
      </c>
      <c r="L280" s="37"/>
    </row>
    <row r="281" spans="2:12" s="131" customFormat="1" ht="12.75">
      <c r="B281" s="459" t="s">
        <v>250</v>
      </c>
      <c r="C281" s="459"/>
      <c r="D281" s="459"/>
      <c r="E281" s="34"/>
      <c r="F281" s="34"/>
      <c r="G281" s="34"/>
      <c r="H281" s="34"/>
      <c r="I281" s="34"/>
      <c r="J281" s="34"/>
      <c r="K281" s="134">
        <f t="shared" si="47"/>
        <v>0</v>
      </c>
      <c r="L281" s="37"/>
    </row>
    <row r="282" spans="2:12" s="131" customFormat="1" ht="12.75">
      <c r="B282" s="461" t="s">
        <v>359</v>
      </c>
      <c r="C282" s="461"/>
      <c r="D282" s="461"/>
      <c r="E282" s="34"/>
      <c r="F282" s="34"/>
      <c r="G282" s="34"/>
      <c r="H282" s="34"/>
      <c r="I282" s="34"/>
      <c r="J282" s="34"/>
      <c r="K282" s="134">
        <f t="shared" si="47"/>
        <v>0</v>
      </c>
      <c r="L282" s="37"/>
    </row>
    <row r="283" spans="2:12" s="131" customFormat="1" ht="12.75">
      <c r="B283" s="461" t="s">
        <v>252</v>
      </c>
      <c r="C283" s="461"/>
      <c r="D283" s="461"/>
      <c r="E283" s="34"/>
      <c r="F283" s="34"/>
      <c r="G283" s="34"/>
      <c r="H283" s="34"/>
      <c r="I283" s="34"/>
      <c r="J283" s="34"/>
      <c r="K283" s="134">
        <f t="shared" si="47"/>
        <v>0</v>
      </c>
      <c r="L283" s="37"/>
    </row>
    <row r="284" spans="2:12" s="131" customFormat="1" ht="12.75">
      <c r="B284" s="462" t="s">
        <v>253</v>
      </c>
      <c r="C284" s="462"/>
      <c r="D284" s="462"/>
      <c r="E284" s="36">
        <v>9764880</v>
      </c>
      <c r="F284" s="36"/>
      <c r="G284" s="36"/>
      <c r="H284" s="36"/>
      <c r="I284" s="36"/>
      <c r="J284" s="36"/>
      <c r="K284" s="133">
        <f t="shared" si="47"/>
        <v>9764880</v>
      </c>
      <c r="L284" s="127"/>
    </row>
    <row r="285" spans="2:12" s="131" customFormat="1" ht="12.75">
      <c r="B285" s="462" t="s">
        <v>254</v>
      </c>
      <c r="C285" s="462"/>
      <c r="D285" s="462"/>
      <c r="E285" s="36"/>
      <c r="F285" s="34"/>
      <c r="G285" s="34"/>
      <c r="H285" s="34"/>
      <c r="I285" s="34"/>
      <c r="J285" s="34"/>
      <c r="K285" s="133">
        <f t="shared" si="47"/>
        <v>0</v>
      </c>
      <c r="L285" s="37"/>
    </row>
    <row r="286" spans="2:12" s="131" customFormat="1" ht="12.75">
      <c r="B286" s="460" t="s">
        <v>255</v>
      </c>
      <c r="C286" s="460"/>
      <c r="D286" s="460"/>
      <c r="E286" s="34"/>
      <c r="F286" s="36"/>
      <c r="G286" s="34"/>
      <c r="H286" s="34"/>
      <c r="I286" s="34"/>
      <c r="J286" s="34"/>
      <c r="K286" s="34"/>
      <c r="L286" s="37"/>
    </row>
    <row r="287" spans="2:12" s="131" customFormat="1" ht="12.75">
      <c r="B287" s="459" t="s">
        <v>248</v>
      </c>
      <c r="C287" s="459"/>
      <c r="D287" s="459"/>
      <c r="E287" s="34"/>
      <c r="F287" s="34"/>
      <c r="G287" s="34"/>
      <c r="H287" s="34"/>
      <c r="I287" s="34"/>
      <c r="J287" s="34"/>
      <c r="K287" s="34"/>
      <c r="L287" s="37"/>
    </row>
    <row r="288" spans="2:12" s="131" customFormat="1" ht="12.75">
      <c r="B288" s="459" t="s">
        <v>249</v>
      </c>
      <c r="C288" s="459"/>
      <c r="D288" s="459"/>
      <c r="E288" s="34"/>
      <c r="F288" s="34"/>
      <c r="G288" s="34"/>
      <c r="H288" s="34"/>
      <c r="I288" s="34"/>
      <c r="J288" s="34"/>
      <c r="K288" s="34"/>
      <c r="L288" s="37"/>
    </row>
    <row r="289" spans="2:12" s="131" customFormat="1" ht="12.75">
      <c r="B289" s="459" t="s">
        <v>256</v>
      </c>
      <c r="C289" s="459"/>
      <c r="D289" s="459"/>
      <c r="E289" s="34"/>
      <c r="F289" s="34"/>
      <c r="G289" s="34"/>
      <c r="H289" s="34"/>
      <c r="I289" s="34"/>
      <c r="J289" s="34"/>
      <c r="K289" s="34"/>
      <c r="L289" s="37"/>
    </row>
    <row r="290" spans="2:12" s="131" customFormat="1" ht="12.75">
      <c r="B290" s="461" t="s">
        <v>251</v>
      </c>
      <c r="C290" s="461"/>
      <c r="D290" s="461"/>
      <c r="E290" s="34"/>
      <c r="F290" s="34"/>
      <c r="G290" s="34"/>
      <c r="H290" s="34"/>
      <c r="I290" s="34"/>
      <c r="J290" s="34"/>
      <c r="K290" s="34"/>
      <c r="L290" s="37"/>
    </row>
    <row r="291" spans="2:12" s="131" customFormat="1" ht="12.75">
      <c r="B291" s="461" t="s">
        <v>252</v>
      </c>
      <c r="C291" s="461"/>
      <c r="D291" s="461"/>
      <c r="E291" s="34"/>
      <c r="F291" s="34"/>
      <c r="G291" s="34"/>
      <c r="H291" s="34"/>
      <c r="I291" s="34"/>
      <c r="J291" s="34"/>
      <c r="K291" s="34"/>
      <c r="L291" s="37"/>
    </row>
    <row r="292" spans="2:12" s="131" customFormat="1" ht="12.75">
      <c r="B292" s="461"/>
      <c r="C292" s="461"/>
      <c r="D292" s="461"/>
      <c r="E292" s="34"/>
      <c r="F292" s="34"/>
      <c r="G292" s="34"/>
      <c r="H292" s="34"/>
      <c r="I292" s="34"/>
      <c r="J292" s="34"/>
      <c r="K292" s="34"/>
      <c r="L292" s="37"/>
    </row>
    <row r="293" spans="2:12" s="131" customFormat="1" ht="12.75">
      <c r="B293" s="460" t="s">
        <v>257</v>
      </c>
      <c r="C293" s="460"/>
      <c r="D293" s="460"/>
      <c r="E293" s="36">
        <f aca="true" t="shared" si="48" ref="E293:K293">E278+E286</f>
        <v>9764880</v>
      </c>
      <c r="F293" s="36">
        <f t="shared" si="48"/>
        <v>0</v>
      </c>
      <c r="G293" s="36">
        <f t="shared" si="48"/>
        <v>0</v>
      </c>
      <c r="H293" s="36">
        <f t="shared" si="48"/>
        <v>0</v>
      </c>
      <c r="I293" s="36">
        <f t="shared" si="48"/>
        <v>0</v>
      </c>
      <c r="J293" s="36">
        <f t="shared" si="48"/>
        <v>0</v>
      </c>
      <c r="K293" s="36">
        <f t="shared" si="48"/>
        <v>9764880</v>
      </c>
      <c r="L293" s="37"/>
    </row>
    <row r="294" spans="2:12" s="131" customFormat="1" ht="12.7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2:12" s="131" customFormat="1" ht="38.25">
      <c r="B295" s="446" t="s">
        <v>258</v>
      </c>
      <c r="C295" s="446"/>
      <c r="D295" s="446"/>
      <c r="E295" s="71" t="s">
        <v>472</v>
      </c>
      <c r="F295" s="73" t="s">
        <v>559</v>
      </c>
      <c r="G295" s="73">
        <v>2020</v>
      </c>
      <c r="H295" s="73">
        <v>2021</v>
      </c>
      <c r="I295" s="73">
        <v>2022</v>
      </c>
      <c r="J295" s="73">
        <v>2023</v>
      </c>
      <c r="K295" s="73" t="s">
        <v>52</v>
      </c>
      <c r="L295" s="37"/>
    </row>
    <row r="296" spans="2:12" s="131" customFormat="1" ht="12.75">
      <c r="B296" s="460" t="s">
        <v>259</v>
      </c>
      <c r="C296" s="460"/>
      <c r="D296" s="460"/>
      <c r="E296" s="36">
        <f aca="true" t="shared" si="49" ref="E296:K296">E297</f>
        <v>1235605</v>
      </c>
      <c r="F296" s="36">
        <f t="shared" si="49"/>
        <v>2858476</v>
      </c>
      <c r="G296" s="36">
        <f t="shared" si="49"/>
        <v>2707746</v>
      </c>
      <c r="H296" s="36">
        <f t="shared" si="49"/>
        <v>2661184</v>
      </c>
      <c r="I296" s="36">
        <f t="shared" si="49"/>
        <v>301869</v>
      </c>
      <c r="J296" s="36">
        <f t="shared" si="49"/>
        <v>0</v>
      </c>
      <c r="K296" s="36">
        <f t="shared" si="49"/>
        <v>9764880</v>
      </c>
      <c r="L296" s="37"/>
    </row>
    <row r="297" spans="2:12" s="131" customFormat="1" ht="12.75">
      <c r="B297" s="459" t="s">
        <v>260</v>
      </c>
      <c r="C297" s="459"/>
      <c r="D297" s="459"/>
      <c r="E297" s="34">
        <v>1235605</v>
      </c>
      <c r="F297" s="34">
        <v>2858476</v>
      </c>
      <c r="G297" s="34">
        <v>2707746</v>
      </c>
      <c r="H297" s="34">
        <v>2661184</v>
      </c>
      <c r="I297" s="34">
        <v>301869</v>
      </c>
      <c r="J297" s="34"/>
      <c r="K297" s="36">
        <f>SUM(E297:J297)</f>
        <v>9764880</v>
      </c>
      <c r="L297" s="37"/>
    </row>
    <row r="298" spans="2:12" s="131" customFormat="1" ht="12.75">
      <c r="B298" s="461"/>
      <c r="C298" s="461"/>
      <c r="D298" s="461"/>
      <c r="E298" s="34"/>
      <c r="F298" s="34"/>
      <c r="G298" s="34"/>
      <c r="H298" s="34"/>
      <c r="I298" s="34"/>
      <c r="J298" s="34"/>
      <c r="K298" s="34">
        <f>SUM(E298:J298)</f>
        <v>0</v>
      </c>
      <c r="L298" s="37"/>
    </row>
    <row r="299" spans="2:12" s="131" customFormat="1" ht="12.75">
      <c r="B299" s="461"/>
      <c r="C299" s="461"/>
      <c r="D299" s="461"/>
      <c r="E299" s="34"/>
      <c r="F299" s="34"/>
      <c r="G299" s="34"/>
      <c r="H299" s="34"/>
      <c r="I299" s="34"/>
      <c r="J299" s="34"/>
      <c r="K299" s="34"/>
      <c r="L299" s="37"/>
    </row>
    <row r="300" spans="2:12" s="131" customFormat="1" ht="12.75">
      <c r="B300" s="135" t="s">
        <v>261</v>
      </c>
      <c r="C300" s="135"/>
      <c r="D300" s="135"/>
      <c r="E300" s="36"/>
      <c r="F300" s="36"/>
      <c r="G300" s="36"/>
      <c r="H300" s="36"/>
      <c r="I300" s="36"/>
      <c r="J300" s="36"/>
      <c r="K300" s="36"/>
      <c r="L300" s="37"/>
    </row>
    <row r="301" spans="2:12" s="131" customFormat="1" ht="12.75">
      <c r="B301" s="459" t="s">
        <v>414</v>
      </c>
      <c r="C301" s="459"/>
      <c r="D301" s="459"/>
      <c r="E301" s="34"/>
      <c r="F301" s="34"/>
      <c r="G301" s="34"/>
      <c r="H301" s="34"/>
      <c r="I301" s="34"/>
      <c r="J301" s="34"/>
      <c r="K301" s="34"/>
      <c r="L301" s="37"/>
    </row>
    <row r="302" spans="2:12" s="131" customFormat="1" ht="12.75">
      <c r="B302" s="460" t="s">
        <v>262</v>
      </c>
      <c r="C302" s="460"/>
      <c r="D302" s="460"/>
      <c r="E302" s="36">
        <f>E296+E300</f>
        <v>1235605</v>
      </c>
      <c r="F302" s="36">
        <f aca="true" t="shared" si="50" ref="F302:K302">F296+F300</f>
        <v>2858476</v>
      </c>
      <c r="G302" s="36">
        <f t="shared" si="50"/>
        <v>2707746</v>
      </c>
      <c r="H302" s="36">
        <f t="shared" si="50"/>
        <v>2661184</v>
      </c>
      <c r="I302" s="36">
        <f t="shared" si="50"/>
        <v>301869</v>
      </c>
      <c r="J302" s="36">
        <f t="shared" si="50"/>
        <v>0</v>
      </c>
      <c r="K302" s="36">
        <f t="shared" si="50"/>
        <v>9764880</v>
      </c>
      <c r="L302" s="139">
        <v>0.8181818181818182</v>
      </c>
    </row>
    <row r="303" spans="2:11" s="131" customFormat="1" ht="12.75">
      <c r="B303" s="463"/>
      <c r="C303" s="463"/>
      <c r="D303" s="463"/>
      <c r="E303" s="136"/>
      <c r="F303" s="136"/>
      <c r="G303" s="136"/>
      <c r="H303" s="136"/>
      <c r="I303" s="136"/>
      <c r="J303" s="136"/>
      <c r="K303" s="136"/>
    </row>
    <row r="304" s="131" customFormat="1" ht="12.75"/>
    <row r="305" spans="2:12" s="131" customFormat="1" ht="12.75">
      <c r="B305" s="463" t="s">
        <v>456</v>
      </c>
      <c r="C305" s="463"/>
      <c r="D305" s="463"/>
      <c r="E305" s="463"/>
      <c r="F305" s="463"/>
      <c r="G305" s="463"/>
      <c r="H305" s="463"/>
      <c r="I305" s="463"/>
      <c r="J305" s="463"/>
      <c r="K305" s="463"/>
      <c r="L305" s="463"/>
    </row>
    <row r="306" spans="2:12" s="131" customFormat="1" ht="12.75">
      <c r="B306" s="464" t="s">
        <v>484</v>
      </c>
      <c r="C306" s="464"/>
      <c r="D306" s="464"/>
      <c r="E306" s="464"/>
      <c r="F306" s="464"/>
      <c r="G306" s="464"/>
      <c r="H306" s="464"/>
      <c r="I306" s="464"/>
      <c r="J306" s="464"/>
      <c r="K306" s="464"/>
      <c r="L306" s="464"/>
    </row>
    <row r="307" spans="2:12" s="131" customFormat="1" ht="12.75">
      <c r="B307" s="37"/>
      <c r="C307" s="37"/>
      <c r="D307" s="37"/>
      <c r="E307" s="37"/>
      <c r="F307" s="37"/>
      <c r="G307" s="37"/>
      <c r="H307" s="37"/>
      <c r="I307" s="37"/>
      <c r="J307" s="37"/>
      <c r="K307" s="77" t="s">
        <v>423</v>
      </c>
      <c r="L307" s="37"/>
    </row>
    <row r="308" spans="2:12" s="131" customFormat="1" ht="38.25">
      <c r="B308" s="447" t="s">
        <v>246</v>
      </c>
      <c r="C308" s="447"/>
      <c r="D308" s="447"/>
      <c r="E308" s="71" t="s">
        <v>472</v>
      </c>
      <c r="F308" s="73" t="s">
        <v>559</v>
      </c>
      <c r="G308" s="73">
        <v>2020</v>
      </c>
      <c r="H308" s="73">
        <v>2021</v>
      </c>
      <c r="I308" s="73">
        <v>2022</v>
      </c>
      <c r="J308" s="73">
        <v>2023</v>
      </c>
      <c r="K308" s="73" t="s">
        <v>52</v>
      </c>
      <c r="L308" s="37"/>
    </row>
    <row r="309" spans="2:12" s="131" customFormat="1" ht="12.75">
      <c r="B309" s="447" t="s">
        <v>247</v>
      </c>
      <c r="C309" s="447"/>
      <c r="D309" s="447"/>
      <c r="E309" s="133">
        <v>47094716</v>
      </c>
      <c r="F309" s="133">
        <f>F316+F315+F310</f>
        <v>28000000</v>
      </c>
      <c r="G309" s="133">
        <f>G316+G315+G310</f>
        <v>28199186</v>
      </c>
      <c r="H309" s="133">
        <f>H316+H315+H310</f>
        <v>0</v>
      </c>
      <c r="I309" s="133">
        <f>I316+I315+I310</f>
        <v>0</v>
      </c>
      <c r="J309" s="133">
        <f>J316+J315+J310</f>
        <v>0</v>
      </c>
      <c r="K309" s="133">
        <f>SUM(E309:J309)</f>
        <v>103293902</v>
      </c>
      <c r="L309" s="127"/>
    </row>
    <row r="310" spans="2:12" s="131" customFormat="1" ht="12.75">
      <c r="B310" s="460" t="s">
        <v>248</v>
      </c>
      <c r="C310" s="460"/>
      <c r="D310" s="460"/>
      <c r="E310" s="36">
        <f aca="true" t="shared" si="51" ref="E310:J310">SUM(E311:E314)</f>
        <v>0</v>
      </c>
      <c r="F310" s="36">
        <f t="shared" si="51"/>
        <v>0</v>
      </c>
      <c r="G310" s="36">
        <f t="shared" si="51"/>
        <v>0</v>
      </c>
      <c r="H310" s="36">
        <f t="shared" si="51"/>
        <v>0</v>
      </c>
      <c r="I310" s="36">
        <f t="shared" si="51"/>
        <v>0</v>
      </c>
      <c r="J310" s="36">
        <f t="shared" si="51"/>
        <v>0</v>
      </c>
      <c r="K310" s="133">
        <f aca="true" t="shared" si="52" ref="K310:K324">SUM(E310:J310)</f>
        <v>0</v>
      </c>
      <c r="L310" s="127"/>
    </row>
    <row r="311" spans="2:12" s="131" customFormat="1" ht="12.75">
      <c r="B311" s="459" t="s">
        <v>249</v>
      </c>
      <c r="C311" s="459"/>
      <c r="D311" s="459"/>
      <c r="E311" s="34"/>
      <c r="F311" s="34"/>
      <c r="G311" s="34"/>
      <c r="H311" s="34"/>
      <c r="I311" s="34"/>
      <c r="J311" s="34"/>
      <c r="K311" s="133">
        <f t="shared" si="52"/>
        <v>0</v>
      </c>
      <c r="L311" s="37"/>
    </row>
    <row r="312" spans="2:12" s="131" customFormat="1" ht="12.75">
      <c r="B312" s="459" t="s">
        <v>250</v>
      </c>
      <c r="C312" s="459"/>
      <c r="D312" s="459"/>
      <c r="E312" s="34"/>
      <c r="F312" s="34"/>
      <c r="G312" s="34"/>
      <c r="H312" s="34"/>
      <c r="I312" s="34"/>
      <c r="J312" s="34"/>
      <c r="K312" s="133">
        <f t="shared" si="52"/>
        <v>0</v>
      </c>
      <c r="L312" s="37"/>
    </row>
    <row r="313" spans="2:12" s="131" customFormat="1" ht="12.75">
      <c r="B313" s="461" t="s">
        <v>359</v>
      </c>
      <c r="C313" s="461"/>
      <c r="D313" s="461"/>
      <c r="E313" s="34"/>
      <c r="F313" s="34"/>
      <c r="G313" s="34"/>
      <c r="H313" s="34"/>
      <c r="I313" s="34"/>
      <c r="J313" s="34"/>
      <c r="K313" s="133">
        <f t="shared" si="52"/>
        <v>0</v>
      </c>
      <c r="L313" s="37"/>
    </row>
    <row r="314" spans="2:12" s="131" customFormat="1" ht="12.75">
      <c r="B314" s="461" t="s">
        <v>252</v>
      </c>
      <c r="C314" s="461"/>
      <c r="D314" s="461"/>
      <c r="E314" s="34"/>
      <c r="F314" s="34"/>
      <c r="G314" s="34"/>
      <c r="H314" s="34"/>
      <c r="I314" s="34"/>
      <c r="J314" s="34"/>
      <c r="K314" s="133">
        <f t="shared" si="52"/>
        <v>0</v>
      </c>
      <c r="L314" s="37"/>
    </row>
    <row r="315" spans="2:12" s="131" customFormat="1" ht="12.75">
      <c r="B315" s="462" t="s">
        <v>253</v>
      </c>
      <c r="C315" s="462"/>
      <c r="D315" s="462"/>
      <c r="E315" s="36">
        <v>47094716</v>
      </c>
      <c r="F315" s="36">
        <v>28000000</v>
      </c>
      <c r="G315" s="36">
        <v>28199186</v>
      </c>
      <c r="H315" s="36"/>
      <c r="I315" s="36"/>
      <c r="J315" s="36"/>
      <c r="K315" s="133">
        <f t="shared" si="52"/>
        <v>103293902</v>
      </c>
      <c r="L315" s="127"/>
    </row>
    <row r="316" spans="2:12" s="131" customFormat="1" ht="12.75">
      <c r="B316" s="462" t="s">
        <v>254</v>
      </c>
      <c r="C316" s="462"/>
      <c r="D316" s="462"/>
      <c r="E316" s="36"/>
      <c r="F316" s="34"/>
      <c r="G316" s="34"/>
      <c r="H316" s="34"/>
      <c r="I316" s="34"/>
      <c r="J316" s="34"/>
      <c r="K316" s="133">
        <f t="shared" si="52"/>
        <v>0</v>
      </c>
      <c r="L316" s="37"/>
    </row>
    <row r="317" spans="2:12" s="131" customFormat="1" ht="12.75">
      <c r="B317" s="460" t="s">
        <v>255</v>
      </c>
      <c r="C317" s="460"/>
      <c r="D317" s="460"/>
      <c r="E317" s="34"/>
      <c r="F317" s="36"/>
      <c r="G317" s="34"/>
      <c r="H317" s="34"/>
      <c r="I317" s="34"/>
      <c r="J317" s="34"/>
      <c r="K317" s="133">
        <f t="shared" si="52"/>
        <v>0</v>
      </c>
      <c r="L317" s="37"/>
    </row>
    <row r="318" spans="2:12" s="131" customFormat="1" ht="12.75">
      <c r="B318" s="459" t="s">
        <v>248</v>
      </c>
      <c r="C318" s="459"/>
      <c r="D318" s="459"/>
      <c r="E318" s="34"/>
      <c r="F318" s="34"/>
      <c r="G318" s="34"/>
      <c r="H318" s="34"/>
      <c r="I318" s="34"/>
      <c r="J318" s="34"/>
      <c r="K318" s="133">
        <f t="shared" si="52"/>
        <v>0</v>
      </c>
      <c r="L318" s="37"/>
    </row>
    <row r="319" spans="2:12" s="131" customFormat="1" ht="12.75">
      <c r="B319" s="459" t="s">
        <v>249</v>
      </c>
      <c r="C319" s="459"/>
      <c r="D319" s="459"/>
      <c r="E319" s="34"/>
      <c r="F319" s="34"/>
      <c r="G319" s="34"/>
      <c r="H319" s="34"/>
      <c r="I319" s="34"/>
      <c r="J319" s="34"/>
      <c r="K319" s="133">
        <f t="shared" si="52"/>
        <v>0</v>
      </c>
      <c r="L319" s="37"/>
    </row>
    <row r="320" spans="2:12" s="131" customFormat="1" ht="12.75">
      <c r="B320" s="459" t="s">
        <v>256</v>
      </c>
      <c r="C320" s="459"/>
      <c r="D320" s="459"/>
      <c r="E320" s="34"/>
      <c r="F320" s="34"/>
      <c r="G320" s="34"/>
      <c r="H320" s="34"/>
      <c r="I320" s="34"/>
      <c r="J320" s="34"/>
      <c r="K320" s="133">
        <f t="shared" si="52"/>
        <v>0</v>
      </c>
      <c r="L320" s="37"/>
    </row>
    <row r="321" spans="2:12" s="131" customFormat="1" ht="12.75">
      <c r="B321" s="461" t="s">
        <v>251</v>
      </c>
      <c r="C321" s="461"/>
      <c r="D321" s="461"/>
      <c r="E321" s="34"/>
      <c r="F321" s="34"/>
      <c r="G321" s="34"/>
      <c r="H321" s="34"/>
      <c r="I321" s="34"/>
      <c r="J321" s="34"/>
      <c r="K321" s="133">
        <f t="shared" si="52"/>
        <v>0</v>
      </c>
      <c r="L321" s="37"/>
    </row>
    <row r="322" spans="2:12" s="131" customFormat="1" ht="12.75">
      <c r="B322" s="461" t="s">
        <v>252</v>
      </c>
      <c r="C322" s="461"/>
      <c r="D322" s="461"/>
      <c r="E322" s="34"/>
      <c r="F322" s="34"/>
      <c r="G322" s="34"/>
      <c r="H322" s="34"/>
      <c r="I322" s="34"/>
      <c r="J322" s="34"/>
      <c r="K322" s="133">
        <f t="shared" si="52"/>
        <v>0</v>
      </c>
      <c r="L322" s="37"/>
    </row>
    <row r="323" spans="2:12" s="131" customFormat="1" ht="12.75">
      <c r="B323" s="461"/>
      <c r="C323" s="461"/>
      <c r="D323" s="461"/>
      <c r="E323" s="34"/>
      <c r="F323" s="34"/>
      <c r="G323" s="34"/>
      <c r="H323" s="34"/>
      <c r="I323" s="34"/>
      <c r="J323" s="34"/>
      <c r="K323" s="133">
        <f t="shared" si="52"/>
        <v>0</v>
      </c>
      <c r="L323" s="37"/>
    </row>
    <row r="324" spans="2:12" s="131" customFormat="1" ht="12.75">
      <c r="B324" s="460" t="s">
        <v>257</v>
      </c>
      <c r="C324" s="460"/>
      <c r="D324" s="460"/>
      <c r="E324" s="36">
        <f>E315</f>
        <v>47094716</v>
      </c>
      <c r="F324" s="36">
        <f>F309+F317</f>
        <v>28000000</v>
      </c>
      <c r="G324" s="36">
        <f>G309+G317</f>
        <v>28199186</v>
      </c>
      <c r="H324" s="36">
        <f>H309+H317</f>
        <v>0</v>
      </c>
      <c r="I324" s="36">
        <f>I309+I317</f>
        <v>0</v>
      </c>
      <c r="J324" s="36">
        <f>J309+J317</f>
        <v>0</v>
      </c>
      <c r="K324" s="133">
        <f t="shared" si="52"/>
        <v>103293902</v>
      </c>
      <c r="L324" s="37"/>
    </row>
    <row r="325" spans="2:12" s="131" customFormat="1" ht="12.7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2:12" s="131" customFormat="1" ht="38.25">
      <c r="B326" s="446" t="s">
        <v>258</v>
      </c>
      <c r="C326" s="446"/>
      <c r="D326" s="446"/>
      <c r="E326" s="71" t="s">
        <v>472</v>
      </c>
      <c r="F326" s="73">
        <v>2019</v>
      </c>
      <c r="G326" s="73">
        <v>2020</v>
      </c>
      <c r="H326" s="73">
        <v>2021</v>
      </c>
      <c r="I326" s="73">
        <v>2022</v>
      </c>
      <c r="J326" s="73">
        <v>2023</v>
      </c>
      <c r="K326" s="73" t="s">
        <v>52</v>
      </c>
      <c r="L326" s="37"/>
    </row>
    <row r="327" spans="2:12" s="131" customFormat="1" ht="12.75">
      <c r="B327" s="460" t="s">
        <v>259</v>
      </c>
      <c r="C327" s="460"/>
      <c r="D327" s="460"/>
      <c r="E327" s="36">
        <f aca="true" t="shared" si="53" ref="E327:K327">E328</f>
        <v>35731970</v>
      </c>
      <c r="F327" s="36">
        <f t="shared" si="53"/>
        <v>36362746</v>
      </c>
      <c r="G327" s="36">
        <f t="shared" si="53"/>
        <v>28199186</v>
      </c>
      <c r="H327" s="36">
        <f t="shared" si="53"/>
        <v>0</v>
      </c>
      <c r="I327" s="36">
        <f t="shared" si="53"/>
        <v>0</v>
      </c>
      <c r="J327" s="36">
        <f t="shared" si="53"/>
        <v>0</v>
      </c>
      <c r="K327" s="36">
        <f t="shared" si="53"/>
        <v>100293902</v>
      </c>
      <c r="L327" s="37"/>
    </row>
    <row r="328" spans="2:12" s="131" customFormat="1" ht="12.75">
      <c r="B328" s="459" t="s">
        <v>260</v>
      </c>
      <c r="C328" s="459"/>
      <c r="D328" s="459"/>
      <c r="E328" s="34">
        <v>35731970</v>
      </c>
      <c r="F328" s="34">
        <f>64561932-28199186</f>
        <v>36362746</v>
      </c>
      <c r="G328" s="34">
        <v>28199186</v>
      </c>
      <c r="H328" s="34"/>
      <c r="I328" s="34"/>
      <c r="J328" s="34"/>
      <c r="K328" s="36">
        <f>SUM(E328:J328)</f>
        <v>100293902</v>
      </c>
      <c r="L328" s="37"/>
    </row>
    <row r="329" spans="2:12" s="131" customFormat="1" ht="12.75">
      <c r="B329" s="461"/>
      <c r="C329" s="461"/>
      <c r="D329" s="461"/>
      <c r="E329" s="34"/>
      <c r="F329" s="34"/>
      <c r="G329" s="34"/>
      <c r="H329" s="34"/>
      <c r="I329" s="34"/>
      <c r="J329" s="34"/>
      <c r="K329" s="34">
        <f>SUM(E329:J329)</f>
        <v>0</v>
      </c>
      <c r="L329" s="37"/>
    </row>
    <row r="330" spans="2:12" s="131" customFormat="1" ht="12.75">
      <c r="B330" s="461"/>
      <c r="C330" s="461"/>
      <c r="D330" s="461"/>
      <c r="E330" s="34"/>
      <c r="F330" s="34"/>
      <c r="G330" s="34"/>
      <c r="H330" s="34"/>
      <c r="I330" s="34"/>
      <c r="J330" s="34"/>
      <c r="K330" s="34"/>
      <c r="L330" s="37"/>
    </row>
    <row r="331" spans="2:12" s="131" customFormat="1" ht="12.75">
      <c r="B331" s="135" t="s">
        <v>261</v>
      </c>
      <c r="C331" s="135"/>
      <c r="D331" s="135"/>
      <c r="E331" s="36"/>
      <c r="F331" s="36"/>
      <c r="G331" s="36"/>
      <c r="H331" s="36"/>
      <c r="I331" s="36"/>
      <c r="J331" s="36"/>
      <c r="K331" s="36"/>
      <c r="L331" s="37"/>
    </row>
    <row r="332" spans="2:12" s="131" customFormat="1" ht="12.75">
      <c r="B332" s="459" t="s">
        <v>414</v>
      </c>
      <c r="C332" s="459"/>
      <c r="D332" s="459"/>
      <c r="E332" s="34"/>
      <c r="F332" s="34"/>
      <c r="G332" s="34"/>
      <c r="H332" s="34"/>
      <c r="I332" s="34"/>
      <c r="J332" s="34"/>
      <c r="K332" s="34"/>
      <c r="L332" s="37"/>
    </row>
    <row r="333" spans="2:12" s="131" customFormat="1" ht="12.75">
      <c r="B333" s="460" t="s">
        <v>262</v>
      </c>
      <c r="C333" s="460"/>
      <c r="D333" s="460"/>
      <c r="E333" s="36">
        <f>E327+E331</f>
        <v>35731970</v>
      </c>
      <c r="F333" s="36">
        <f aca="true" t="shared" si="54" ref="F333:K333">F327+F331</f>
        <v>36362746</v>
      </c>
      <c r="G333" s="36">
        <f t="shared" si="54"/>
        <v>28199186</v>
      </c>
      <c r="H333" s="36">
        <f t="shared" si="54"/>
        <v>0</v>
      </c>
      <c r="I333" s="36">
        <f t="shared" si="54"/>
        <v>0</v>
      </c>
      <c r="J333" s="36">
        <f t="shared" si="54"/>
        <v>0</v>
      </c>
      <c r="K333" s="36">
        <f t="shared" si="54"/>
        <v>100293902</v>
      </c>
      <c r="L333" s="139">
        <v>0.9090909090909091</v>
      </c>
    </row>
    <row r="334" spans="2:12" s="131" customFormat="1" ht="12.75">
      <c r="B334" s="463"/>
      <c r="C334" s="463"/>
      <c r="D334" s="463"/>
      <c r="E334" s="136"/>
      <c r="F334" s="136"/>
      <c r="G334" s="136"/>
      <c r="H334" s="136"/>
      <c r="I334" s="136"/>
      <c r="J334" s="136"/>
      <c r="K334" s="136"/>
      <c r="L334" s="127"/>
    </row>
    <row r="335" spans="2:12" ht="12.75">
      <c r="B335" s="481"/>
      <c r="C335" s="481"/>
      <c r="D335" s="481"/>
      <c r="E335" s="52"/>
      <c r="F335" s="52"/>
      <c r="G335" s="52"/>
      <c r="H335" s="52"/>
      <c r="I335" s="52"/>
      <c r="J335" s="52"/>
      <c r="K335" s="52"/>
      <c r="L335" s="49"/>
    </row>
    <row r="336" spans="2:12" ht="12.75">
      <c r="B336" s="463" t="s">
        <v>528</v>
      </c>
      <c r="C336" s="463"/>
      <c r="D336" s="463"/>
      <c r="E336" s="463"/>
      <c r="F336" s="463"/>
      <c r="G336" s="463"/>
      <c r="H336" s="463"/>
      <c r="I336" s="463"/>
      <c r="J336" s="463"/>
      <c r="K336" s="463"/>
      <c r="L336" s="463"/>
    </row>
    <row r="337" spans="2:12" ht="12.75">
      <c r="B337" s="464" t="s">
        <v>562</v>
      </c>
      <c r="C337" s="464"/>
      <c r="D337" s="464"/>
      <c r="E337" s="464"/>
      <c r="F337" s="464"/>
      <c r="G337" s="464"/>
      <c r="H337" s="464"/>
      <c r="I337" s="464"/>
      <c r="J337" s="464"/>
      <c r="K337" s="464"/>
      <c r="L337" s="464"/>
    </row>
    <row r="338" spans="2:12" ht="12.75">
      <c r="B338" s="37"/>
      <c r="C338" s="37"/>
      <c r="D338" s="37"/>
      <c r="E338" s="37"/>
      <c r="F338" s="37"/>
      <c r="G338" s="37"/>
      <c r="H338" s="37"/>
      <c r="I338" s="37"/>
      <c r="J338" s="37"/>
      <c r="K338" s="77" t="s">
        <v>423</v>
      </c>
      <c r="L338" s="37"/>
    </row>
    <row r="339" spans="2:12" ht="38.25">
      <c r="B339" s="447" t="s">
        <v>246</v>
      </c>
      <c r="C339" s="447"/>
      <c r="D339" s="447"/>
      <c r="E339" s="71" t="s">
        <v>472</v>
      </c>
      <c r="F339" s="73" t="s">
        <v>559</v>
      </c>
      <c r="G339" s="73">
        <v>2020</v>
      </c>
      <c r="H339" s="73">
        <v>2021</v>
      </c>
      <c r="I339" s="73">
        <v>2022</v>
      </c>
      <c r="J339" s="73">
        <v>2023</v>
      </c>
      <c r="K339" s="73" t="s">
        <v>52</v>
      </c>
      <c r="L339" s="37"/>
    </row>
    <row r="340" spans="2:12" ht="12.75">
      <c r="B340" s="447" t="s">
        <v>247</v>
      </c>
      <c r="C340" s="447"/>
      <c r="D340" s="447"/>
      <c r="E340" s="133">
        <v>47094716</v>
      </c>
      <c r="F340" s="133">
        <f>F347+F346+F341</f>
        <v>17816680</v>
      </c>
      <c r="G340" s="133">
        <f>G347+G346+G341</f>
        <v>0</v>
      </c>
      <c r="H340" s="133">
        <f>H347+H346+H341</f>
        <v>0</v>
      </c>
      <c r="I340" s="133">
        <f>I347+I346+I341</f>
        <v>0</v>
      </c>
      <c r="J340" s="133">
        <f>J347+J346+J341</f>
        <v>0</v>
      </c>
      <c r="K340" s="133">
        <f>SUM(E340:J340)</f>
        <v>64911396</v>
      </c>
      <c r="L340" s="127"/>
    </row>
    <row r="341" spans="2:12" ht="12.75">
      <c r="B341" s="460" t="s">
        <v>248</v>
      </c>
      <c r="C341" s="460"/>
      <c r="D341" s="460"/>
      <c r="E341" s="36">
        <f aca="true" t="shared" si="55" ref="E341:J341">SUM(E342:E345)</f>
        <v>0</v>
      </c>
      <c r="F341" s="36">
        <f t="shared" si="55"/>
        <v>0</v>
      </c>
      <c r="G341" s="36">
        <f t="shared" si="55"/>
        <v>0</v>
      </c>
      <c r="H341" s="36">
        <f t="shared" si="55"/>
        <v>0</v>
      </c>
      <c r="I341" s="36">
        <f t="shared" si="55"/>
        <v>0</v>
      </c>
      <c r="J341" s="36">
        <f t="shared" si="55"/>
        <v>0</v>
      </c>
      <c r="K341" s="133">
        <f aca="true" t="shared" si="56" ref="K341:K355">SUM(E341:J341)</f>
        <v>0</v>
      </c>
      <c r="L341" s="127"/>
    </row>
    <row r="342" spans="2:12" ht="12.75">
      <c r="B342" s="459" t="s">
        <v>249</v>
      </c>
      <c r="C342" s="459"/>
      <c r="D342" s="459"/>
      <c r="E342" s="34"/>
      <c r="F342" s="34"/>
      <c r="G342" s="34"/>
      <c r="H342" s="34"/>
      <c r="I342" s="34"/>
      <c r="J342" s="34"/>
      <c r="K342" s="133">
        <f t="shared" si="56"/>
        <v>0</v>
      </c>
      <c r="L342" s="37"/>
    </row>
    <row r="343" spans="2:12" ht="12.75">
      <c r="B343" s="459" t="s">
        <v>250</v>
      </c>
      <c r="C343" s="459"/>
      <c r="D343" s="459"/>
      <c r="E343" s="34"/>
      <c r="F343" s="34"/>
      <c r="G343" s="34"/>
      <c r="H343" s="34"/>
      <c r="I343" s="34"/>
      <c r="J343" s="34"/>
      <c r="K343" s="133">
        <f t="shared" si="56"/>
        <v>0</v>
      </c>
      <c r="L343" s="37"/>
    </row>
    <row r="344" spans="2:12" ht="12.75">
      <c r="B344" s="461" t="s">
        <v>359</v>
      </c>
      <c r="C344" s="461"/>
      <c r="D344" s="461"/>
      <c r="E344" s="34"/>
      <c r="F344" s="34"/>
      <c r="G344" s="34"/>
      <c r="H344" s="34"/>
      <c r="I344" s="34"/>
      <c r="J344" s="34"/>
      <c r="K344" s="133">
        <f t="shared" si="56"/>
        <v>0</v>
      </c>
      <c r="L344" s="37"/>
    </row>
    <row r="345" spans="2:12" ht="12.75">
      <c r="B345" s="461" t="s">
        <v>252</v>
      </c>
      <c r="C345" s="461"/>
      <c r="D345" s="461"/>
      <c r="E345" s="34"/>
      <c r="F345" s="34"/>
      <c r="G345" s="34"/>
      <c r="H345" s="34"/>
      <c r="I345" s="34"/>
      <c r="J345" s="34"/>
      <c r="K345" s="133">
        <f t="shared" si="56"/>
        <v>0</v>
      </c>
      <c r="L345" s="37"/>
    </row>
    <row r="346" spans="2:12" ht="12.75">
      <c r="B346" s="462" t="s">
        <v>253</v>
      </c>
      <c r="C346" s="462"/>
      <c r="D346" s="462"/>
      <c r="E346" s="36"/>
      <c r="F346" s="36">
        <v>17816680</v>
      </c>
      <c r="G346" s="36"/>
      <c r="H346" s="36"/>
      <c r="I346" s="36"/>
      <c r="J346" s="36"/>
      <c r="K346" s="133">
        <f t="shared" si="56"/>
        <v>17816680</v>
      </c>
      <c r="L346" s="127"/>
    </row>
    <row r="347" spans="2:12" ht="12.75">
      <c r="B347" s="462" t="s">
        <v>254</v>
      </c>
      <c r="C347" s="462"/>
      <c r="D347" s="462"/>
      <c r="E347" s="36"/>
      <c r="F347" s="34"/>
      <c r="G347" s="34"/>
      <c r="H347" s="34"/>
      <c r="I347" s="34"/>
      <c r="J347" s="34"/>
      <c r="K347" s="133">
        <f t="shared" si="56"/>
        <v>0</v>
      </c>
      <c r="L347" s="37"/>
    </row>
    <row r="348" spans="2:12" ht="12.75">
      <c r="B348" s="460" t="s">
        <v>255</v>
      </c>
      <c r="C348" s="460"/>
      <c r="D348" s="460"/>
      <c r="E348" s="34"/>
      <c r="F348" s="36"/>
      <c r="G348" s="34"/>
      <c r="H348" s="34"/>
      <c r="I348" s="34"/>
      <c r="J348" s="34"/>
      <c r="K348" s="133">
        <f t="shared" si="56"/>
        <v>0</v>
      </c>
      <c r="L348" s="37"/>
    </row>
    <row r="349" spans="2:12" ht="12.75">
      <c r="B349" s="459" t="s">
        <v>248</v>
      </c>
      <c r="C349" s="459"/>
      <c r="D349" s="459"/>
      <c r="E349" s="34"/>
      <c r="F349" s="34"/>
      <c r="G349" s="34"/>
      <c r="H349" s="34"/>
      <c r="I349" s="34"/>
      <c r="J349" s="34"/>
      <c r="K349" s="133">
        <f t="shared" si="56"/>
        <v>0</v>
      </c>
      <c r="L349" s="37"/>
    </row>
    <row r="350" spans="2:12" ht="12.75">
      <c r="B350" s="459" t="s">
        <v>249</v>
      </c>
      <c r="C350" s="459"/>
      <c r="D350" s="459"/>
      <c r="E350" s="34"/>
      <c r="F350" s="34"/>
      <c r="G350" s="34"/>
      <c r="H350" s="34"/>
      <c r="I350" s="34"/>
      <c r="J350" s="34"/>
      <c r="K350" s="133">
        <f t="shared" si="56"/>
        <v>0</v>
      </c>
      <c r="L350" s="37"/>
    </row>
    <row r="351" spans="2:12" ht="12.75">
      <c r="B351" s="459" t="s">
        <v>256</v>
      </c>
      <c r="C351" s="459"/>
      <c r="D351" s="459"/>
      <c r="E351" s="34"/>
      <c r="F351" s="34"/>
      <c r="G351" s="34"/>
      <c r="H351" s="34"/>
      <c r="I351" s="34"/>
      <c r="J351" s="34"/>
      <c r="K351" s="133">
        <f t="shared" si="56"/>
        <v>0</v>
      </c>
      <c r="L351" s="37"/>
    </row>
    <row r="352" spans="2:12" ht="12.75">
      <c r="B352" s="461" t="s">
        <v>251</v>
      </c>
      <c r="C352" s="461"/>
      <c r="D352" s="461"/>
      <c r="E352" s="34"/>
      <c r="F352" s="34"/>
      <c r="G352" s="34"/>
      <c r="H352" s="34"/>
      <c r="I352" s="34"/>
      <c r="J352" s="34"/>
      <c r="K352" s="133">
        <f t="shared" si="56"/>
        <v>0</v>
      </c>
      <c r="L352" s="37"/>
    </row>
    <row r="353" spans="2:12" ht="12.75">
      <c r="B353" s="461" t="s">
        <v>252</v>
      </c>
      <c r="C353" s="461"/>
      <c r="D353" s="461"/>
      <c r="E353" s="34"/>
      <c r="F353" s="34"/>
      <c r="G353" s="34"/>
      <c r="H353" s="34"/>
      <c r="I353" s="34"/>
      <c r="J353" s="34"/>
      <c r="K353" s="133">
        <f t="shared" si="56"/>
        <v>0</v>
      </c>
      <c r="L353" s="37"/>
    </row>
    <row r="354" spans="2:12" ht="12.75">
      <c r="B354" s="461"/>
      <c r="C354" s="461"/>
      <c r="D354" s="461"/>
      <c r="E354" s="34"/>
      <c r="F354" s="34"/>
      <c r="G354" s="34"/>
      <c r="H354" s="34"/>
      <c r="I354" s="34"/>
      <c r="J354" s="34"/>
      <c r="K354" s="133">
        <f t="shared" si="56"/>
        <v>0</v>
      </c>
      <c r="L354" s="37"/>
    </row>
    <row r="355" spans="2:12" ht="12.75">
      <c r="B355" s="460" t="s">
        <v>257</v>
      </c>
      <c r="C355" s="460"/>
      <c r="D355" s="460"/>
      <c r="E355" s="36">
        <f>E346</f>
        <v>0</v>
      </c>
      <c r="F355" s="36">
        <f>F340+F348</f>
        <v>17816680</v>
      </c>
      <c r="G355" s="36">
        <f>G340+G348</f>
        <v>0</v>
      </c>
      <c r="H355" s="36">
        <f>H340+H348</f>
        <v>0</v>
      </c>
      <c r="I355" s="36">
        <f>I340+I348</f>
        <v>0</v>
      </c>
      <c r="J355" s="36">
        <f>J340+J348</f>
        <v>0</v>
      </c>
      <c r="K355" s="133">
        <f t="shared" si="56"/>
        <v>17816680</v>
      </c>
      <c r="L355" s="37"/>
    </row>
    <row r="356" spans="2:12" ht="12.7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2:12" ht="38.25">
      <c r="B357" s="446" t="s">
        <v>258</v>
      </c>
      <c r="C357" s="446"/>
      <c r="D357" s="446"/>
      <c r="E357" s="71" t="s">
        <v>472</v>
      </c>
      <c r="F357" s="73">
        <v>2019</v>
      </c>
      <c r="G357" s="73">
        <v>2020</v>
      </c>
      <c r="H357" s="73">
        <v>2021</v>
      </c>
      <c r="I357" s="73">
        <v>2022</v>
      </c>
      <c r="J357" s="73">
        <v>2023</v>
      </c>
      <c r="K357" s="73" t="s">
        <v>52</v>
      </c>
      <c r="L357" s="37"/>
    </row>
    <row r="358" spans="2:12" ht="12.75">
      <c r="B358" s="460" t="s">
        <v>259</v>
      </c>
      <c r="C358" s="460"/>
      <c r="D358" s="460"/>
      <c r="E358" s="36">
        <f aca="true" t="shared" si="57" ref="E358:K358">E359</f>
        <v>0</v>
      </c>
      <c r="F358" s="36">
        <f t="shared" si="57"/>
        <v>0</v>
      </c>
      <c r="G358" s="36">
        <f t="shared" si="57"/>
        <v>17816680</v>
      </c>
      <c r="H358" s="36">
        <f t="shared" si="57"/>
        <v>0</v>
      </c>
      <c r="I358" s="36">
        <f t="shared" si="57"/>
        <v>0</v>
      </c>
      <c r="J358" s="36">
        <f t="shared" si="57"/>
        <v>0</v>
      </c>
      <c r="K358" s="36">
        <f t="shared" si="57"/>
        <v>17816680</v>
      </c>
      <c r="L358" s="37"/>
    </row>
    <row r="359" spans="2:12" ht="12.75">
      <c r="B359" s="459" t="s">
        <v>260</v>
      </c>
      <c r="C359" s="459"/>
      <c r="D359" s="459"/>
      <c r="E359" s="34"/>
      <c r="F359" s="34"/>
      <c r="G359" s="34">
        <v>17816680</v>
      </c>
      <c r="H359" s="34"/>
      <c r="I359" s="34"/>
      <c r="J359" s="34"/>
      <c r="K359" s="36">
        <f>SUM(E359:J359)</f>
        <v>17816680</v>
      </c>
      <c r="L359" s="37"/>
    </row>
    <row r="360" spans="2:12" ht="12.75">
      <c r="B360" s="461"/>
      <c r="C360" s="461"/>
      <c r="D360" s="461"/>
      <c r="E360" s="34"/>
      <c r="F360" s="34"/>
      <c r="G360" s="34"/>
      <c r="H360" s="34"/>
      <c r="I360" s="34"/>
      <c r="J360" s="34"/>
      <c r="K360" s="34">
        <f>SUM(E360:J360)</f>
        <v>0</v>
      </c>
      <c r="L360" s="37"/>
    </row>
    <row r="361" spans="2:12" ht="12.75">
      <c r="B361" s="461"/>
      <c r="C361" s="461"/>
      <c r="D361" s="461"/>
      <c r="E361" s="34"/>
      <c r="F361" s="34"/>
      <c r="G361" s="34"/>
      <c r="H361" s="34"/>
      <c r="I361" s="34"/>
      <c r="J361" s="34"/>
      <c r="K361" s="34"/>
      <c r="L361" s="37"/>
    </row>
    <row r="362" spans="2:12" ht="12.75">
      <c r="B362" s="135" t="s">
        <v>261</v>
      </c>
      <c r="C362" s="135"/>
      <c r="D362" s="135"/>
      <c r="E362" s="36"/>
      <c r="F362" s="36"/>
      <c r="G362" s="36"/>
      <c r="H362" s="36"/>
      <c r="I362" s="36"/>
      <c r="J362" s="36"/>
      <c r="K362" s="36"/>
      <c r="L362" s="37"/>
    </row>
    <row r="363" spans="2:12" ht="12.75">
      <c r="B363" s="459" t="s">
        <v>414</v>
      </c>
      <c r="C363" s="459"/>
      <c r="D363" s="459"/>
      <c r="E363" s="34"/>
      <c r="F363" s="34"/>
      <c r="G363" s="34"/>
      <c r="H363" s="34"/>
      <c r="I363" s="34"/>
      <c r="J363" s="34"/>
      <c r="K363" s="34"/>
      <c r="L363" s="37"/>
    </row>
    <row r="364" spans="2:12" ht="12.75">
      <c r="B364" s="460" t="s">
        <v>262</v>
      </c>
      <c r="C364" s="460"/>
      <c r="D364" s="460"/>
      <c r="E364" s="36">
        <f>E358+E362</f>
        <v>0</v>
      </c>
      <c r="F364" s="36">
        <f aca="true" t="shared" si="58" ref="F364:K364">F358+F362</f>
        <v>0</v>
      </c>
      <c r="G364" s="36">
        <f t="shared" si="58"/>
        <v>17816680</v>
      </c>
      <c r="H364" s="36">
        <f t="shared" si="58"/>
        <v>0</v>
      </c>
      <c r="I364" s="36">
        <f t="shared" si="58"/>
        <v>0</v>
      </c>
      <c r="J364" s="36">
        <f t="shared" si="58"/>
        <v>0</v>
      </c>
      <c r="K364" s="36">
        <f t="shared" si="58"/>
        <v>17816680</v>
      </c>
      <c r="L364" s="140" t="s">
        <v>565</v>
      </c>
    </row>
  </sheetData>
  <sheetProtection selectLockedCells="1" selectUnlockedCells="1"/>
  <mergeCells count="295">
    <mergeCell ref="B324:D324"/>
    <mergeCell ref="B333:D333"/>
    <mergeCell ref="B334:D334"/>
    <mergeCell ref="B335:D335"/>
    <mergeCell ref="B326:D326"/>
    <mergeCell ref="B327:D327"/>
    <mergeCell ref="B330:D330"/>
    <mergeCell ref="B332:D332"/>
    <mergeCell ref="B328:D328"/>
    <mergeCell ref="B329:D329"/>
    <mergeCell ref="B318:D318"/>
    <mergeCell ref="B319:D319"/>
    <mergeCell ref="B320:D320"/>
    <mergeCell ref="B321:D321"/>
    <mergeCell ref="B322:D322"/>
    <mergeCell ref="B323:D323"/>
    <mergeCell ref="B312:D312"/>
    <mergeCell ref="B313:D313"/>
    <mergeCell ref="B314:D314"/>
    <mergeCell ref="B315:D315"/>
    <mergeCell ref="B316:D316"/>
    <mergeCell ref="B317:D317"/>
    <mergeCell ref="B293:D293"/>
    <mergeCell ref="B302:D302"/>
    <mergeCell ref="B303:D303"/>
    <mergeCell ref="B295:D295"/>
    <mergeCell ref="B296:D296"/>
    <mergeCell ref="B297:D297"/>
    <mergeCell ref="B298:D298"/>
    <mergeCell ref="B299:D299"/>
    <mergeCell ref="B301:D301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74:L274"/>
    <mergeCell ref="B275:L275"/>
    <mergeCell ref="B277:D277"/>
    <mergeCell ref="B278:D278"/>
    <mergeCell ref="B279:D279"/>
    <mergeCell ref="B280:D280"/>
    <mergeCell ref="B257:D257"/>
    <mergeCell ref="B258:D258"/>
    <mergeCell ref="B259:D259"/>
    <mergeCell ref="B260:D260"/>
    <mergeCell ref="B272:D272"/>
    <mergeCell ref="B270:D270"/>
    <mergeCell ref="B261:D261"/>
    <mergeCell ref="B267:D267"/>
    <mergeCell ref="B268:D268"/>
    <mergeCell ref="B271:D271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4:D234"/>
    <mergeCell ref="B235:D235"/>
    <mergeCell ref="B237:D237"/>
    <mergeCell ref="B238:D238"/>
    <mergeCell ref="B242:L242"/>
    <mergeCell ref="B243:L243"/>
    <mergeCell ref="B226:D226"/>
    <mergeCell ref="B227:D227"/>
    <mergeCell ref="B228:D228"/>
    <mergeCell ref="B231:D231"/>
    <mergeCell ref="B232:D232"/>
    <mergeCell ref="B233:D233"/>
    <mergeCell ref="B220:D220"/>
    <mergeCell ref="B221:D221"/>
    <mergeCell ref="B222:D222"/>
    <mergeCell ref="B223:D223"/>
    <mergeCell ref="B224:D224"/>
    <mergeCell ref="B225:D225"/>
    <mergeCell ref="B214:D214"/>
    <mergeCell ref="B215:D215"/>
    <mergeCell ref="B216:D216"/>
    <mergeCell ref="B217:D217"/>
    <mergeCell ref="B218:D218"/>
    <mergeCell ref="B219:D219"/>
    <mergeCell ref="B171:D171"/>
    <mergeCell ref="B172:D172"/>
    <mergeCell ref="B209:L209"/>
    <mergeCell ref="B210:L210"/>
    <mergeCell ref="B212:D212"/>
    <mergeCell ref="B213:D213"/>
    <mergeCell ref="B181:D181"/>
    <mergeCell ref="B182:D182"/>
    <mergeCell ref="B183:D183"/>
    <mergeCell ref="B202:D202"/>
    <mergeCell ref="B162:D162"/>
    <mergeCell ref="B165:D165"/>
    <mergeCell ref="B166:D166"/>
    <mergeCell ref="B167:D167"/>
    <mergeCell ref="B168:D168"/>
    <mergeCell ref="B169:D169"/>
    <mergeCell ref="B156:D156"/>
    <mergeCell ref="B157:D157"/>
    <mergeCell ref="B158:D158"/>
    <mergeCell ref="B159:D159"/>
    <mergeCell ref="B160:D160"/>
    <mergeCell ref="B161:D161"/>
    <mergeCell ref="B150:D150"/>
    <mergeCell ref="B151:D151"/>
    <mergeCell ref="B152:D152"/>
    <mergeCell ref="B153:D153"/>
    <mergeCell ref="B154:D154"/>
    <mergeCell ref="B155:D155"/>
    <mergeCell ref="B143:L143"/>
    <mergeCell ref="B144:L144"/>
    <mergeCell ref="B146:D146"/>
    <mergeCell ref="B147:D147"/>
    <mergeCell ref="B148:D148"/>
    <mergeCell ref="B149:D149"/>
    <mergeCell ref="B133:D133"/>
    <mergeCell ref="B134:D134"/>
    <mergeCell ref="B135:D135"/>
    <mergeCell ref="B136:D136"/>
    <mergeCell ref="B138:D138"/>
    <mergeCell ref="B139:D139"/>
    <mergeCell ref="B125:D125"/>
    <mergeCell ref="B126:D126"/>
    <mergeCell ref="B127:D127"/>
    <mergeCell ref="B128:D128"/>
    <mergeCell ref="B129:D129"/>
    <mergeCell ref="B132:D132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2:D102"/>
    <mergeCell ref="B103:D103"/>
    <mergeCell ref="B105:D105"/>
    <mergeCell ref="B106:D106"/>
    <mergeCell ref="B110:L110"/>
    <mergeCell ref="B111:L111"/>
    <mergeCell ref="B94:D94"/>
    <mergeCell ref="B95:D95"/>
    <mergeCell ref="B96:D96"/>
    <mergeCell ref="B99:D99"/>
    <mergeCell ref="B100:D100"/>
    <mergeCell ref="B101:D101"/>
    <mergeCell ref="B88:D88"/>
    <mergeCell ref="B89:D89"/>
    <mergeCell ref="B90:D90"/>
    <mergeCell ref="B91:D91"/>
    <mergeCell ref="B92:D92"/>
    <mergeCell ref="B93:D93"/>
    <mergeCell ref="B72:D72"/>
    <mergeCell ref="B73:D73"/>
    <mergeCell ref="B77:L77"/>
    <mergeCell ref="B78:L78"/>
    <mergeCell ref="B80:D80"/>
    <mergeCell ref="B81:D81"/>
    <mergeCell ref="B65:D65"/>
    <mergeCell ref="B66:D66"/>
    <mergeCell ref="B68:D68"/>
    <mergeCell ref="B42:L42"/>
    <mergeCell ref="B43:L43"/>
    <mergeCell ref="B60:D60"/>
    <mergeCell ref="B61:D61"/>
    <mergeCell ref="B67:D67"/>
    <mergeCell ref="B57:D57"/>
    <mergeCell ref="B58:D58"/>
    <mergeCell ref="B59:D59"/>
    <mergeCell ref="B64:D64"/>
    <mergeCell ref="B82:D82"/>
    <mergeCell ref="B83:D83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26:D26"/>
    <mergeCell ref="B29:D29"/>
    <mergeCell ref="B30:D30"/>
    <mergeCell ref="B31:D31"/>
    <mergeCell ref="B32:D32"/>
    <mergeCell ref="B33:D3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7:L7"/>
    <mergeCell ref="B8:L8"/>
    <mergeCell ref="B10:D10"/>
    <mergeCell ref="B11:D11"/>
    <mergeCell ref="B12:D12"/>
    <mergeCell ref="B13:D13"/>
    <mergeCell ref="B69:D69"/>
    <mergeCell ref="B70:D70"/>
    <mergeCell ref="B204:D204"/>
    <mergeCell ref="B205:D205"/>
    <mergeCell ref="B198:D198"/>
    <mergeCell ref="B199:D199"/>
    <mergeCell ref="B200:D200"/>
    <mergeCell ref="B201:D201"/>
    <mergeCell ref="B86:D86"/>
    <mergeCell ref="B87:D87"/>
    <mergeCell ref="B193:D193"/>
    <mergeCell ref="B194:D194"/>
    <mergeCell ref="B195:D195"/>
    <mergeCell ref="B1:F1"/>
    <mergeCell ref="A3:M3"/>
    <mergeCell ref="B176:L176"/>
    <mergeCell ref="B177:L177"/>
    <mergeCell ref="B179:D179"/>
    <mergeCell ref="B180:D180"/>
    <mergeCell ref="B34:D34"/>
    <mergeCell ref="B187:D187"/>
    <mergeCell ref="B188:D188"/>
    <mergeCell ref="B189:D189"/>
    <mergeCell ref="B190:D190"/>
    <mergeCell ref="B191:D191"/>
    <mergeCell ref="B192:D192"/>
    <mergeCell ref="B264:D264"/>
    <mergeCell ref="B265:D265"/>
    <mergeCell ref="B266:D266"/>
    <mergeCell ref="B37:D37"/>
    <mergeCell ref="B38:D38"/>
    <mergeCell ref="B84:D84"/>
    <mergeCell ref="B85:D85"/>
    <mergeCell ref="B184:D184"/>
    <mergeCell ref="B185:D185"/>
    <mergeCell ref="B186:D186"/>
    <mergeCell ref="B305:L305"/>
    <mergeCell ref="B306:L306"/>
    <mergeCell ref="B309:D309"/>
    <mergeCell ref="B310:D310"/>
    <mergeCell ref="B308:D308"/>
    <mergeCell ref="B311:D311"/>
    <mergeCell ref="B336:L336"/>
    <mergeCell ref="B337:L337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63:D363"/>
    <mergeCell ref="B364:D364"/>
    <mergeCell ref="B355:D355"/>
    <mergeCell ref="B357:D357"/>
    <mergeCell ref="B358:D358"/>
    <mergeCell ref="B359:D359"/>
    <mergeCell ref="B360:D360"/>
    <mergeCell ref="B361:D361"/>
  </mergeCells>
  <printOptions/>
  <pageMargins left="0.3798611111111111" right="0.25972222222222224" top="0.4701388888888889" bottom="0.4798611111111111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.25390625" style="0" customWidth="1"/>
    <col min="4" max="4" width="20.00390625" style="0" customWidth="1"/>
    <col min="5" max="5" width="19.125" style="0" customWidth="1"/>
    <col min="7" max="7" width="7.125" style="0" customWidth="1"/>
  </cols>
  <sheetData>
    <row r="1" s="37" customFormat="1" ht="12.75"/>
    <row r="2" spans="1:6" s="37" customFormat="1" ht="14.25" customHeight="1">
      <c r="A2" s="484" t="s">
        <v>604</v>
      </c>
      <c r="B2" s="484"/>
      <c r="C2" s="484"/>
      <c r="D2" s="484"/>
      <c r="E2" s="484"/>
      <c r="F2" s="484"/>
    </row>
    <row r="3" s="37" customFormat="1" ht="12.75"/>
    <row r="4" s="37" customFormat="1" ht="12.75">
      <c r="B4" s="127" t="s">
        <v>263</v>
      </c>
    </row>
    <row r="5" spans="2:6" s="37" customFormat="1" ht="12.75">
      <c r="B5" s="127" t="s">
        <v>264</v>
      </c>
      <c r="C5" s="127"/>
      <c r="D5" s="127"/>
      <c r="E5" s="127"/>
      <c r="F5" s="127"/>
    </row>
    <row r="6" spans="2:6" s="37" customFormat="1" ht="15.75">
      <c r="B6" s="127"/>
      <c r="C6" s="127"/>
      <c r="D6" s="127"/>
      <c r="E6" s="127"/>
      <c r="F6" s="141"/>
    </row>
    <row r="7" spans="2:6" s="37" customFormat="1" ht="15.75">
      <c r="B7" s="127"/>
      <c r="C7" s="127"/>
      <c r="D7" s="127" t="s">
        <v>554</v>
      </c>
      <c r="E7" s="127"/>
      <c r="F7" s="141"/>
    </row>
    <row r="8" spans="2:6" s="37" customFormat="1" ht="15.75">
      <c r="B8" s="141"/>
      <c r="C8" s="141"/>
      <c r="D8" s="141"/>
      <c r="E8" s="141"/>
      <c r="F8" s="141"/>
    </row>
    <row r="9" s="37" customFormat="1" ht="12.75"/>
    <row r="10" s="37" customFormat="1" ht="12.75">
      <c r="A10" s="37" t="s">
        <v>265</v>
      </c>
    </row>
    <row r="11" s="37" customFormat="1" ht="12.75"/>
    <row r="12" s="37" customFormat="1" ht="12.75"/>
    <row r="13" s="37" customFormat="1" ht="12.75">
      <c r="A13" s="37" t="s">
        <v>266</v>
      </c>
    </row>
    <row r="14" s="37" customFormat="1" ht="12.75">
      <c r="A14" s="37" t="s">
        <v>267</v>
      </c>
    </row>
    <row r="15" s="37" customFormat="1" ht="12.75">
      <c r="A15" s="142" t="s">
        <v>268</v>
      </c>
    </row>
    <row r="16" s="37" customFormat="1" ht="12.75">
      <c r="A16" s="142"/>
    </row>
    <row r="17" s="37" customFormat="1" ht="12.75"/>
    <row r="18" spans="1:5" s="37" customFormat="1" ht="12.75">
      <c r="A18" s="485" t="s">
        <v>269</v>
      </c>
      <c r="B18" s="486"/>
      <c r="C18" s="486"/>
      <c r="D18" s="486"/>
      <c r="E18" s="144" t="s">
        <v>270</v>
      </c>
    </row>
    <row r="19" spans="1:5" s="37" customFormat="1" ht="12.75">
      <c r="A19" s="485"/>
      <c r="B19" s="434" t="s">
        <v>271</v>
      </c>
      <c r="C19" s="434"/>
      <c r="D19" s="434"/>
      <c r="E19" s="145" t="s">
        <v>272</v>
      </c>
    </row>
    <row r="20" spans="1:5" s="37" customFormat="1" ht="12.75">
      <c r="A20" s="485"/>
      <c r="B20" s="414"/>
      <c r="C20" s="414"/>
      <c r="D20" s="414"/>
      <c r="E20" s="145" t="s">
        <v>273</v>
      </c>
    </row>
    <row r="21" spans="1:5" s="37" customFormat="1" ht="15" customHeight="1">
      <c r="A21" s="146">
        <v>1</v>
      </c>
      <c r="B21" s="147" t="s">
        <v>274</v>
      </c>
      <c r="C21" s="148"/>
      <c r="D21" s="149"/>
      <c r="E21" s="149"/>
    </row>
    <row r="22" spans="1:5" s="37" customFormat="1" ht="15" customHeight="1">
      <c r="A22" s="150">
        <v>2</v>
      </c>
      <c r="B22" s="151" t="s">
        <v>275</v>
      </c>
      <c r="C22" s="152"/>
      <c r="D22" s="153"/>
      <c r="E22" s="153"/>
    </row>
    <row r="23" spans="1:5" s="37" customFormat="1" ht="15" customHeight="1">
      <c r="A23" s="154"/>
      <c r="B23" s="155" t="s">
        <v>276</v>
      </c>
      <c r="C23" s="156"/>
      <c r="D23" s="157"/>
      <c r="E23" s="157"/>
    </row>
    <row r="24" spans="1:5" s="37" customFormat="1" ht="15" customHeight="1">
      <c r="A24" s="150">
        <v>3</v>
      </c>
      <c r="B24" s="151" t="s">
        <v>277</v>
      </c>
      <c r="C24" s="152"/>
      <c r="D24" s="153"/>
      <c r="E24" s="153"/>
    </row>
    <row r="25" spans="1:5" s="37" customFormat="1" ht="15" customHeight="1">
      <c r="A25" s="154"/>
      <c r="B25" s="482" t="s">
        <v>278</v>
      </c>
      <c r="C25" s="482"/>
      <c r="D25" s="482"/>
      <c r="E25" s="157"/>
    </row>
    <row r="26" spans="1:5" s="37" customFormat="1" ht="15" customHeight="1">
      <c r="A26" s="154">
        <v>4</v>
      </c>
      <c r="B26" s="155" t="s">
        <v>279</v>
      </c>
      <c r="C26" s="156"/>
      <c r="D26" s="157"/>
      <c r="E26" s="157"/>
    </row>
    <row r="27" spans="1:5" s="37" customFormat="1" ht="15" customHeight="1">
      <c r="A27" s="150">
        <v>5</v>
      </c>
      <c r="B27" s="151" t="s">
        <v>280</v>
      </c>
      <c r="C27" s="152"/>
      <c r="D27" s="153"/>
      <c r="E27" s="153"/>
    </row>
    <row r="28" spans="1:5" s="37" customFormat="1" ht="15" customHeight="1">
      <c r="A28" s="154"/>
      <c r="B28" s="482" t="s">
        <v>281</v>
      </c>
      <c r="C28" s="482"/>
      <c r="D28" s="482"/>
      <c r="E28" s="157"/>
    </row>
    <row r="29" spans="1:5" s="37" customFormat="1" ht="15" customHeight="1">
      <c r="A29" s="146">
        <v>6</v>
      </c>
      <c r="B29" s="147" t="s">
        <v>282</v>
      </c>
      <c r="C29" s="148"/>
      <c r="D29" s="149"/>
      <c r="E29" s="149"/>
    </row>
    <row r="30" spans="1:5" s="37" customFormat="1" ht="15" customHeight="1">
      <c r="A30" s="146">
        <v>7</v>
      </c>
      <c r="B30" s="147" t="s">
        <v>283</v>
      </c>
      <c r="C30" s="148"/>
      <c r="D30" s="149"/>
      <c r="E30" s="149"/>
    </row>
    <row r="31" spans="1:5" s="37" customFormat="1" ht="17.25" customHeight="1">
      <c r="A31" s="155"/>
      <c r="B31" s="158" t="s">
        <v>160</v>
      </c>
      <c r="C31" s="156"/>
      <c r="D31" s="157"/>
      <c r="E31" s="157"/>
    </row>
    <row r="32" s="37" customFormat="1" ht="12.75"/>
    <row r="33" spans="2:5" s="37" customFormat="1" ht="12.75">
      <c r="B33" s="142" t="s">
        <v>284</v>
      </c>
      <c r="C33" s="142"/>
      <c r="D33" s="142"/>
      <c r="E33" s="142"/>
    </row>
    <row r="34" spans="2:5" s="37" customFormat="1" ht="12.75">
      <c r="B34" s="142" t="s">
        <v>285</v>
      </c>
      <c r="C34" s="142"/>
      <c r="D34" s="142"/>
      <c r="E34" s="142"/>
    </row>
    <row r="35" spans="2:5" s="37" customFormat="1" ht="12.75">
      <c r="B35" s="142"/>
      <c r="C35" s="142"/>
      <c r="D35" s="142"/>
      <c r="E35" s="142"/>
    </row>
    <row r="36" s="37" customFormat="1" ht="12.75"/>
    <row r="37" spans="1:4" s="37" customFormat="1" ht="12.75">
      <c r="A37" s="483" t="s">
        <v>448</v>
      </c>
      <c r="B37" s="483"/>
      <c r="C37" s="483"/>
      <c r="D37" s="483"/>
    </row>
    <row r="38" s="37" customFormat="1" ht="12.75"/>
    <row r="39" s="37" customFormat="1" ht="12.75"/>
    <row r="40" s="37" customFormat="1" ht="12.75">
      <c r="E40" s="37" t="s">
        <v>286</v>
      </c>
    </row>
    <row r="41" s="37" customFormat="1" ht="12.75">
      <c r="E41" s="37" t="s">
        <v>287</v>
      </c>
    </row>
    <row r="42" s="37" customFormat="1" ht="12.75"/>
  </sheetData>
  <sheetProtection selectLockedCells="1" selectUnlockedCells="1"/>
  <mergeCells count="8">
    <mergeCell ref="B25:D25"/>
    <mergeCell ref="B28:D28"/>
    <mergeCell ref="A37:D37"/>
    <mergeCell ref="A2:F2"/>
    <mergeCell ref="A18:A20"/>
    <mergeCell ref="B18:D18"/>
    <mergeCell ref="B19:D19"/>
    <mergeCell ref="B20:D20"/>
  </mergeCells>
  <printOptions/>
  <pageMargins left="1.1298611111111112" right="0.75" top="1" bottom="1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A1" sqref="A1:E1"/>
    </sheetView>
  </sheetViews>
  <sheetFormatPr defaultColWidth="7.625" defaultRowHeight="12.75"/>
  <cols>
    <col min="1" max="1" width="8.00390625" style="3" customWidth="1"/>
    <col min="2" max="2" width="19.875" style="18" customWidth="1"/>
    <col min="3" max="4" width="10.375" style="4" customWidth="1"/>
    <col min="5" max="5" width="10.75390625" style="4" customWidth="1"/>
    <col min="6" max="6" width="9.625" style="4" customWidth="1"/>
    <col min="7" max="8" width="9.25390625" style="4" customWidth="1"/>
    <col min="9" max="9" width="9.625" style="4" customWidth="1"/>
    <col min="10" max="10" width="10.25390625" style="4" customWidth="1"/>
    <col min="11" max="11" width="9.75390625" style="4" customWidth="1"/>
    <col min="12" max="12" width="11.00390625" style="4" customWidth="1"/>
    <col min="13" max="13" width="10.75390625" style="4" customWidth="1"/>
    <col min="14" max="14" width="11.75390625" style="4" customWidth="1"/>
    <col min="15" max="15" width="10.875" style="3" customWidth="1"/>
    <col min="16" max="16384" width="7.625" style="4" customWidth="1"/>
  </cols>
  <sheetData>
    <row r="1" spans="1:15" ht="15.75">
      <c r="A1" s="435" t="s">
        <v>605</v>
      </c>
      <c r="B1" s="435"/>
      <c r="C1" s="435"/>
      <c r="D1" s="435"/>
      <c r="E1" s="435"/>
      <c r="F1" s="159"/>
      <c r="G1" s="159"/>
      <c r="H1" s="159"/>
      <c r="I1" s="159"/>
      <c r="J1" s="159"/>
      <c r="K1" s="159"/>
      <c r="L1" s="159"/>
      <c r="M1" s="159"/>
      <c r="N1" s="159"/>
      <c r="O1" s="160"/>
    </row>
    <row r="2" spans="1:15" ht="28.5" customHeight="1">
      <c r="A2" s="487" t="s">
        <v>579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</row>
    <row r="3" spans="1:15" ht="28.5" customHeight="1" thickBot="1">
      <c r="A3" s="348"/>
      <c r="B3" s="350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9" t="s">
        <v>423</v>
      </c>
    </row>
    <row r="4" spans="1:15" s="3" customFormat="1" ht="21" customHeight="1" thickTop="1">
      <c r="A4" s="347" t="s">
        <v>573</v>
      </c>
      <c r="B4" s="161" t="s">
        <v>217</v>
      </c>
      <c r="C4" s="161" t="s">
        <v>288</v>
      </c>
      <c r="D4" s="161" t="s">
        <v>289</v>
      </c>
      <c r="E4" s="161" t="s">
        <v>290</v>
      </c>
      <c r="F4" s="161" t="s">
        <v>291</v>
      </c>
      <c r="G4" s="161" t="s">
        <v>292</v>
      </c>
      <c r="H4" s="161" t="s">
        <v>293</v>
      </c>
      <c r="I4" s="161" t="s">
        <v>294</v>
      </c>
      <c r="J4" s="161" t="s">
        <v>574</v>
      </c>
      <c r="K4" s="161" t="s">
        <v>575</v>
      </c>
      <c r="L4" s="161" t="s">
        <v>576</v>
      </c>
      <c r="M4" s="161" t="s">
        <v>577</v>
      </c>
      <c r="N4" s="161" t="s">
        <v>578</v>
      </c>
      <c r="O4" s="162" t="s">
        <v>295</v>
      </c>
    </row>
    <row r="5" spans="1:15" s="10" customFormat="1" ht="17.25" customHeight="1">
      <c r="A5" s="163" t="s">
        <v>161</v>
      </c>
      <c r="B5" s="164" t="s">
        <v>296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6">
        <f aca="true" t="shared" si="0" ref="O5:O25">SUM(C5:N5)</f>
        <v>0</v>
      </c>
    </row>
    <row r="6" spans="1:15" s="13" customFormat="1" ht="45" customHeight="1">
      <c r="A6" s="163" t="s">
        <v>162</v>
      </c>
      <c r="B6" s="351" t="s">
        <v>297</v>
      </c>
      <c r="C6" s="68">
        <f>21300000+123004</f>
        <v>21423004</v>
      </c>
      <c r="D6" s="68">
        <f>13000000+123004+1131846</f>
        <v>14254850</v>
      </c>
      <c r="E6" s="354">
        <f>21587000+123004</f>
        <v>21710004</v>
      </c>
      <c r="F6" s="354">
        <f>21087000+123004</f>
        <v>21210004</v>
      </c>
      <c r="G6" s="354">
        <v>69141168</v>
      </c>
      <c r="H6" s="354">
        <f>32865000+123004+154672</f>
        <v>33142676</v>
      </c>
      <c r="I6" s="354">
        <f>16100000+123004</f>
        <v>16223004</v>
      </c>
      <c r="J6" s="354">
        <f>16100000+123004</f>
        <v>16223004</v>
      </c>
      <c r="K6" s="354">
        <f>16100000+123007</f>
        <v>16223007</v>
      </c>
      <c r="L6" s="354">
        <v>16100000</v>
      </c>
      <c r="M6" s="354">
        <v>16100000</v>
      </c>
      <c r="N6" s="354">
        <v>16100469</v>
      </c>
      <c r="O6" s="355">
        <f t="shared" si="0"/>
        <v>277851190</v>
      </c>
    </row>
    <row r="7" spans="1:15" s="13" customFormat="1" ht="15.75">
      <c r="A7" s="163" t="s">
        <v>163</v>
      </c>
      <c r="B7" s="352" t="s">
        <v>298</v>
      </c>
      <c r="C7" s="68">
        <v>100000</v>
      </c>
      <c r="D7" s="69">
        <v>100000</v>
      </c>
      <c r="E7" s="354">
        <v>6500000</v>
      </c>
      <c r="F7" s="354">
        <v>5000000</v>
      </c>
      <c r="G7" s="354">
        <v>5500000</v>
      </c>
      <c r="H7" s="354">
        <v>2500000</v>
      </c>
      <c r="I7" s="354">
        <v>2500000</v>
      </c>
      <c r="J7" s="354">
        <v>2000000</v>
      </c>
      <c r="K7" s="354">
        <v>7000000</v>
      </c>
      <c r="L7" s="354">
        <v>4000000</v>
      </c>
      <c r="M7" s="354">
        <v>1340000</v>
      </c>
      <c r="N7" s="354">
        <f>960000+50000</f>
        <v>1010000</v>
      </c>
      <c r="O7" s="355">
        <f t="shared" si="0"/>
        <v>37550000</v>
      </c>
    </row>
    <row r="8" spans="1:15" s="13" customFormat="1" ht="15.75">
      <c r="A8" s="163"/>
      <c r="B8" s="352" t="s">
        <v>299</v>
      </c>
      <c r="C8" s="68">
        <f>2100000-277005</f>
        <v>1822995</v>
      </c>
      <c r="D8" s="69">
        <f>2400000-277005</f>
        <v>2122995</v>
      </c>
      <c r="E8" s="354">
        <f>2400000-277005</f>
        <v>2122995</v>
      </c>
      <c r="F8" s="354">
        <v>2400000</v>
      </c>
      <c r="G8" s="354">
        <f>4300000-498609+60</f>
        <v>3801451</v>
      </c>
      <c r="H8" s="354">
        <f>2400000-498609</f>
        <v>1901391</v>
      </c>
      <c r="I8" s="354">
        <v>1500000</v>
      </c>
      <c r="J8" s="354">
        <v>1000000</v>
      </c>
      <c r="K8" s="354">
        <f>2100000-498611</f>
        <v>1601389</v>
      </c>
      <c r="L8" s="354">
        <f>2100000-498609</f>
        <v>1601391</v>
      </c>
      <c r="M8" s="354">
        <f>2133000-498609</f>
        <v>1634391</v>
      </c>
      <c r="N8" s="354">
        <v>2415632</v>
      </c>
      <c r="O8" s="355">
        <f t="shared" si="0"/>
        <v>23924630</v>
      </c>
    </row>
    <row r="9" spans="1:15" s="13" customFormat="1" ht="25.5">
      <c r="A9" s="163" t="s">
        <v>164</v>
      </c>
      <c r="B9" s="72" t="s">
        <v>300</v>
      </c>
      <c r="C9" s="68"/>
      <c r="D9" s="68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>
        <f t="shared" si="0"/>
        <v>0</v>
      </c>
    </row>
    <row r="10" spans="1:15" s="13" customFormat="1" ht="19.5" customHeight="1">
      <c r="A10" s="163" t="s">
        <v>301</v>
      </c>
      <c r="B10" s="72" t="s">
        <v>302</v>
      </c>
      <c r="C10" s="68"/>
      <c r="D10" s="68"/>
      <c r="E10" s="354"/>
      <c r="F10" s="354"/>
      <c r="G10" s="354"/>
      <c r="H10" s="354">
        <v>26189532</v>
      </c>
      <c r="I10" s="354"/>
      <c r="J10" s="354"/>
      <c r="K10" s="354"/>
      <c r="L10" s="354"/>
      <c r="M10" s="354"/>
      <c r="N10" s="354"/>
      <c r="O10" s="355">
        <f t="shared" si="0"/>
        <v>26189532</v>
      </c>
    </row>
    <row r="11" spans="1:15" s="13" customFormat="1" ht="42" customHeight="1">
      <c r="A11" s="163" t="s">
        <v>303</v>
      </c>
      <c r="B11" s="352" t="s">
        <v>304</v>
      </c>
      <c r="C11" s="68"/>
      <c r="D11" s="69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5">
        <f t="shared" si="0"/>
        <v>0</v>
      </c>
    </row>
    <row r="12" spans="1:15" s="13" customFormat="1" ht="25.5">
      <c r="A12" s="163" t="s">
        <v>305</v>
      </c>
      <c r="B12" s="72" t="s">
        <v>306</v>
      </c>
      <c r="C12" s="68"/>
      <c r="D12" s="68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5">
        <f t="shared" si="0"/>
        <v>0</v>
      </c>
    </row>
    <row r="13" spans="1:15" s="13" customFormat="1" ht="16.5" thickBot="1">
      <c r="A13" s="163" t="s">
        <v>307</v>
      </c>
      <c r="B13" s="167" t="s">
        <v>308</v>
      </c>
      <c r="C13" s="356">
        <v>745359274</v>
      </c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7">
        <f t="shared" si="0"/>
        <v>745359274</v>
      </c>
    </row>
    <row r="14" spans="1:15" s="10" customFormat="1" ht="23.25" customHeight="1" thickBot="1" thickTop="1">
      <c r="A14" s="163" t="s">
        <v>309</v>
      </c>
      <c r="B14" s="168" t="s">
        <v>310</v>
      </c>
      <c r="C14" s="358">
        <f aca="true" t="shared" si="1" ref="C14:N14">SUM(C6:C13)</f>
        <v>768705273</v>
      </c>
      <c r="D14" s="358">
        <f t="shared" si="1"/>
        <v>16477845</v>
      </c>
      <c r="E14" s="358">
        <f t="shared" si="1"/>
        <v>30332999</v>
      </c>
      <c r="F14" s="358">
        <f t="shared" si="1"/>
        <v>28610004</v>
      </c>
      <c r="G14" s="358">
        <f t="shared" si="1"/>
        <v>78442619</v>
      </c>
      <c r="H14" s="358">
        <f t="shared" si="1"/>
        <v>63733599</v>
      </c>
      <c r="I14" s="358">
        <f t="shared" si="1"/>
        <v>20223004</v>
      </c>
      <c r="J14" s="358">
        <f t="shared" si="1"/>
        <v>19223004</v>
      </c>
      <c r="K14" s="358">
        <f t="shared" si="1"/>
        <v>24824396</v>
      </c>
      <c r="L14" s="358">
        <f t="shared" si="1"/>
        <v>21701391</v>
      </c>
      <c r="M14" s="358">
        <f t="shared" si="1"/>
        <v>19074391</v>
      </c>
      <c r="N14" s="358">
        <f t="shared" si="1"/>
        <v>19526101</v>
      </c>
      <c r="O14" s="359">
        <f t="shared" si="0"/>
        <v>1110874626</v>
      </c>
    </row>
    <row r="15" spans="1:15" s="10" customFormat="1" ht="15.75" customHeight="1" thickTop="1">
      <c r="A15" s="163" t="s">
        <v>311</v>
      </c>
      <c r="B15" s="164" t="s">
        <v>312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55">
        <f t="shared" si="0"/>
        <v>0</v>
      </c>
    </row>
    <row r="16" spans="1:15" s="13" customFormat="1" ht="15.75">
      <c r="A16" s="163" t="s">
        <v>313</v>
      </c>
      <c r="B16" s="169" t="s">
        <v>314</v>
      </c>
      <c r="C16" s="361">
        <f>16900000-1269173</f>
        <v>15630827</v>
      </c>
      <c r="D16" s="361">
        <f>16900000-1269173+880600</f>
        <v>16511427</v>
      </c>
      <c r="E16" s="361">
        <f>17000000-1269173</f>
        <v>15730827</v>
      </c>
      <c r="F16" s="361">
        <f>16900000-1269173</f>
        <v>15630827</v>
      </c>
      <c r="G16" s="361">
        <f>18686000-1269173</f>
        <v>17416827</v>
      </c>
      <c r="H16" s="361">
        <f>18500000-1269173</f>
        <v>17230827</v>
      </c>
      <c r="I16" s="361">
        <f>17000000-1269173</f>
        <v>15730827</v>
      </c>
      <c r="J16" s="361">
        <f>17000000-1269173</f>
        <v>15730827</v>
      </c>
      <c r="K16" s="361">
        <f>17000000-1269173</f>
        <v>15730827</v>
      </c>
      <c r="L16" s="361">
        <f>17046667-1269173</f>
        <v>15777494</v>
      </c>
      <c r="M16" s="361">
        <f>17000000-1269173</f>
        <v>15730827</v>
      </c>
      <c r="N16" s="361">
        <f>17000000-1269173</f>
        <v>15730827</v>
      </c>
      <c r="O16" s="355">
        <f t="shared" si="0"/>
        <v>192583191</v>
      </c>
    </row>
    <row r="17" spans="1:15" s="13" customFormat="1" ht="15.75">
      <c r="A17" s="163" t="s">
        <v>315</v>
      </c>
      <c r="B17" s="169" t="s">
        <v>316</v>
      </c>
      <c r="C17" s="361">
        <f>C16*0.183-159743</f>
        <v>2700698.341</v>
      </c>
      <c r="D17" s="361">
        <f>D16*0.183-159742+6216</f>
        <v>2868065.141</v>
      </c>
      <c r="E17" s="361">
        <f>E16*0.183-159743</f>
        <v>2718998.341</v>
      </c>
      <c r="F17" s="361">
        <f>3056939-159744</f>
        <v>2897195</v>
      </c>
      <c r="G17" s="361">
        <f aca="true" t="shared" si="2" ref="G17:N17">G16*0.183</f>
        <v>3187279.341</v>
      </c>
      <c r="H17" s="361">
        <f>H16*0.183-159743</f>
        <v>2993498.341</v>
      </c>
      <c r="I17" s="361">
        <f>I16*0.183-159743+2</f>
        <v>2719000.341</v>
      </c>
      <c r="J17" s="361">
        <f t="shared" si="2"/>
        <v>2878741.341</v>
      </c>
      <c r="K17" s="361">
        <f>K16*0.183</f>
        <v>2878741.341</v>
      </c>
      <c r="L17" s="361">
        <f t="shared" si="2"/>
        <v>2887281.402</v>
      </c>
      <c r="M17" s="361">
        <f t="shared" si="2"/>
        <v>2878741.341</v>
      </c>
      <c r="N17" s="361">
        <f t="shared" si="2"/>
        <v>2878741.341</v>
      </c>
      <c r="O17" s="355">
        <f t="shared" si="0"/>
        <v>34486981.611999996</v>
      </c>
    </row>
    <row r="18" spans="1:15" s="13" customFormat="1" ht="15.75">
      <c r="A18" s="163" t="s">
        <v>317</v>
      </c>
      <c r="B18" s="169" t="s">
        <v>140</v>
      </c>
      <c r="C18" s="361">
        <v>15000000</v>
      </c>
      <c r="D18" s="361">
        <f>13000000-4478984+83880</f>
        <v>8604896</v>
      </c>
      <c r="E18" s="361">
        <v>13000000</v>
      </c>
      <c r="F18" s="361">
        <f>12000000-4478984</f>
        <v>7521016</v>
      </c>
      <c r="G18" s="361">
        <f>13000000-4478984</f>
        <v>8521016</v>
      </c>
      <c r="H18" s="361">
        <v>12000000</v>
      </c>
      <c r="I18" s="361">
        <f>12000000-4478988</f>
        <v>7521012</v>
      </c>
      <c r="J18" s="361">
        <v>12000000</v>
      </c>
      <c r="K18" s="361">
        <v>12000000</v>
      </c>
      <c r="L18" s="361">
        <f>30000000-4478985</f>
        <v>25521015</v>
      </c>
      <c r="M18" s="361">
        <f>12000000-4478984</f>
        <v>7521016</v>
      </c>
      <c r="N18" s="361">
        <v>15570158</v>
      </c>
      <c r="O18" s="355">
        <f t="shared" si="0"/>
        <v>144780129</v>
      </c>
    </row>
    <row r="19" spans="1:15" s="13" customFormat="1" ht="15.75">
      <c r="A19" s="163" t="s">
        <v>318</v>
      </c>
      <c r="B19" s="169" t="s">
        <v>319</v>
      </c>
      <c r="C19" s="361">
        <v>420000</v>
      </c>
      <c r="D19" s="361">
        <v>420000</v>
      </c>
      <c r="E19" s="361">
        <v>420000</v>
      </c>
      <c r="F19" s="361">
        <v>420000</v>
      </c>
      <c r="G19" s="361">
        <v>400000</v>
      </c>
      <c r="H19" s="361">
        <v>400000</v>
      </c>
      <c r="I19" s="361">
        <v>400000</v>
      </c>
      <c r="J19" s="361">
        <v>400000</v>
      </c>
      <c r="K19" s="361">
        <v>400000</v>
      </c>
      <c r="L19" s="361">
        <v>500000</v>
      </c>
      <c r="M19" s="361">
        <v>500000</v>
      </c>
      <c r="N19" s="361">
        <f>1720000+600000</f>
        <v>2320000</v>
      </c>
      <c r="O19" s="355">
        <f t="shared" si="0"/>
        <v>7000000</v>
      </c>
    </row>
    <row r="20" spans="1:15" s="13" customFormat="1" ht="15.75">
      <c r="A20" s="163" t="s">
        <v>320</v>
      </c>
      <c r="B20" s="169" t="s">
        <v>142</v>
      </c>
      <c r="C20" s="361">
        <f>310000+426028</f>
        <v>736028</v>
      </c>
      <c r="D20" s="361">
        <f>15000+426030</f>
        <v>441030</v>
      </c>
      <c r="E20" s="361">
        <v>2213000</v>
      </c>
      <c r="F20" s="361">
        <f>245000+426028</f>
        <v>671028</v>
      </c>
      <c r="G20" s="361">
        <f>245000+426028</f>
        <v>671028</v>
      </c>
      <c r="H20" s="361">
        <v>245000</v>
      </c>
      <c r="I20" s="361">
        <v>245000</v>
      </c>
      <c r="J20" s="361">
        <f>550000+426028</f>
        <v>976028</v>
      </c>
      <c r="K20" s="361">
        <v>245000</v>
      </c>
      <c r="L20" s="361">
        <v>245000</v>
      </c>
      <c r="M20" s="361">
        <v>245000</v>
      </c>
      <c r="N20" s="361">
        <v>245000</v>
      </c>
      <c r="O20" s="355">
        <f t="shared" si="0"/>
        <v>7178142</v>
      </c>
    </row>
    <row r="21" spans="1:15" s="13" customFormat="1" ht="15.75">
      <c r="A21" s="163" t="s">
        <v>321</v>
      </c>
      <c r="B21" s="169" t="s">
        <v>322</v>
      </c>
      <c r="C21" s="361">
        <v>5000000</v>
      </c>
      <c r="D21" s="361">
        <v>300000</v>
      </c>
      <c r="E21" s="361"/>
      <c r="F21" s="361">
        <v>5000000</v>
      </c>
      <c r="G21" s="361">
        <v>60000000</v>
      </c>
      <c r="H21" s="361">
        <v>5000000</v>
      </c>
      <c r="I21" s="361">
        <f>36100000+127000000</f>
        <v>163100000</v>
      </c>
      <c r="J21" s="361">
        <v>826000</v>
      </c>
      <c r="K21" s="361">
        <v>73500000</v>
      </c>
      <c r="L21" s="361">
        <f>96000000+2740614</f>
        <v>98740614</v>
      </c>
      <c r="M21" s="361">
        <v>150000000</v>
      </c>
      <c r="N21" s="361">
        <v>152734624</v>
      </c>
      <c r="O21" s="355">
        <f t="shared" si="0"/>
        <v>714201238</v>
      </c>
    </row>
    <row r="22" spans="1:15" s="13" customFormat="1" ht="15.75">
      <c r="A22" s="163" t="s">
        <v>323</v>
      </c>
      <c r="B22" s="169" t="s">
        <v>324</v>
      </c>
      <c r="C22" s="362">
        <v>6972496</v>
      </c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57">
        <f t="shared" si="0"/>
        <v>6972496</v>
      </c>
    </row>
    <row r="23" spans="1:15" s="13" customFormat="1" ht="15.75">
      <c r="A23" s="163" t="s">
        <v>325</v>
      </c>
      <c r="B23" s="169" t="s">
        <v>147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2">
        <v>3672448</v>
      </c>
      <c r="O23" s="357">
        <f t="shared" si="0"/>
        <v>3672448</v>
      </c>
    </row>
    <row r="24" spans="1:15" s="13" customFormat="1" ht="16.5" thickBot="1">
      <c r="A24" s="367" t="s">
        <v>326</v>
      </c>
      <c r="B24" s="372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4">
        <f t="shared" si="0"/>
        <v>0</v>
      </c>
    </row>
    <row r="25" spans="1:15" s="10" customFormat="1" ht="22.5" customHeight="1" thickBot="1" thickTop="1">
      <c r="A25" s="368" t="s">
        <v>327</v>
      </c>
      <c r="B25" s="369" t="s">
        <v>328</v>
      </c>
      <c r="C25" s="370">
        <f aca="true" t="shared" si="3" ref="C25:N25">SUM(C16:C24)</f>
        <v>46460049.341</v>
      </c>
      <c r="D25" s="370">
        <f t="shared" si="3"/>
        <v>29145418.141</v>
      </c>
      <c r="E25" s="370">
        <f t="shared" si="3"/>
        <v>34082825.341</v>
      </c>
      <c r="F25" s="370">
        <f t="shared" si="3"/>
        <v>32140066</v>
      </c>
      <c r="G25" s="370">
        <f t="shared" si="3"/>
        <v>90196150.34099999</v>
      </c>
      <c r="H25" s="370">
        <f t="shared" si="3"/>
        <v>37869325.341</v>
      </c>
      <c r="I25" s="370">
        <f t="shared" si="3"/>
        <v>189715839.341</v>
      </c>
      <c r="J25" s="370">
        <f t="shared" si="3"/>
        <v>32811596.341</v>
      </c>
      <c r="K25" s="370">
        <f t="shared" si="3"/>
        <v>104754568.34099999</v>
      </c>
      <c r="L25" s="370">
        <f t="shared" si="3"/>
        <v>143671404.402</v>
      </c>
      <c r="M25" s="370">
        <f t="shared" si="3"/>
        <v>176875584.341</v>
      </c>
      <c r="N25" s="370">
        <f t="shared" si="3"/>
        <v>193151798.341</v>
      </c>
      <c r="O25" s="371">
        <f t="shared" si="0"/>
        <v>1110874625.612</v>
      </c>
    </row>
    <row r="26" spans="1:15" ht="11.25" customHeight="1" thickBot="1" thickTop="1">
      <c r="A26" s="170"/>
      <c r="B26" s="171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4"/>
    </row>
    <row r="27" spans="1:15" s="20" customFormat="1" ht="55.5" customHeight="1" thickBot="1" thickTop="1">
      <c r="A27" s="172" t="s">
        <v>329</v>
      </c>
      <c r="B27" s="353" t="s">
        <v>330</v>
      </c>
      <c r="C27" s="365">
        <f>C14-C25</f>
        <v>722245223.659</v>
      </c>
      <c r="D27" s="365">
        <f>C27+D14-D25</f>
        <v>709577650.518</v>
      </c>
      <c r="E27" s="365">
        <f>D27+E14-E25</f>
        <v>705827824.177</v>
      </c>
      <c r="F27" s="365">
        <f>E27+F14-F25</f>
        <v>702297762.177</v>
      </c>
      <c r="G27" s="365">
        <f aca="true" t="shared" si="4" ref="G27:L27">F27+G14-G25</f>
        <v>690544230.8360001</v>
      </c>
      <c r="H27" s="365">
        <f t="shared" si="4"/>
        <v>716408504.4950001</v>
      </c>
      <c r="I27" s="365">
        <f t="shared" si="4"/>
        <v>546915669.1540002</v>
      </c>
      <c r="J27" s="365">
        <f t="shared" si="4"/>
        <v>533327076.81300014</v>
      </c>
      <c r="K27" s="365">
        <f t="shared" si="4"/>
        <v>453396904.47200024</v>
      </c>
      <c r="L27" s="365">
        <f t="shared" si="4"/>
        <v>331426891.07000023</v>
      </c>
      <c r="M27" s="365">
        <f>L27+M14-M25</f>
        <v>173625697.72900024</v>
      </c>
      <c r="N27" s="365">
        <f>M27+N14-N25</f>
        <v>0.3880002498626709</v>
      </c>
      <c r="O27" s="366"/>
    </row>
    <row r="28" ht="16.5" thickTop="1"/>
  </sheetData>
  <sheetProtection selectLockedCells="1" selectUnlockedCells="1"/>
  <mergeCells count="2">
    <mergeCell ref="A1:E1"/>
    <mergeCell ref="A2:O2"/>
  </mergeCells>
  <printOptions horizontalCentered="1"/>
  <pageMargins left="0.5118110236220472" right="0.2755905511811024" top="0.6299212598425197" bottom="0.35433070866141736" header="0.2755905511811024" footer="0.5118110236220472"/>
  <pageSetup fitToHeight="0" fitToWidth="1" horizontalDpi="300" verticalDpi="3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6">
      <selection activeCell="A2" sqref="A2:E2"/>
    </sheetView>
  </sheetViews>
  <sheetFormatPr defaultColWidth="9.00390625" defaultRowHeight="12.75"/>
  <cols>
    <col min="2" max="2" width="42.875" style="0" customWidth="1"/>
    <col min="3" max="3" width="13.625" style="0" customWidth="1"/>
    <col min="4" max="4" width="14.75390625" style="0" customWidth="1"/>
    <col min="5" max="5" width="10.125" style="0" bestFit="1" customWidth="1"/>
    <col min="6" max="6" width="12.125" style="0" customWidth="1"/>
  </cols>
  <sheetData>
    <row r="1" spans="1:7" ht="12.75">
      <c r="A1" s="37"/>
      <c r="B1" s="93"/>
      <c r="C1" s="93"/>
      <c r="D1" s="37"/>
      <c r="E1" s="37"/>
      <c r="F1" s="37"/>
      <c r="G1" s="37"/>
    </row>
    <row r="2" spans="1:7" ht="12.75" customHeight="1">
      <c r="A2" s="435" t="s">
        <v>606</v>
      </c>
      <c r="B2" s="435"/>
      <c r="C2" s="435"/>
      <c r="D2" s="435"/>
      <c r="E2" s="435"/>
      <c r="F2" s="37"/>
      <c r="G2" s="37"/>
    </row>
    <row r="3" spans="1:7" ht="12.75">
      <c r="A3" s="91"/>
      <c r="B3" s="91"/>
      <c r="C3" s="91"/>
      <c r="D3" s="37"/>
      <c r="E3" s="37"/>
      <c r="F3" s="37"/>
      <c r="G3" s="37"/>
    </row>
    <row r="4" spans="1:7" ht="12.75">
      <c r="A4" s="173"/>
      <c r="B4" s="445" t="s">
        <v>485</v>
      </c>
      <c r="C4" s="445"/>
      <c r="D4" s="37"/>
      <c r="E4" s="37"/>
      <c r="F4" s="37"/>
      <c r="G4" s="37"/>
    </row>
    <row r="5" spans="1:7" ht="12.75">
      <c r="A5" s="91"/>
      <c r="B5" s="174"/>
      <c r="C5" s="174"/>
      <c r="D5" s="37"/>
      <c r="E5" s="37"/>
      <c r="F5" s="37"/>
      <c r="G5" s="37"/>
    </row>
    <row r="6" spans="1:7" ht="12.75">
      <c r="A6" s="91"/>
      <c r="B6" s="91"/>
      <c r="C6" s="91"/>
      <c r="D6" s="37"/>
      <c r="E6" s="484"/>
      <c r="F6" s="484"/>
      <c r="G6" s="484"/>
    </row>
    <row r="7" spans="1:7" ht="21.75">
      <c r="A7" s="91"/>
      <c r="B7" s="175" t="s">
        <v>486</v>
      </c>
      <c r="C7" s="176" t="s">
        <v>487</v>
      </c>
      <c r="D7" s="37"/>
      <c r="E7" s="37"/>
      <c r="F7" s="37"/>
      <c r="G7" s="37"/>
    </row>
    <row r="8" spans="1:7" ht="12.75">
      <c r="A8" s="91"/>
      <c r="B8" s="97" t="s">
        <v>581</v>
      </c>
      <c r="C8" s="96">
        <v>20</v>
      </c>
      <c r="D8" s="37"/>
      <c r="E8" s="37"/>
      <c r="F8" s="37"/>
      <c r="G8" s="37"/>
    </row>
    <row r="9" spans="1:7" ht="15" customHeight="1">
      <c r="A9" s="91"/>
      <c r="B9" s="96" t="s">
        <v>514</v>
      </c>
      <c r="C9" s="96">
        <v>6</v>
      </c>
      <c r="D9" s="37"/>
      <c r="E9" s="37"/>
      <c r="F9" s="37"/>
      <c r="G9" s="37"/>
    </row>
    <row r="10" spans="1:7" ht="24.75" customHeight="1">
      <c r="A10" s="91"/>
      <c r="B10" s="97" t="s">
        <v>513</v>
      </c>
      <c r="C10" s="96">
        <v>2</v>
      </c>
      <c r="D10" s="37"/>
      <c r="E10" s="37"/>
      <c r="F10" s="37"/>
      <c r="G10" s="37"/>
    </row>
    <row r="11" spans="1:7" ht="24.75" customHeight="1">
      <c r="A11" s="91"/>
      <c r="B11" s="97" t="s">
        <v>488</v>
      </c>
      <c r="C11" s="96">
        <v>1</v>
      </c>
      <c r="D11" s="37"/>
      <c r="E11" s="37"/>
      <c r="F11" s="37"/>
      <c r="G11" s="37"/>
    </row>
    <row r="12" spans="1:7" ht="15" customHeight="1">
      <c r="A12" s="91"/>
      <c r="B12" s="96" t="s">
        <v>489</v>
      </c>
      <c r="C12" s="96">
        <v>1</v>
      </c>
      <c r="D12" s="37"/>
      <c r="E12" s="37"/>
      <c r="F12" s="37"/>
      <c r="G12" s="37"/>
    </row>
    <row r="13" spans="1:7" ht="15" customHeight="1">
      <c r="A13" s="91"/>
      <c r="B13" s="96" t="s">
        <v>490</v>
      </c>
      <c r="C13" s="96">
        <v>1</v>
      </c>
      <c r="D13" s="37"/>
      <c r="E13" s="37"/>
      <c r="F13" s="37"/>
      <c r="G13" s="37"/>
    </row>
    <row r="14" spans="1:7" ht="15" customHeight="1">
      <c r="A14" s="91"/>
      <c r="B14" s="96"/>
      <c r="C14" s="96"/>
      <c r="D14" s="37"/>
      <c r="E14" s="37"/>
      <c r="F14" s="37"/>
      <c r="G14" s="37"/>
    </row>
    <row r="15" spans="1:7" ht="15.75" customHeight="1">
      <c r="A15" s="91"/>
      <c r="B15" s="177" t="s">
        <v>52</v>
      </c>
      <c r="C15" s="177">
        <v>31</v>
      </c>
      <c r="D15" s="37"/>
      <c r="E15" s="37"/>
      <c r="F15" s="37"/>
      <c r="G15" s="37"/>
    </row>
    <row r="16" spans="1:7" ht="12.75">
      <c r="A16" s="37"/>
      <c r="B16" s="37"/>
      <c r="C16" s="37"/>
      <c r="D16" s="37"/>
      <c r="E16" s="37"/>
      <c r="F16" s="178"/>
      <c r="G16" s="37"/>
    </row>
    <row r="17" spans="1:7" ht="12.75">
      <c r="A17" s="37"/>
      <c r="B17" s="101"/>
      <c r="C17" s="37"/>
      <c r="D17" s="37"/>
      <c r="E17" s="37"/>
      <c r="F17" s="178"/>
      <c r="G17" s="37"/>
    </row>
    <row r="18" spans="1:7" ht="12.75">
      <c r="A18" s="37"/>
      <c r="B18" s="101"/>
      <c r="C18" s="37"/>
      <c r="D18" s="37"/>
      <c r="E18" s="37"/>
      <c r="F18" s="37"/>
      <c r="G18" s="37"/>
    </row>
    <row r="19" spans="1:7" ht="12.75">
      <c r="A19" s="37"/>
      <c r="B19" s="483"/>
      <c r="C19" s="483"/>
      <c r="D19" s="37"/>
      <c r="E19" s="37"/>
      <c r="F19" s="37"/>
      <c r="G19" s="37"/>
    </row>
    <row r="20" spans="1:7" ht="12.75">
      <c r="A20" s="37"/>
      <c r="B20" s="91"/>
      <c r="C20" s="93"/>
      <c r="D20" s="37"/>
      <c r="E20" s="37"/>
      <c r="F20" s="37"/>
      <c r="G20" s="37"/>
    </row>
    <row r="21" spans="1:7" ht="12.75">
      <c r="A21" s="37"/>
      <c r="B21" s="445" t="s">
        <v>491</v>
      </c>
      <c r="C21" s="445"/>
      <c r="D21" s="37"/>
      <c r="E21" s="37"/>
      <c r="F21" s="37"/>
      <c r="G21" s="37"/>
    </row>
    <row r="22" spans="1:7" ht="12.75">
      <c r="A22" s="37"/>
      <c r="B22" s="91"/>
      <c r="C22" s="91"/>
      <c r="D22" s="37"/>
      <c r="E22" s="37"/>
      <c r="F22" s="37"/>
      <c r="G22" s="37"/>
    </row>
    <row r="23" spans="1:7" ht="12.75" customHeight="1">
      <c r="A23" s="37"/>
      <c r="B23" s="404" t="s">
        <v>486</v>
      </c>
      <c r="C23" s="488" t="s">
        <v>492</v>
      </c>
      <c r="D23" s="488"/>
      <c r="E23" s="37"/>
      <c r="F23" s="37"/>
      <c r="G23" s="37"/>
    </row>
    <row r="24" spans="1:7" ht="12.75">
      <c r="A24" s="37"/>
      <c r="B24" s="404"/>
      <c r="C24" s="180" t="s">
        <v>493</v>
      </c>
      <c r="D24" s="31"/>
      <c r="E24" s="37"/>
      <c r="F24" s="37"/>
      <c r="G24" s="37"/>
    </row>
    <row r="25" spans="1:7" ht="12.75">
      <c r="A25" s="37"/>
      <c r="B25" s="181"/>
      <c r="C25" s="182"/>
      <c r="D25" s="183"/>
      <c r="E25" s="37"/>
      <c r="F25" s="37"/>
      <c r="G25" s="37"/>
    </row>
    <row r="26" spans="1:7" ht="15" customHeight="1">
      <c r="A26" s="37"/>
      <c r="B26" s="96" t="s">
        <v>43</v>
      </c>
      <c r="C26" s="96">
        <v>25</v>
      </c>
      <c r="D26" s="32"/>
      <c r="E26" s="37"/>
      <c r="F26" s="37"/>
      <c r="G26" s="37"/>
    </row>
    <row r="27" spans="1:7" ht="15" customHeight="1">
      <c r="A27" s="37"/>
      <c r="B27" s="97" t="s">
        <v>581</v>
      </c>
      <c r="C27" s="96">
        <v>0</v>
      </c>
      <c r="D27" s="32"/>
      <c r="E27" s="37"/>
      <c r="F27" s="37"/>
      <c r="G27" s="37"/>
    </row>
    <row r="28" spans="1:7" ht="15" customHeight="1">
      <c r="A28" s="37"/>
      <c r="B28" s="96" t="s">
        <v>495</v>
      </c>
      <c r="C28" s="96">
        <v>0</v>
      </c>
      <c r="D28" s="32"/>
      <c r="E28" s="37"/>
      <c r="F28" s="37"/>
      <c r="G28" s="37"/>
    </row>
    <row r="29" spans="1:7" ht="15.75" customHeight="1">
      <c r="A29" s="37"/>
      <c r="B29" s="177" t="s">
        <v>52</v>
      </c>
      <c r="C29" s="177">
        <f>SUM(C26:C28)</f>
        <v>25</v>
      </c>
      <c r="D29" s="177">
        <f>SUM(D26:D28)</f>
        <v>0</v>
      </c>
      <c r="E29" s="37"/>
      <c r="F29" s="37"/>
      <c r="G29" s="37"/>
    </row>
    <row r="30" spans="1:7" ht="12.75">
      <c r="A30" s="37"/>
      <c r="B30" s="37"/>
      <c r="C30" s="37"/>
      <c r="D30" s="37"/>
      <c r="E30" s="37"/>
      <c r="F30" s="37"/>
      <c r="G30" s="37"/>
    </row>
    <row r="31" spans="1:7" ht="12.75">
      <c r="A31" s="37"/>
      <c r="B31" s="37"/>
      <c r="C31" s="37"/>
      <c r="D31" s="37"/>
      <c r="E31" s="37"/>
      <c r="F31" s="37"/>
      <c r="G31" s="37"/>
    </row>
    <row r="32" spans="1:7" ht="12.75">
      <c r="A32" s="37"/>
      <c r="B32" s="37" t="s">
        <v>496</v>
      </c>
      <c r="C32" s="37"/>
      <c r="D32" s="37"/>
      <c r="E32" s="37"/>
      <c r="F32" s="37"/>
      <c r="G32" s="37"/>
    </row>
    <row r="33" spans="1:7" ht="12.75">
      <c r="A33" s="37"/>
      <c r="B33" s="37"/>
      <c r="C33" s="37"/>
      <c r="D33" s="37"/>
      <c r="E33" s="37"/>
      <c r="F33" s="37"/>
      <c r="G33" s="37"/>
    </row>
    <row r="34" spans="1:7" ht="12.75">
      <c r="A34" s="37"/>
      <c r="B34" s="404" t="s">
        <v>486</v>
      </c>
      <c r="C34" s="488" t="s">
        <v>492</v>
      </c>
      <c r="D34" s="488"/>
      <c r="E34" s="37"/>
      <c r="F34" s="37"/>
      <c r="G34" s="37"/>
    </row>
    <row r="35" spans="1:7" ht="12.75">
      <c r="A35" s="37"/>
      <c r="B35" s="404"/>
      <c r="C35" s="180" t="s">
        <v>493</v>
      </c>
      <c r="D35" s="31"/>
      <c r="E35" s="37"/>
      <c r="F35" s="37"/>
      <c r="G35" s="37"/>
    </row>
    <row r="36" spans="1:7" ht="12.75">
      <c r="A36" s="37"/>
      <c r="B36" s="181"/>
      <c r="C36" s="182"/>
      <c r="D36" s="183"/>
      <c r="E36" s="37"/>
      <c r="F36" s="37"/>
      <c r="G36" s="37"/>
    </row>
    <row r="37" spans="1:7" ht="12.75">
      <c r="A37" s="37"/>
      <c r="B37" s="96" t="s">
        <v>494</v>
      </c>
      <c r="C37" s="96">
        <v>1</v>
      </c>
      <c r="D37" s="32"/>
      <c r="E37" s="37"/>
      <c r="F37" s="37"/>
      <c r="G37" s="37"/>
    </row>
    <row r="38" spans="1:7" ht="12.75">
      <c r="A38" s="37"/>
      <c r="B38" s="97" t="s">
        <v>581</v>
      </c>
      <c r="C38" s="96">
        <v>0</v>
      </c>
      <c r="D38" s="32"/>
      <c r="E38" s="37"/>
      <c r="F38" s="37"/>
      <c r="G38" s="37"/>
    </row>
    <row r="39" spans="1:7" ht="12.75">
      <c r="A39" s="37"/>
      <c r="B39" s="96" t="s">
        <v>495</v>
      </c>
      <c r="C39" s="96">
        <v>0</v>
      </c>
      <c r="D39" s="32"/>
      <c r="E39" s="37"/>
      <c r="F39" s="37"/>
      <c r="G39" s="37"/>
    </row>
    <row r="40" spans="1:7" ht="12.75">
      <c r="A40" s="37"/>
      <c r="B40" s="177" t="s">
        <v>52</v>
      </c>
      <c r="C40" s="177">
        <f>SUM(C37:C39)</f>
        <v>1</v>
      </c>
      <c r="D40" s="177">
        <f>SUM(D37:D39)</f>
        <v>0</v>
      </c>
      <c r="E40" s="37"/>
      <c r="F40" s="37"/>
      <c r="G40" s="37"/>
    </row>
    <row r="41" spans="1:7" ht="12.75">
      <c r="A41" s="37"/>
      <c r="B41" s="37"/>
      <c r="C41" s="37"/>
      <c r="D41" s="37"/>
      <c r="E41" s="37"/>
      <c r="F41" s="37"/>
      <c r="G41" s="37"/>
    </row>
    <row r="42" spans="1:7" ht="12.75">
      <c r="A42" s="37"/>
      <c r="B42" s="37" t="s">
        <v>497</v>
      </c>
      <c r="C42" s="37"/>
      <c r="D42" s="37"/>
      <c r="E42" s="37"/>
      <c r="F42" s="37"/>
      <c r="G42" s="37"/>
    </row>
    <row r="43" spans="1:7" ht="12.75">
      <c r="A43" s="37"/>
      <c r="B43" s="37"/>
      <c r="C43" s="37"/>
      <c r="D43" s="37"/>
      <c r="E43" s="37"/>
      <c r="F43" s="37"/>
      <c r="G43" s="37"/>
    </row>
    <row r="44" spans="1:7" ht="12.75">
      <c r="A44" s="37"/>
      <c r="B44" s="404" t="s">
        <v>498</v>
      </c>
      <c r="C44" s="488" t="s">
        <v>499</v>
      </c>
      <c r="D44" s="488"/>
      <c r="E44" s="147" t="s">
        <v>500</v>
      </c>
      <c r="F44" s="149"/>
      <c r="G44" s="37"/>
    </row>
    <row r="45" spans="1:7" ht="12.75">
      <c r="A45" s="37"/>
      <c r="B45" s="489"/>
      <c r="C45" s="179" t="s">
        <v>501</v>
      </c>
      <c r="D45" s="184" t="s">
        <v>502</v>
      </c>
      <c r="E45" s="375" t="s">
        <v>501</v>
      </c>
      <c r="F45" s="376" t="s">
        <v>502</v>
      </c>
      <c r="G45" s="37"/>
    </row>
    <row r="46" spans="1:7" ht="12.75">
      <c r="A46" s="37"/>
      <c r="B46" s="185" t="s">
        <v>503</v>
      </c>
      <c r="C46" s="187">
        <v>1</v>
      </c>
      <c r="D46" s="186" t="s">
        <v>504</v>
      </c>
      <c r="E46" s="186">
        <v>1</v>
      </c>
      <c r="F46" s="186" t="s">
        <v>505</v>
      </c>
      <c r="G46" s="37"/>
    </row>
    <row r="47" spans="1:7" ht="12.75">
      <c r="A47" s="37"/>
      <c r="B47" s="185" t="s">
        <v>444</v>
      </c>
      <c r="C47" s="188">
        <v>1</v>
      </c>
      <c r="D47" s="186" t="s">
        <v>504</v>
      </c>
      <c r="E47" s="186">
        <v>2</v>
      </c>
      <c r="F47" s="186" t="s">
        <v>506</v>
      </c>
      <c r="G47" s="37"/>
    </row>
    <row r="48" spans="1:7" ht="25.5" customHeight="1">
      <c r="A48" s="37"/>
      <c r="B48" s="185" t="s">
        <v>419</v>
      </c>
      <c r="C48" s="186">
        <v>2</v>
      </c>
      <c r="D48" s="189" t="s">
        <v>507</v>
      </c>
      <c r="E48" s="186">
        <v>4</v>
      </c>
      <c r="F48" s="190" t="s">
        <v>508</v>
      </c>
      <c r="G48" s="37"/>
    </row>
    <row r="49" spans="1:7" ht="25.5">
      <c r="A49" s="37"/>
      <c r="B49" s="185" t="s">
        <v>418</v>
      </c>
      <c r="C49" s="186">
        <v>2</v>
      </c>
      <c r="D49" s="189" t="s">
        <v>509</v>
      </c>
      <c r="E49" s="186">
        <v>1</v>
      </c>
      <c r="F49" s="186" t="s">
        <v>510</v>
      </c>
      <c r="G49" s="37"/>
    </row>
    <row r="50" spans="1:7" ht="12.75">
      <c r="A50" s="37"/>
      <c r="B50" s="185" t="s">
        <v>456</v>
      </c>
      <c r="C50" s="186">
        <v>18</v>
      </c>
      <c r="D50" s="189" t="s">
        <v>511</v>
      </c>
      <c r="E50" s="186"/>
      <c r="F50" s="186"/>
      <c r="G50" s="37"/>
    </row>
    <row r="51" spans="1:7" ht="12.75">
      <c r="A51" s="37"/>
      <c r="B51" s="185" t="s">
        <v>455</v>
      </c>
      <c r="C51" s="186"/>
      <c r="D51" s="186"/>
      <c r="E51" s="186">
        <v>2</v>
      </c>
      <c r="F51" s="186" t="s">
        <v>512</v>
      </c>
      <c r="G51" s="37"/>
    </row>
    <row r="52" spans="2:6" ht="12.75">
      <c r="B52" s="377" t="s">
        <v>580</v>
      </c>
      <c r="C52" s="189">
        <v>2</v>
      </c>
      <c r="D52" s="189" t="s">
        <v>507</v>
      </c>
      <c r="E52" s="378"/>
      <c r="F52" s="378"/>
    </row>
  </sheetData>
  <sheetProtection selectLockedCells="1" selectUnlockedCells="1"/>
  <mergeCells count="11">
    <mergeCell ref="A2:E2"/>
    <mergeCell ref="B4:C4"/>
    <mergeCell ref="E6:G6"/>
    <mergeCell ref="B19:C19"/>
    <mergeCell ref="B21:C21"/>
    <mergeCell ref="B23:B24"/>
    <mergeCell ref="C23:D23"/>
    <mergeCell ref="B34:B35"/>
    <mergeCell ref="C34:D34"/>
    <mergeCell ref="B44:B45"/>
    <mergeCell ref="C44:D44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B2" sqref="B2"/>
    </sheetView>
  </sheetViews>
  <sheetFormatPr defaultColWidth="7.625" defaultRowHeight="12.75"/>
  <cols>
    <col min="1" max="1" width="10.75390625" style="3" customWidth="1"/>
    <col min="2" max="2" width="7.25390625" style="3" customWidth="1"/>
    <col min="3" max="3" width="7.625" style="4" customWidth="1"/>
    <col min="4" max="4" width="65.125" style="4" customWidth="1"/>
    <col min="5" max="5" width="9.25390625" style="4" customWidth="1"/>
    <col min="6" max="6" width="8.125" style="4" customWidth="1"/>
    <col min="7" max="7" width="10.75390625" style="4" customWidth="1"/>
    <col min="8" max="8" width="9.25390625" style="4" customWidth="1"/>
    <col min="9" max="9" width="9.625" style="4" customWidth="1"/>
    <col min="10" max="10" width="7.00390625" style="4" customWidth="1"/>
    <col min="11" max="15" width="8.125" style="4" customWidth="1"/>
    <col min="16" max="16" width="10.875" style="3" customWidth="1"/>
    <col min="17" max="16384" width="7.625" style="4" customWidth="1"/>
  </cols>
  <sheetData>
    <row r="1" spans="1:6" ht="18" customHeight="1">
      <c r="A1" s="37" t="s">
        <v>589</v>
      </c>
      <c r="B1" s="37"/>
      <c r="C1" s="93"/>
      <c r="D1" s="93"/>
      <c r="E1" s="1"/>
      <c r="F1" s="5"/>
    </row>
    <row r="2" spans="1:4" ht="28.5" customHeight="1">
      <c r="A2" s="39"/>
      <c r="B2" s="39"/>
      <c r="C2" s="37"/>
      <c r="D2" s="37"/>
    </row>
    <row r="3" spans="1:16" s="3" customFormat="1" ht="16.5" customHeight="1">
      <c r="A3" s="409" t="s">
        <v>41</v>
      </c>
      <c r="B3" s="410"/>
      <c r="C3" s="411"/>
      <c r="D3" s="405" t="s">
        <v>42</v>
      </c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10" customFormat="1" ht="21" customHeight="1">
      <c r="A4" s="222" t="s">
        <v>376</v>
      </c>
      <c r="B4" s="223" t="s">
        <v>360</v>
      </c>
      <c r="C4" s="223"/>
      <c r="D4" s="405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3" customFormat="1" ht="15.75" customHeight="1">
      <c r="A5" s="405">
        <v>1</v>
      </c>
      <c r="B5" s="405"/>
      <c r="C5" s="408"/>
      <c r="D5" s="408" t="s">
        <v>43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9"/>
    </row>
    <row r="6" spans="1:16" s="13" customFormat="1" ht="3" customHeight="1">
      <c r="A6" s="405"/>
      <c r="B6" s="405"/>
      <c r="C6" s="408"/>
      <c r="D6" s="408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9"/>
    </row>
    <row r="7" spans="1:16" s="13" customFormat="1" ht="15.75">
      <c r="A7" s="219"/>
      <c r="B7" s="219">
        <v>1</v>
      </c>
      <c r="C7" s="221"/>
      <c r="D7" s="123" t="s">
        <v>44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9"/>
    </row>
    <row r="8" spans="1:16" s="13" customFormat="1" ht="29.25" customHeight="1">
      <c r="A8" s="219"/>
      <c r="B8" s="219">
        <v>2</v>
      </c>
      <c r="C8" s="221"/>
      <c r="D8" s="123" t="s">
        <v>355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9"/>
    </row>
    <row r="9" spans="1:16" s="13" customFormat="1" ht="27.75" customHeight="1">
      <c r="A9" s="219"/>
      <c r="B9" s="219"/>
      <c r="C9" s="224" t="s">
        <v>161</v>
      </c>
      <c r="D9" s="123" t="s">
        <v>361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9"/>
    </row>
    <row r="10" spans="1:16" s="13" customFormat="1" ht="17.25" customHeight="1">
      <c r="A10" s="219"/>
      <c r="B10" s="219"/>
      <c r="C10" s="225" t="s">
        <v>162</v>
      </c>
      <c r="D10" s="123" t="s">
        <v>362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9"/>
    </row>
    <row r="11" spans="1:16" s="13" customFormat="1" ht="29.25" customHeight="1">
      <c r="A11" s="219"/>
      <c r="B11" s="219"/>
      <c r="C11" s="225" t="s">
        <v>163</v>
      </c>
      <c r="D11" s="123" t="s">
        <v>363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9"/>
    </row>
    <row r="12" spans="1:16" s="13" customFormat="1" ht="15.75" customHeight="1">
      <c r="A12" s="219"/>
      <c r="B12" s="219"/>
      <c r="C12" s="225" t="s">
        <v>164</v>
      </c>
      <c r="D12" s="123" t="s">
        <v>364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9"/>
    </row>
    <row r="13" spans="1:16" s="13" customFormat="1" ht="18.75" customHeight="1">
      <c r="A13" s="219"/>
      <c r="B13" s="219"/>
      <c r="C13" s="225" t="s">
        <v>301</v>
      </c>
      <c r="D13" s="123" t="s">
        <v>449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9"/>
    </row>
    <row r="14" spans="1:16" s="13" customFormat="1" ht="27.75" customHeight="1">
      <c r="A14" s="219"/>
      <c r="B14" s="219"/>
      <c r="C14" s="225" t="s">
        <v>303</v>
      </c>
      <c r="D14" s="123" t="s">
        <v>365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9"/>
    </row>
    <row r="15" spans="1:16" s="13" customFormat="1" ht="17.25" customHeight="1">
      <c r="A15" s="219"/>
      <c r="B15" s="219"/>
      <c r="C15" s="225" t="s">
        <v>305</v>
      </c>
      <c r="D15" s="123" t="s">
        <v>366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9"/>
    </row>
    <row r="16" spans="1:16" s="13" customFormat="1" ht="17.25" customHeight="1">
      <c r="A16" s="219"/>
      <c r="B16" s="219"/>
      <c r="C16" s="225" t="s">
        <v>307</v>
      </c>
      <c r="D16" s="123" t="s">
        <v>515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9"/>
    </row>
    <row r="17" spans="1:16" s="13" customFormat="1" ht="21" customHeight="1">
      <c r="A17" s="219"/>
      <c r="B17" s="219"/>
      <c r="C17" s="225" t="s">
        <v>309</v>
      </c>
      <c r="D17" s="123" t="s">
        <v>367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9"/>
    </row>
    <row r="18" spans="1:16" s="13" customFormat="1" ht="17.25" customHeight="1">
      <c r="A18" s="219"/>
      <c r="B18" s="219">
        <v>3</v>
      </c>
      <c r="C18" s="221"/>
      <c r="D18" s="123" t="s">
        <v>110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9"/>
    </row>
    <row r="19" spans="1:16" s="13" customFormat="1" ht="27" customHeight="1">
      <c r="A19" s="219"/>
      <c r="B19" s="219"/>
      <c r="C19" s="221" t="s">
        <v>161</v>
      </c>
      <c r="D19" s="123" t="s">
        <v>368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9"/>
    </row>
    <row r="20" spans="1:16" s="13" customFormat="1" ht="17.25" customHeight="1">
      <c r="A20" s="219"/>
      <c r="B20" s="219"/>
      <c r="C20" s="221" t="s">
        <v>162</v>
      </c>
      <c r="D20" s="123" t="s">
        <v>369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9"/>
    </row>
    <row r="21" spans="1:16" s="13" customFormat="1" ht="18.75" customHeight="1">
      <c r="A21" s="219"/>
      <c r="B21" s="219"/>
      <c r="C21" s="221" t="s">
        <v>163</v>
      </c>
      <c r="D21" s="123" t="s">
        <v>370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9"/>
    </row>
    <row r="22" spans="1:16" s="13" customFormat="1" ht="18" customHeight="1">
      <c r="A22" s="219"/>
      <c r="B22" s="219"/>
      <c r="C22" s="221" t="s">
        <v>371</v>
      </c>
      <c r="D22" s="123" t="s">
        <v>372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9"/>
    </row>
    <row r="23" spans="1:16" s="13" customFormat="1" ht="15" customHeight="1">
      <c r="A23" s="219"/>
      <c r="B23" s="219">
        <v>4</v>
      </c>
      <c r="C23" s="221"/>
      <c r="D23" s="123" t="s">
        <v>111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9"/>
    </row>
    <row r="24" spans="1:16" s="13" customFormat="1" ht="25.5" customHeight="1">
      <c r="A24" s="219"/>
      <c r="B24" s="219"/>
      <c r="C24" s="221" t="s">
        <v>161</v>
      </c>
      <c r="D24" s="123" t="s">
        <v>453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9"/>
    </row>
    <row r="25" spans="1:16" s="13" customFormat="1" ht="25.5" customHeight="1">
      <c r="A25" s="219"/>
      <c r="B25" s="219"/>
      <c r="C25" s="221" t="s">
        <v>162</v>
      </c>
      <c r="D25" s="123" t="s">
        <v>373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9"/>
    </row>
    <row r="26" spans="1:16" s="13" customFormat="1" ht="21" customHeight="1">
      <c r="A26" s="219"/>
      <c r="B26" s="219"/>
      <c r="C26" s="221" t="s">
        <v>163</v>
      </c>
      <c r="D26" s="123" t="s">
        <v>454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9"/>
    </row>
    <row r="27" spans="1:16" s="13" customFormat="1" ht="25.5" customHeight="1">
      <c r="A27" s="219"/>
      <c r="B27" s="219"/>
      <c r="C27" s="221" t="s">
        <v>164</v>
      </c>
      <c r="D27" s="123" t="s">
        <v>374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9"/>
    </row>
    <row r="28" spans="1:16" s="13" customFormat="1" ht="25.5" customHeight="1">
      <c r="A28" s="219"/>
      <c r="B28" s="219"/>
      <c r="C28" s="221" t="s">
        <v>301</v>
      </c>
      <c r="D28" s="220" t="s">
        <v>411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9"/>
    </row>
    <row r="29" spans="1:16" s="13" customFormat="1" ht="25.5" customHeight="1">
      <c r="A29" s="219"/>
      <c r="B29" s="219">
        <v>5</v>
      </c>
      <c r="C29" s="221"/>
      <c r="D29" s="123" t="s">
        <v>356</v>
      </c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9"/>
    </row>
    <row r="30" spans="1:16" s="13" customFormat="1" ht="25.5" customHeight="1">
      <c r="A30" s="219"/>
      <c r="B30" s="219"/>
      <c r="C30" s="221">
        <v>1</v>
      </c>
      <c r="D30" s="123" t="s">
        <v>378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9"/>
    </row>
    <row r="31" spans="1:16" s="13" customFormat="1" ht="25.5" customHeight="1">
      <c r="A31" s="219"/>
      <c r="B31" s="219"/>
      <c r="C31" s="221">
        <v>2</v>
      </c>
      <c r="D31" s="123" t="s">
        <v>450</v>
      </c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9"/>
    </row>
    <row r="32" spans="1:16" s="13" customFormat="1" ht="25.5" customHeight="1">
      <c r="A32" s="219"/>
      <c r="B32" s="219"/>
      <c r="C32" s="221">
        <v>3</v>
      </c>
      <c r="D32" s="123" t="s">
        <v>451</v>
      </c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9"/>
    </row>
    <row r="33" spans="1:16" s="13" customFormat="1" ht="25.5" customHeight="1">
      <c r="A33" s="219"/>
      <c r="B33" s="219">
        <v>6</v>
      </c>
      <c r="C33" s="221"/>
      <c r="D33" s="123" t="s">
        <v>357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9"/>
    </row>
    <row r="34" spans="1:16" s="13" customFormat="1" ht="25.5" customHeight="1">
      <c r="A34" s="219"/>
      <c r="B34" s="219">
        <v>7</v>
      </c>
      <c r="C34" s="221"/>
      <c r="D34" s="123" t="s">
        <v>112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9"/>
    </row>
    <row r="35" spans="1:16" s="10" customFormat="1" ht="30.75" customHeight="1">
      <c r="A35" s="219"/>
      <c r="B35" s="219">
        <v>8</v>
      </c>
      <c r="C35" s="221"/>
      <c r="D35" s="123" t="s">
        <v>375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0" customFormat="1" ht="30.75" customHeight="1">
      <c r="A36" s="219"/>
      <c r="B36" s="219">
        <v>9</v>
      </c>
      <c r="C36" s="221"/>
      <c r="D36" s="123" t="s">
        <v>452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0" customFormat="1" ht="30.75" customHeight="1">
      <c r="A37" s="219"/>
      <c r="B37" s="219"/>
      <c r="C37" s="221">
        <v>1</v>
      </c>
      <c r="D37" s="123" t="s">
        <v>425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0" customFormat="1" ht="30.75" customHeight="1">
      <c r="A38" s="219"/>
      <c r="B38" s="219"/>
      <c r="C38" s="221">
        <v>2</v>
      </c>
      <c r="D38" s="123" t="s">
        <v>439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0" customFormat="1" ht="30.75" customHeight="1">
      <c r="A39" s="219"/>
      <c r="B39" s="219"/>
      <c r="C39" s="221">
        <v>3</v>
      </c>
      <c r="D39" s="123" t="s">
        <v>443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0" customFormat="1" ht="30.75" customHeight="1">
      <c r="A40" s="219"/>
      <c r="B40" s="219"/>
      <c r="C40" s="221">
        <v>4</v>
      </c>
      <c r="D40" s="123" t="s">
        <v>444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0" customFormat="1" ht="30.75" customHeight="1">
      <c r="A41" s="219"/>
      <c r="B41" s="219"/>
      <c r="C41" s="221">
        <v>5</v>
      </c>
      <c r="D41" s="123" t="s">
        <v>445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0" customFormat="1" ht="30.75" customHeight="1">
      <c r="A42" s="219"/>
      <c r="B42" s="219"/>
      <c r="C42" s="221">
        <v>6</v>
      </c>
      <c r="D42" s="123" t="s">
        <v>527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0" customFormat="1" ht="30.75" customHeight="1">
      <c r="A43" s="219"/>
      <c r="B43" s="219"/>
      <c r="C43" s="221">
        <v>7</v>
      </c>
      <c r="D43" s="123" t="s">
        <v>419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0" customFormat="1" ht="30.75" customHeight="1">
      <c r="A44" s="219"/>
      <c r="B44" s="219"/>
      <c r="C44" s="221">
        <v>8</v>
      </c>
      <c r="D44" s="123" t="s">
        <v>418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0" customFormat="1" ht="30.75" customHeight="1">
      <c r="A45" s="219"/>
      <c r="B45" s="219"/>
      <c r="C45" s="221">
        <v>9</v>
      </c>
      <c r="D45" s="123" t="s">
        <v>455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0" customFormat="1" ht="30.75" customHeight="1">
      <c r="A46" s="219"/>
      <c r="B46" s="219"/>
      <c r="C46" s="221">
        <v>10</v>
      </c>
      <c r="D46" s="123" t="s">
        <v>456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0" customFormat="1" ht="30.75" customHeight="1">
      <c r="A47" s="219"/>
      <c r="B47" s="219"/>
      <c r="C47" s="221">
        <v>11</v>
      </c>
      <c r="D47" s="123" t="s">
        <v>528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0" customFormat="1" ht="30.75" customHeight="1">
      <c r="A48" s="219"/>
      <c r="B48" s="219">
        <v>10</v>
      </c>
      <c r="C48" s="221"/>
      <c r="D48" s="123" t="s">
        <v>529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0" customFormat="1" ht="30.75" customHeight="1">
      <c r="A49" s="219"/>
      <c r="B49" s="219"/>
      <c r="C49" s="221">
        <v>1</v>
      </c>
      <c r="D49" s="123" t="s">
        <v>530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0" customFormat="1" ht="30.75" customHeight="1">
      <c r="A50" s="219"/>
      <c r="B50" s="219"/>
      <c r="C50" s="221">
        <v>2</v>
      </c>
      <c r="D50" s="123" t="s">
        <v>531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0" customFormat="1" ht="30.75" customHeight="1">
      <c r="A51" s="219"/>
      <c r="B51" s="219"/>
      <c r="C51" s="221">
        <v>3</v>
      </c>
      <c r="D51" s="123" t="s">
        <v>532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3" customFormat="1" ht="34.5" customHeight="1">
      <c r="A52" s="219">
        <v>2</v>
      </c>
      <c r="B52" s="219"/>
      <c r="C52" s="219"/>
      <c r="D52" s="218" t="s">
        <v>45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9"/>
    </row>
    <row r="53" spans="1:16" s="13" customFormat="1" ht="30.75" customHeight="1">
      <c r="A53" s="405"/>
      <c r="B53" s="219"/>
      <c r="C53" s="406">
        <v>1</v>
      </c>
      <c r="D53" s="407" t="s">
        <v>46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9"/>
    </row>
    <row r="54" spans="1:16" s="13" customFormat="1" ht="15.75" customHeight="1" hidden="1">
      <c r="A54" s="405"/>
      <c r="B54" s="219"/>
      <c r="C54" s="406"/>
      <c r="D54" s="407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9"/>
    </row>
    <row r="55" spans="1:16" s="13" customFormat="1" ht="15.75">
      <c r="A55" s="35"/>
      <c r="B55" s="35"/>
      <c r="C55" s="73">
        <v>2</v>
      </c>
      <c r="D55" s="32" t="s">
        <v>412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9"/>
    </row>
    <row r="56" spans="1:16" s="13" customFormat="1" ht="26.25" customHeight="1">
      <c r="A56" s="219" t="s">
        <v>163</v>
      </c>
      <c r="B56" s="219"/>
      <c r="C56" s="219"/>
      <c r="D56" s="218" t="s">
        <v>581</v>
      </c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9"/>
    </row>
    <row r="57" spans="1:16" s="13" customFormat="1" ht="36.75" customHeight="1">
      <c r="A57" s="405"/>
      <c r="B57" s="219"/>
      <c r="C57" s="406">
        <v>1</v>
      </c>
      <c r="D57" s="407" t="s">
        <v>114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9"/>
    </row>
    <row r="58" spans="1:16" s="13" customFormat="1" ht="15.75" hidden="1">
      <c r="A58" s="405"/>
      <c r="B58" s="219"/>
      <c r="C58" s="406"/>
      <c r="D58" s="407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9"/>
    </row>
    <row r="59" spans="1:16" s="10" customFormat="1" ht="25.5" customHeight="1" hidden="1">
      <c r="A59" s="218"/>
      <c r="B59" s="218"/>
      <c r="C59" s="221"/>
      <c r="D59" s="123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7"/>
    </row>
    <row r="60" spans="1:16" ht="38.25" customHeight="1">
      <c r="A60" s="218"/>
      <c r="B60" s="218"/>
      <c r="C60" s="221">
        <v>2</v>
      </c>
      <c r="D60" s="123" t="s">
        <v>413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</row>
  </sheetData>
  <sheetProtection selectLockedCells="1" selectUnlockedCells="1"/>
  <mergeCells count="12">
    <mergeCell ref="D3:D4"/>
    <mergeCell ref="A5:A6"/>
    <mergeCell ref="C5:C6"/>
    <mergeCell ref="D5:D6"/>
    <mergeCell ref="B5:B6"/>
    <mergeCell ref="A3:C3"/>
    <mergeCell ref="A53:A54"/>
    <mergeCell ref="C53:C54"/>
    <mergeCell ref="D53:D54"/>
    <mergeCell ref="A57:A58"/>
    <mergeCell ref="C57:C58"/>
    <mergeCell ref="D57:D58"/>
  </mergeCells>
  <printOptions horizontalCentered="1"/>
  <pageMargins left="0.5097222222222222" right="0.27569444444444446" top="0.6097222222222223" bottom="0.3701388888888889" header="0.5118055555555555" footer="0.5118055555555555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3" max="3" width="9.875" style="0" customWidth="1"/>
    <col min="4" max="4" width="12.875" style="0" customWidth="1"/>
    <col min="5" max="5" width="10.375" style="0" customWidth="1"/>
    <col min="6" max="6" width="11.25390625" style="0" customWidth="1"/>
    <col min="7" max="7" width="11.125" style="0" customWidth="1"/>
    <col min="8" max="8" width="6.625" style="0" customWidth="1"/>
    <col min="9" max="9" width="24.875" style="0" customWidth="1"/>
    <col min="10" max="10" width="11.25390625" style="0" customWidth="1"/>
    <col min="11" max="11" width="10.375" style="0" customWidth="1"/>
    <col min="12" max="12" width="11.125" style="0" customWidth="1"/>
    <col min="13" max="13" width="9.75390625" style="0" customWidth="1"/>
  </cols>
  <sheetData>
    <row r="1" spans="1:13" ht="12.75">
      <c r="A1" s="37" t="s">
        <v>607</v>
      </c>
      <c r="B1" s="93"/>
      <c r="C1" s="93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" customHeight="1">
      <c r="A3" s="37"/>
      <c r="B3" s="37"/>
      <c r="C3" s="37"/>
      <c r="D3" s="37"/>
      <c r="E3" s="37"/>
      <c r="F3" s="37"/>
      <c r="G3" s="37"/>
      <c r="H3" s="37"/>
      <c r="I3" s="191"/>
      <c r="J3" s="93"/>
      <c r="K3" s="37"/>
      <c r="L3" s="37"/>
      <c r="M3" s="37"/>
    </row>
    <row r="4" spans="1:13" ht="12.75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37"/>
      <c r="L4" s="37"/>
      <c r="M4" s="37"/>
    </row>
    <row r="5" spans="1:13" ht="13.5">
      <c r="A5" s="490" t="s">
        <v>406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</row>
    <row r="6" spans="1:13" ht="12" customHeight="1">
      <c r="A6" s="494"/>
      <c r="B6" s="494"/>
      <c r="C6" s="494"/>
      <c r="D6" s="91"/>
      <c r="E6" s="91"/>
      <c r="F6" s="91"/>
      <c r="G6" s="91"/>
      <c r="H6" s="494"/>
      <c r="I6" s="494"/>
      <c r="K6" s="37"/>
      <c r="L6" s="37"/>
      <c r="M6" s="93" t="s">
        <v>423</v>
      </c>
    </row>
    <row r="7" spans="1:13" ht="14.25" customHeight="1">
      <c r="A7" s="491" t="s">
        <v>1</v>
      </c>
      <c r="B7" s="492"/>
      <c r="C7" s="492"/>
      <c r="D7" s="492"/>
      <c r="E7" s="492"/>
      <c r="F7" s="492"/>
      <c r="G7" s="493"/>
      <c r="H7" s="491" t="s">
        <v>2</v>
      </c>
      <c r="I7" s="492"/>
      <c r="J7" s="492"/>
      <c r="K7" s="492"/>
      <c r="L7" s="492"/>
      <c r="M7" s="493"/>
    </row>
    <row r="8" spans="1:13" ht="12.75">
      <c r="A8" s="404" t="s">
        <v>3</v>
      </c>
      <c r="B8" s="404"/>
      <c r="C8" s="404"/>
      <c r="D8" s="175">
        <v>2020</v>
      </c>
      <c r="E8" s="175">
        <v>2021</v>
      </c>
      <c r="F8" s="175">
        <v>2022</v>
      </c>
      <c r="G8" s="175">
        <v>2023</v>
      </c>
      <c r="H8" s="404" t="s">
        <v>3</v>
      </c>
      <c r="I8" s="404"/>
      <c r="J8" s="175">
        <v>2020</v>
      </c>
      <c r="K8" s="175">
        <v>2021</v>
      </c>
      <c r="L8" s="175">
        <v>2022</v>
      </c>
      <c r="M8" s="175">
        <v>2023</v>
      </c>
    </row>
    <row r="9" spans="1:13" ht="12" customHeight="1">
      <c r="A9" s="495" t="s">
        <v>5</v>
      </c>
      <c r="B9" s="496"/>
      <c r="C9" s="497"/>
      <c r="D9" s="98">
        <v>277851190</v>
      </c>
      <c r="E9" s="98">
        <v>246670000</v>
      </c>
      <c r="F9" s="98">
        <v>231106000</v>
      </c>
      <c r="G9" s="98">
        <v>226142000</v>
      </c>
      <c r="H9" s="393" t="s">
        <v>6</v>
      </c>
      <c r="I9" s="393"/>
      <c r="J9" s="98">
        <v>192583191</v>
      </c>
      <c r="K9" s="98">
        <v>170000000</v>
      </c>
      <c r="L9" s="98">
        <v>160000000</v>
      </c>
      <c r="M9" s="98">
        <v>155000000</v>
      </c>
    </row>
    <row r="10" spans="1:13" ht="12" customHeight="1">
      <c r="A10" s="392" t="s">
        <v>7</v>
      </c>
      <c r="B10" s="392"/>
      <c r="C10" s="392"/>
      <c r="D10" s="98">
        <v>37550000</v>
      </c>
      <c r="E10" s="98">
        <v>37280000</v>
      </c>
      <c r="F10" s="98">
        <v>37280000</v>
      </c>
      <c r="G10" s="98">
        <v>37280000</v>
      </c>
      <c r="H10" s="392" t="s">
        <v>8</v>
      </c>
      <c r="I10" s="392"/>
      <c r="J10" s="98">
        <v>34486982</v>
      </c>
      <c r="K10" s="98">
        <v>31368000</v>
      </c>
      <c r="L10" s="98">
        <v>28800000</v>
      </c>
      <c r="M10" s="98">
        <v>27900000</v>
      </c>
    </row>
    <row r="11" spans="1:13" ht="12" customHeight="1">
      <c r="A11" s="393" t="s">
        <v>9</v>
      </c>
      <c r="B11" s="393"/>
      <c r="C11" s="393"/>
      <c r="D11" s="98">
        <v>23924630</v>
      </c>
      <c r="E11" s="98">
        <v>30000000</v>
      </c>
      <c r="F11" s="98">
        <v>30000000</v>
      </c>
      <c r="G11" s="98">
        <v>30000000</v>
      </c>
      <c r="H11" s="393" t="s">
        <v>10</v>
      </c>
      <c r="I11" s="393"/>
      <c r="J11" s="98">
        <v>144780129</v>
      </c>
      <c r="K11" s="98">
        <v>98182000</v>
      </c>
      <c r="L11" s="98">
        <v>95186000</v>
      </c>
      <c r="M11" s="98">
        <v>93122000</v>
      </c>
    </row>
    <row r="12" spans="1:13" ht="15.75" customHeight="1">
      <c r="A12" s="393" t="s">
        <v>11</v>
      </c>
      <c r="B12" s="393"/>
      <c r="C12" s="393"/>
      <c r="D12" s="98"/>
      <c r="E12" s="98"/>
      <c r="F12" s="98"/>
      <c r="G12" s="98"/>
      <c r="H12" s="393" t="s">
        <v>12</v>
      </c>
      <c r="I12" s="393"/>
      <c r="J12" s="98">
        <v>7000000</v>
      </c>
      <c r="K12" s="98">
        <v>6000000</v>
      </c>
      <c r="L12" s="98">
        <v>6000000</v>
      </c>
      <c r="M12" s="98">
        <v>6000000</v>
      </c>
    </row>
    <row r="13" spans="1:13" ht="12" customHeight="1">
      <c r="A13" s="393"/>
      <c r="B13" s="393"/>
      <c r="C13" s="393"/>
      <c r="D13" s="98"/>
      <c r="E13" s="98"/>
      <c r="F13" s="98"/>
      <c r="G13" s="98"/>
      <c r="H13" s="393" t="s">
        <v>13</v>
      </c>
      <c r="I13" s="393"/>
      <c r="J13" s="98">
        <v>10850590</v>
      </c>
      <c r="K13" s="98">
        <v>8400000</v>
      </c>
      <c r="L13" s="98">
        <v>8400000</v>
      </c>
      <c r="M13" s="98">
        <v>8400000</v>
      </c>
    </row>
    <row r="14" spans="1:13" ht="12" customHeight="1">
      <c r="A14" s="399"/>
      <c r="B14" s="399"/>
      <c r="C14" s="399"/>
      <c r="D14" s="98"/>
      <c r="E14" s="98"/>
      <c r="F14" s="98"/>
      <c r="G14" s="98"/>
      <c r="H14" s="400" t="s">
        <v>14</v>
      </c>
      <c r="I14" s="400"/>
      <c r="J14" s="98"/>
      <c r="K14" s="98"/>
      <c r="L14" s="98"/>
      <c r="M14" s="98"/>
    </row>
    <row r="15" spans="1:13" ht="12" customHeight="1">
      <c r="A15" s="397"/>
      <c r="B15" s="397"/>
      <c r="C15" s="397"/>
      <c r="D15" s="98"/>
      <c r="E15" s="98"/>
      <c r="F15" s="98"/>
      <c r="G15" s="98"/>
      <c r="H15" s="400" t="s">
        <v>15</v>
      </c>
      <c r="I15" s="400"/>
      <c r="J15" s="98">
        <v>3672448</v>
      </c>
      <c r="K15" s="98"/>
      <c r="L15" s="98"/>
      <c r="M15" s="98"/>
    </row>
    <row r="16" spans="1:13" ht="12" customHeight="1" thickBot="1">
      <c r="A16" s="388"/>
      <c r="B16" s="388"/>
      <c r="C16" s="388"/>
      <c r="D16" s="193"/>
      <c r="E16" s="193"/>
      <c r="F16" s="193"/>
      <c r="G16" s="193"/>
      <c r="H16" s="398"/>
      <c r="I16" s="398"/>
      <c r="J16" s="193"/>
      <c r="K16" s="193"/>
      <c r="L16" s="193"/>
      <c r="M16" s="193"/>
    </row>
    <row r="17" spans="1:13" ht="23.25" customHeight="1" thickBot="1">
      <c r="A17" s="498" t="s">
        <v>16</v>
      </c>
      <c r="B17" s="498"/>
      <c r="C17" s="498"/>
      <c r="D17" s="204">
        <f>SUM(D9:D16)</f>
        <v>339325820</v>
      </c>
      <c r="E17" s="204">
        <f>SUM(E9:E16)</f>
        <v>313950000</v>
      </c>
      <c r="F17" s="204">
        <f>SUM(F9:F16)</f>
        <v>298386000</v>
      </c>
      <c r="G17" s="204">
        <f>SUM(G9:G16)</f>
        <v>293422000</v>
      </c>
      <c r="H17" s="498" t="s">
        <v>17</v>
      </c>
      <c r="I17" s="498"/>
      <c r="J17" s="205">
        <f>SUM(J9:J13)</f>
        <v>389700892</v>
      </c>
      <c r="K17" s="205">
        <f>SUM(K9:K13)</f>
        <v>313950000</v>
      </c>
      <c r="L17" s="205">
        <f>SUM(L9:L13)</f>
        <v>298386000</v>
      </c>
      <c r="M17" s="205">
        <f>SUM(M9:M13)</f>
        <v>290422000</v>
      </c>
    </row>
    <row r="18" spans="1:13" ht="12" customHeight="1" thickBot="1">
      <c r="A18" s="390"/>
      <c r="B18" s="390"/>
      <c r="C18" s="390"/>
      <c r="D18" s="199"/>
      <c r="E18" s="199"/>
      <c r="F18" s="199"/>
      <c r="G18" s="199"/>
      <c r="H18" s="390"/>
      <c r="I18" s="390"/>
      <c r="J18" s="199"/>
      <c r="K18" s="199"/>
      <c r="L18" s="199"/>
      <c r="M18" s="199"/>
    </row>
    <row r="19" spans="1:13" ht="24" customHeight="1" thickBot="1">
      <c r="A19" s="498" t="s">
        <v>18</v>
      </c>
      <c r="B19" s="498"/>
      <c r="C19" s="498"/>
      <c r="D19" s="204">
        <v>50375072</v>
      </c>
      <c r="E19" s="204"/>
      <c r="F19" s="204"/>
      <c r="G19" s="204"/>
      <c r="H19" s="498" t="s">
        <v>19</v>
      </c>
      <c r="I19" s="498"/>
      <c r="J19" s="205">
        <v>6972496</v>
      </c>
      <c r="K19" s="205"/>
      <c r="L19" s="205"/>
      <c r="M19" s="205"/>
    </row>
    <row r="20" spans="1:13" ht="12" customHeight="1" thickBot="1">
      <c r="A20" s="382" t="s">
        <v>20</v>
      </c>
      <c r="B20" s="382"/>
      <c r="C20" s="382"/>
      <c r="D20" s="201">
        <v>50375072</v>
      </c>
      <c r="E20" s="201"/>
      <c r="F20" s="201"/>
      <c r="G20" s="201"/>
      <c r="H20" s="396"/>
      <c r="I20" s="396"/>
      <c r="J20" s="199"/>
      <c r="K20" s="199"/>
      <c r="L20" s="199"/>
      <c r="M20" s="199"/>
    </row>
    <row r="21" spans="1:13" ht="24.75" customHeight="1" thickBot="1">
      <c r="A21" s="499" t="s">
        <v>21</v>
      </c>
      <c r="B21" s="499"/>
      <c r="C21" s="499"/>
      <c r="D21" s="202">
        <f>D17+D19</f>
        <v>389700892</v>
      </c>
      <c r="E21" s="202">
        <f>E17+E19</f>
        <v>313950000</v>
      </c>
      <c r="F21" s="202">
        <f>F17+F19</f>
        <v>298386000</v>
      </c>
      <c r="G21" s="202">
        <f>G17+G19</f>
        <v>293422000</v>
      </c>
      <c r="H21" s="500" t="s">
        <v>22</v>
      </c>
      <c r="I21" s="500"/>
      <c r="J21" s="202">
        <f>J17+J19</f>
        <v>396673388</v>
      </c>
      <c r="K21" s="202">
        <f>K17+K19</f>
        <v>313950000</v>
      </c>
      <c r="L21" s="202">
        <f>L17+L19</f>
        <v>298386000</v>
      </c>
      <c r="M21" s="202">
        <f>M17+M19</f>
        <v>290422000</v>
      </c>
    </row>
    <row r="22" spans="1:13" ht="12" customHeight="1">
      <c r="A22" s="394"/>
      <c r="B22" s="394"/>
      <c r="C22" s="394"/>
      <c r="D22" s="194"/>
      <c r="E22" s="194"/>
      <c r="F22" s="194"/>
      <c r="G22" s="194"/>
      <c r="H22" s="395"/>
      <c r="I22" s="395"/>
      <c r="J22" s="194"/>
      <c r="K22" s="194"/>
      <c r="L22" s="194"/>
      <c r="M22" s="194"/>
    </row>
    <row r="23" spans="1:13" ht="12" customHeight="1">
      <c r="A23" s="392" t="s">
        <v>23</v>
      </c>
      <c r="B23" s="392"/>
      <c r="C23" s="392"/>
      <c r="D23" s="98">
        <v>26189532</v>
      </c>
      <c r="E23" s="98">
        <v>30488000</v>
      </c>
      <c r="F23" s="98">
        <v>135745000</v>
      </c>
      <c r="G23" s="98"/>
      <c r="H23" s="393" t="s">
        <v>24</v>
      </c>
      <c r="I23" s="393"/>
      <c r="J23" s="98">
        <v>708192126</v>
      </c>
      <c r="K23" s="98">
        <v>30488000</v>
      </c>
      <c r="L23" s="98">
        <v>135745000</v>
      </c>
      <c r="M23" s="98">
        <v>3000000</v>
      </c>
    </row>
    <row r="24" spans="1:13" ht="12" customHeight="1">
      <c r="A24" s="392" t="s">
        <v>25</v>
      </c>
      <c r="B24" s="392"/>
      <c r="C24" s="392"/>
      <c r="D24" s="98"/>
      <c r="E24" s="98"/>
      <c r="F24" s="98"/>
      <c r="G24" s="98"/>
      <c r="H24" s="393" t="s">
        <v>26</v>
      </c>
      <c r="I24" s="393"/>
      <c r="J24" s="98">
        <v>4651032</v>
      </c>
      <c r="K24" s="98"/>
      <c r="L24" s="98"/>
      <c r="M24" s="98"/>
    </row>
    <row r="25" spans="1:16" ht="30" customHeight="1" thickBot="1">
      <c r="A25" s="388" t="s">
        <v>27</v>
      </c>
      <c r="B25" s="388"/>
      <c r="C25" s="388"/>
      <c r="D25" s="193"/>
      <c r="E25" s="193"/>
      <c r="F25" s="193"/>
      <c r="G25" s="193"/>
      <c r="H25" s="388" t="s">
        <v>28</v>
      </c>
      <c r="I25" s="388"/>
      <c r="J25" s="193">
        <v>1358080</v>
      </c>
      <c r="K25" s="193"/>
      <c r="L25" s="193"/>
      <c r="M25" s="193"/>
      <c r="P25" s="65"/>
    </row>
    <row r="26" spans="1:13" ht="32.25" customHeight="1" thickBot="1">
      <c r="A26" s="501" t="s">
        <v>29</v>
      </c>
      <c r="B26" s="501"/>
      <c r="C26" s="501"/>
      <c r="D26" s="204">
        <f>SUM(D22:D25)</f>
        <v>26189532</v>
      </c>
      <c r="E26" s="204">
        <f>SUM(E22:E25)</f>
        <v>30488000</v>
      </c>
      <c r="F26" s="204">
        <f>SUM(F22:F25)</f>
        <v>135745000</v>
      </c>
      <c r="G26" s="204">
        <f>SUM(G22:G25)</f>
        <v>0</v>
      </c>
      <c r="H26" s="501" t="s">
        <v>30</v>
      </c>
      <c r="I26" s="501"/>
      <c r="J26" s="204">
        <f>SUM(J23:J25)</f>
        <v>714201238</v>
      </c>
      <c r="K26" s="204">
        <f>SUM(K23:K25)</f>
        <v>30488000</v>
      </c>
      <c r="L26" s="204">
        <f>SUM(L23:L25)</f>
        <v>135745000</v>
      </c>
      <c r="M26" s="204">
        <f>SUM(M23:M25)</f>
        <v>3000000</v>
      </c>
    </row>
    <row r="27" spans="1:13" ht="12" customHeight="1" thickBot="1">
      <c r="A27" s="390"/>
      <c r="B27" s="390"/>
      <c r="C27" s="390"/>
      <c r="D27" s="199"/>
      <c r="E27" s="199"/>
      <c r="F27" s="199"/>
      <c r="G27" s="199"/>
      <c r="H27" s="390"/>
      <c r="I27" s="390"/>
      <c r="J27" s="199"/>
      <c r="K27" s="206"/>
      <c r="L27" s="206"/>
      <c r="M27" s="206"/>
    </row>
    <row r="28" spans="1:13" ht="23.25" customHeight="1" thickBot="1">
      <c r="A28" s="498" t="s">
        <v>31</v>
      </c>
      <c r="B28" s="498"/>
      <c r="C28" s="498"/>
      <c r="D28" s="208">
        <v>694984202</v>
      </c>
      <c r="E28" s="208"/>
      <c r="F28" s="208"/>
      <c r="G28" s="208"/>
      <c r="H28" s="498" t="s">
        <v>32</v>
      </c>
      <c r="I28" s="498"/>
      <c r="J28" s="209"/>
      <c r="K28" s="210"/>
      <c r="L28" s="210"/>
      <c r="M28" s="210"/>
    </row>
    <row r="29" spans="1:13" ht="15.75" customHeight="1">
      <c r="A29" s="386" t="s">
        <v>20</v>
      </c>
      <c r="B29" s="386"/>
      <c r="C29" s="386"/>
      <c r="D29" s="207">
        <f>D28</f>
        <v>694984202</v>
      </c>
      <c r="E29" s="207"/>
      <c r="F29" s="207"/>
      <c r="G29" s="207"/>
      <c r="H29" s="387"/>
      <c r="I29" s="387"/>
      <c r="J29" s="194"/>
      <c r="K29" s="203"/>
      <c r="L29" s="203"/>
      <c r="M29" s="203"/>
    </row>
    <row r="30" spans="1:13" ht="12" customHeight="1" thickBot="1">
      <c r="A30" s="388"/>
      <c r="B30" s="388"/>
      <c r="C30" s="388"/>
      <c r="D30" s="193"/>
      <c r="E30" s="193"/>
      <c r="F30" s="193"/>
      <c r="G30" s="193"/>
      <c r="H30" s="389"/>
      <c r="I30" s="389"/>
      <c r="J30" s="193"/>
      <c r="K30" s="211"/>
      <c r="L30" s="211"/>
      <c r="M30" s="211"/>
    </row>
    <row r="31" spans="1:13" ht="21.75" customHeight="1" thickBot="1">
      <c r="A31" s="501" t="s">
        <v>33</v>
      </c>
      <c r="B31" s="501"/>
      <c r="C31" s="501"/>
      <c r="D31" s="212">
        <f>D26+D28</f>
        <v>721173734</v>
      </c>
      <c r="E31" s="212">
        <f>E26+E28</f>
        <v>30488000</v>
      </c>
      <c r="F31" s="212">
        <f>F26+F28</f>
        <v>135745000</v>
      </c>
      <c r="G31" s="212">
        <f>G26+G28</f>
        <v>0</v>
      </c>
      <c r="H31" s="502" t="s">
        <v>34</v>
      </c>
      <c r="I31" s="502"/>
      <c r="J31" s="212">
        <f>J26+J28</f>
        <v>714201238</v>
      </c>
      <c r="K31" s="212">
        <f>K26+K28</f>
        <v>30488000</v>
      </c>
      <c r="L31" s="212">
        <f>L26+L28</f>
        <v>135745000</v>
      </c>
      <c r="M31" s="212">
        <f>M26+M28</f>
        <v>3000000</v>
      </c>
    </row>
    <row r="32" spans="1:13" ht="12" customHeight="1" thickBot="1">
      <c r="A32" s="384"/>
      <c r="B32" s="384"/>
      <c r="C32" s="384"/>
      <c r="D32" s="199"/>
      <c r="E32" s="199"/>
      <c r="F32" s="199"/>
      <c r="G32" s="199"/>
      <c r="H32" s="385"/>
      <c r="I32" s="385"/>
      <c r="J32" s="199"/>
      <c r="K32" s="206"/>
      <c r="L32" s="206"/>
      <c r="M32" s="206"/>
    </row>
    <row r="33" spans="1:13" ht="22.5" customHeight="1" thickBot="1">
      <c r="A33" s="501" t="s">
        <v>35</v>
      </c>
      <c r="B33" s="501"/>
      <c r="C33" s="501"/>
      <c r="D33" s="212">
        <f>D17+D26</f>
        <v>365515352</v>
      </c>
      <c r="E33" s="212">
        <f>E17+E26</f>
        <v>344438000</v>
      </c>
      <c r="F33" s="212">
        <f>F17+F26</f>
        <v>434131000</v>
      </c>
      <c r="G33" s="212">
        <f>G17+G26</f>
        <v>293422000</v>
      </c>
      <c r="H33" s="502" t="s">
        <v>36</v>
      </c>
      <c r="I33" s="502"/>
      <c r="J33" s="212">
        <f>J17+J26</f>
        <v>1103902130</v>
      </c>
      <c r="K33" s="212">
        <f>K17+K26</f>
        <v>344438000</v>
      </c>
      <c r="L33" s="212">
        <f>L17+L26</f>
        <v>434131000</v>
      </c>
      <c r="M33" s="212">
        <f>M17+M26</f>
        <v>293422000</v>
      </c>
    </row>
    <row r="34" spans="1:13" ht="12" customHeight="1" thickBot="1">
      <c r="A34" s="384"/>
      <c r="B34" s="384"/>
      <c r="C34" s="384"/>
      <c r="D34" s="199"/>
      <c r="E34" s="199"/>
      <c r="F34" s="199"/>
      <c r="G34" s="199"/>
      <c r="H34" s="385"/>
      <c r="I34" s="385"/>
      <c r="J34" s="199"/>
      <c r="K34" s="206"/>
      <c r="L34" s="206"/>
      <c r="M34" s="206"/>
    </row>
    <row r="35" spans="1:13" ht="27" customHeight="1" thickBot="1">
      <c r="A35" s="501" t="s">
        <v>37</v>
      </c>
      <c r="B35" s="501"/>
      <c r="C35" s="501"/>
      <c r="D35" s="212">
        <f>D19+D28</f>
        <v>745359274</v>
      </c>
      <c r="E35" s="212"/>
      <c r="F35" s="212"/>
      <c r="G35" s="212"/>
      <c r="H35" s="502" t="s">
        <v>38</v>
      </c>
      <c r="I35" s="502"/>
      <c r="J35" s="209">
        <v>6972496</v>
      </c>
      <c r="K35" s="210"/>
      <c r="L35" s="210"/>
      <c r="M35" s="210"/>
    </row>
    <row r="36" spans="1:13" ht="12" customHeight="1" thickBot="1">
      <c r="A36" s="382" t="s">
        <v>20</v>
      </c>
      <c r="B36" s="382"/>
      <c r="C36" s="382"/>
      <c r="D36" s="201">
        <v>695988762</v>
      </c>
      <c r="E36" s="201"/>
      <c r="F36" s="201"/>
      <c r="G36" s="201"/>
      <c r="H36" s="383"/>
      <c r="I36" s="383"/>
      <c r="J36" s="199"/>
      <c r="K36" s="206"/>
      <c r="L36" s="206"/>
      <c r="M36" s="206"/>
    </row>
    <row r="37" spans="1:13" ht="15.75" customHeight="1" thickBot="1" thickTop="1">
      <c r="A37" s="503" t="s">
        <v>39</v>
      </c>
      <c r="B37" s="503"/>
      <c r="C37" s="503"/>
      <c r="D37" s="213">
        <f>D33+D35</f>
        <v>1110874626</v>
      </c>
      <c r="E37" s="213">
        <f>E33+E35</f>
        <v>344438000</v>
      </c>
      <c r="F37" s="213">
        <f>F33+F35</f>
        <v>434131000</v>
      </c>
      <c r="G37" s="213">
        <f>G33+G35</f>
        <v>293422000</v>
      </c>
      <c r="H37" s="503" t="s">
        <v>40</v>
      </c>
      <c r="I37" s="503"/>
      <c r="J37" s="213">
        <f>J21+J31</f>
        <v>1110874626</v>
      </c>
      <c r="K37" s="213">
        <f>K21+K31</f>
        <v>344438000</v>
      </c>
      <c r="L37" s="213">
        <f>L21+L31</f>
        <v>434131000</v>
      </c>
      <c r="M37" s="213">
        <f>M21+M31</f>
        <v>293422000</v>
      </c>
    </row>
    <row r="38" ht="13.5" thickTop="1"/>
  </sheetData>
  <sheetProtection selectLockedCells="1" selectUnlockedCells="1"/>
  <mergeCells count="66">
    <mergeCell ref="A37:C37"/>
    <mergeCell ref="H37:I37"/>
    <mergeCell ref="A35:C35"/>
    <mergeCell ref="H35:I35"/>
    <mergeCell ref="A36:C36"/>
    <mergeCell ref="H36:I36"/>
    <mergeCell ref="A32:C32"/>
    <mergeCell ref="H32:I32"/>
    <mergeCell ref="A33:C33"/>
    <mergeCell ref="H33:I33"/>
    <mergeCell ref="A34:C34"/>
    <mergeCell ref="H34:I34"/>
    <mergeCell ref="A29:C29"/>
    <mergeCell ref="H29:I29"/>
    <mergeCell ref="A30:C30"/>
    <mergeCell ref="H30:I30"/>
    <mergeCell ref="A31:C31"/>
    <mergeCell ref="H31:I31"/>
    <mergeCell ref="A26:C26"/>
    <mergeCell ref="H26:I26"/>
    <mergeCell ref="A27:C27"/>
    <mergeCell ref="H27:I27"/>
    <mergeCell ref="A28:C28"/>
    <mergeCell ref="H28:I28"/>
    <mergeCell ref="A23:C23"/>
    <mergeCell ref="H23:I23"/>
    <mergeCell ref="A24:C24"/>
    <mergeCell ref="H24:I24"/>
    <mergeCell ref="A25:C25"/>
    <mergeCell ref="H25:I25"/>
    <mergeCell ref="A20:C20"/>
    <mergeCell ref="H20:I20"/>
    <mergeCell ref="A21:C21"/>
    <mergeCell ref="H21:I21"/>
    <mergeCell ref="A22:C22"/>
    <mergeCell ref="H22:I22"/>
    <mergeCell ref="A17:C17"/>
    <mergeCell ref="H17:I17"/>
    <mergeCell ref="A18:C18"/>
    <mergeCell ref="H18:I18"/>
    <mergeCell ref="A19:C19"/>
    <mergeCell ref="H19:I19"/>
    <mergeCell ref="A14:C14"/>
    <mergeCell ref="H14:I14"/>
    <mergeCell ref="A15:C15"/>
    <mergeCell ref="H15:I15"/>
    <mergeCell ref="A16:C16"/>
    <mergeCell ref="H16:I16"/>
    <mergeCell ref="A11:C11"/>
    <mergeCell ref="H11:I11"/>
    <mergeCell ref="A12:C12"/>
    <mergeCell ref="H12:I12"/>
    <mergeCell ref="A13:C13"/>
    <mergeCell ref="H13:I13"/>
    <mergeCell ref="A10:C10"/>
    <mergeCell ref="H10:I10"/>
    <mergeCell ref="A8:C8"/>
    <mergeCell ref="H8:I8"/>
    <mergeCell ref="A9:C9"/>
    <mergeCell ref="H9:I9"/>
    <mergeCell ref="A5:M5"/>
    <mergeCell ref="A7:G7"/>
    <mergeCell ref="H7:M7"/>
    <mergeCell ref="A4:J4"/>
    <mergeCell ref="A6:C6"/>
    <mergeCell ref="H6:I6"/>
  </mergeCells>
  <printOptions/>
  <pageMargins left="0.5902777777777778" right="0.3298611111111111" top="0.25972222222222224" bottom="0.27569444444444446" header="0.5118055555555555" footer="0.5118055555555555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xSplit="8" ySplit="6" topLeftCell="I13" activePane="bottomRight" state="frozen"/>
      <selection pane="topLeft" activeCell="A1" sqref="A1"/>
      <selection pane="topRight" activeCell="I1" sqref="I1"/>
      <selection pane="bottomLeft" activeCell="A7" sqref="A7"/>
      <selection pane="bottomRight" activeCell="C1" sqref="C1"/>
    </sheetView>
  </sheetViews>
  <sheetFormatPr defaultColWidth="9.00390625" defaultRowHeight="12.75"/>
  <cols>
    <col min="1" max="1" width="8.00390625" style="0" customWidth="1"/>
    <col min="4" max="4" width="25.125" style="0" customWidth="1"/>
    <col min="5" max="5" width="12.875" style="0" customWidth="1"/>
    <col min="6" max="6" width="12.625" style="0" customWidth="1"/>
    <col min="7" max="7" width="10.75390625" style="0" customWidth="1"/>
    <col min="8" max="8" width="13.00390625" style="0" customWidth="1"/>
    <col min="10" max="10" width="11.125" style="0" bestFit="1" customWidth="1"/>
    <col min="11" max="11" width="10.00390625" style="0" bestFit="1" customWidth="1"/>
    <col min="13" max="13" width="12.375" style="0" customWidth="1"/>
  </cols>
  <sheetData>
    <row r="1" spans="1:8" ht="12.75">
      <c r="A1" s="37" t="s">
        <v>590</v>
      </c>
      <c r="B1" s="93"/>
      <c r="C1" s="93"/>
      <c r="D1" s="93"/>
      <c r="E1" s="93"/>
      <c r="F1" s="93"/>
      <c r="G1" s="93"/>
      <c r="H1" s="93"/>
    </row>
    <row r="2" spans="1:8" ht="12.75">
      <c r="A2" s="422" t="s">
        <v>548</v>
      </c>
      <c r="B2" s="422"/>
      <c r="C2" s="422"/>
      <c r="D2" s="422"/>
      <c r="E2" s="422"/>
      <c r="F2" s="422"/>
      <c r="G2" s="422"/>
      <c r="H2" s="422"/>
    </row>
    <row r="3" spans="1:8" ht="12.75">
      <c r="A3" s="422" t="s">
        <v>47</v>
      </c>
      <c r="B3" s="422"/>
      <c r="C3" s="422"/>
      <c r="D3" s="422"/>
      <c r="E3" s="422"/>
      <c r="F3" s="422"/>
      <c r="G3" s="422"/>
      <c r="H3" s="422"/>
    </row>
    <row r="4" spans="1:8" ht="12.75">
      <c r="A4" s="423" t="s">
        <v>423</v>
      </c>
      <c r="B4" s="423"/>
      <c r="C4" s="423"/>
      <c r="D4" s="423"/>
      <c r="E4" s="423"/>
      <c r="F4" s="423"/>
      <c r="G4" s="423"/>
      <c r="H4" s="423"/>
    </row>
    <row r="5" spans="1:8" ht="12.75" customHeight="1">
      <c r="A5" s="404" t="s">
        <v>48</v>
      </c>
      <c r="B5" s="404"/>
      <c r="C5" s="404"/>
      <c r="D5" s="404"/>
      <c r="E5" s="424" t="s">
        <v>49</v>
      </c>
      <c r="F5" s="424" t="s">
        <v>50</v>
      </c>
      <c r="G5" s="424" t="s">
        <v>51</v>
      </c>
      <c r="H5" s="404" t="s">
        <v>52</v>
      </c>
    </row>
    <row r="6" spans="1:8" ht="22.5" customHeight="1">
      <c r="A6" s="404"/>
      <c r="B6" s="404"/>
      <c r="C6" s="404"/>
      <c r="D6" s="404"/>
      <c r="E6" s="424"/>
      <c r="F6" s="424"/>
      <c r="G6" s="424"/>
      <c r="H6" s="404"/>
    </row>
    <row r="7" spans="1:8" ht="12.75">
      <c r="A7" s="421" t="s">
        <v>53</v>
      </c>
      <c r="B7" s="421"/>
      <c r="C7" s="421"/>
      <c r="D7" s="421"/>
      <c r="E7" s="226">
        <v>64476431</v>
      </c>
      <c r="F7" s="226"/>
      <c r="G7" s="226"/>
      <c r="H7" s="98">
        <f aca="true" t="shared" si="0" ref="H7:H17">SUM(E7:G7)</f>
        <v>64476431</v>
      </c>
    </row>
    <row r="8" spans="1:8" ht="12.75">
      <c r="A8" s="393" t="s">
        <v>54</v>
      </c>
      <c r="B8" s="393"/>
      <c r="C8" s="393"/>
      <c r="D8" s="393"/>
      <c r="E8" s="98">
        <v>58981620</v>
      </c>
      <c r="F8" s="98"/>
      <c r="G8" s="98"/>
      <c r="H8" s="98">
        <f t="shared" si="0"/>
        <v>58981620</v>
      </c>
    </row>
    <row r="9" spans="1:8" ht="23.25" customHeight="1">
      <c r="A9" s="392" t="s">
        <v>55</v>
      </c>
      <c r="B9" s="392"/>
      <c r="C9" s="392"/>
      <c r="D9" s="392"/>
      <c r="E9" s="98">
        <v>48274797</v>
      </c>
      <c r="F9" s="98"/>
      <c r="G9" s="98"/>
      <c r="H9" s="98">
        <f t="shared" si="0"/>
        <v>48274797</v>
      </c>
    </row>
    <row r="10" spans="1:8" ht="12.75">
      <c r="A10" s="393" t="s">
        <v>56</v>
      </c>
      <c r="B10" s="393"/>
      <c r="C10" s="393"/>
      <c r="D10" s="393"/>
      <c r="E10" s="98">
        <v>2579562</v>
      </c>
      <c r="F10" s="98"/>
      <c r="G10" s="98"/>
      <c r="H10" s="98">
        <f t="shared" si="0"/>
        <v>2579562</v>
      </c>
    </row>
    <row r="11" spans="1:10" ht="12.75">
      <c r="A11" s="393" t="s">
        <v>57</v>
      </c>
      <c r="B11" s="393"/>
      <c r="C11" s="393"/>
      <c r="D11" s="393"/>
      <c r="E11" s="98"/>
      <c r="F11" s="98"/>
      <c r="G11" s="98"/>
      <c r="H11" s="98">
        <f t="shared" si="0"/>
        <v>0</v>
      </c>
      <c r="J11" s="23"/>
    </row>
    <row r="12" spans="1:8" ht="12.75">
      <c r="A12" s="393" t="s">
        <v>58</v>
      </c>
      <c r="B12" s="393"/>
      <c r="C12" s="393"/>
      <c r="D12" s="393"/>
      <c r="E12" s="98"/>
      <c r="F12" s="98"/>
      <c r="G12" s="98"/>
      <c r="H12" s="98">
        <f t="shared" si="0"/>
        <v>0</v>
      </c>
    </row>
    <row r="13" spans="1:8" ht="23.25" customHeight="1">
      <c r="A13" s="392" t="s">
        <v>59</v>
      </c>
      <c r="B13" s="392"/>
      <c r="C13" s="392"/>
      <c r="D13" s="392"/>
      <c r="E13" s="98"/>
      <c r="F13" s="98"/>
      <c r="G13" s="98"/>
      <c r="H13" s="98">
        <f t="shared" si="0"/>
        <v>0</v>
      </c>
    </row>
    <row r="14" spans="1:8" ht="23.25" customHeight="1">
      <c r="A14" s="392" t="s">
        <v>60</v>
      </c>
      <c r="B14" s="392"/>
      <c r="C14" s="392"/>
      <c r="D14" s="392"/>
      <c r="E14" s="98"/>
      <c r="F14" s="98"/>
      <c r="G14" s="98"/>
      <c r="H14" s="98">
        <f t="shared" si="0"/>
        <v>0</v>
      </c>
    </row>
    <row r="15" spans="1:8" ht="23.25" customHeight="1">
      <c r="A15" s="392" t="s">
        <v>61</v>
      </c>
      <c r="B15" s="392"/>
      <c r="C15" s="392"/>
      <c r="D15" s="392"/>
      <c r="E15" s="98"/>
      <c r="F15" s="98"/>
      <c r="G15" s="98"/>
      <c r="H15" s="98">
        <f t="shared" si="0"/>
        <v>0</v>
      </c>
    </row>
    <row r="16" spans="1:8" ht="20.25" customHeight="1">
      <c r="A16" s="419" t="s">
        <v>62</v>
      </c>
      <c r="B16" s="419"/>
      <c r="C16" s="419"/>
      <c r="D16" s="419"/>
      <c r="E16" s="193">
        <f>58907291+5834440+37203203+462000</f>
        <v>102406934</v>
      </c>
      <c r="F16" s="193">
        <v>1131846</v>
      </c>
      <c r="G16" s="193"/>
      <c r="H16" s="193">
        <f t="shared" si="0"/>
        <v>103538780</v>
      </c>
    </row>
    <row r="17" spans="1:8" s="21" customFormat="1" ht="12.75" customHeight="1">
      <c r="A17" s="380" t="s">
        <v>63</v>
      </c>
      <c r="B17" s="380"/>
      <c r="C17" s="380"/>
      <c r="D17" s="380"/>
      <c r="E17" s="214">
        <f>SUM(E7:E16)</f>
        <v>276719344</v>
      </c>
      <c r="F17" s="214">
        <f>SUM(F7:F16)</f>
        <v>1131846</v>
      </c>
      <c r="G17" s="214">
        <f>SUM(G7:G16)</f>
        <v>0</v>
      </c>
      <c r="H17" s="214">
        <f t="shared" si="0"/>
        <v>277851190</v>
      </c>
    </row>
    <row r="18" spans="1:8" s="21" customFormat="1" ht="12.75" customHeight="1">
      <c r="A18" s="420"/>
      <c r="B18" s="420"/>
      <c r="C18" s="420"/>
      <c r="D18" s="420"/>
      <c r="E18" s="227"/>
      <c r="F18" s="227"/>
      <c r="G18" s="227"/>
      <c r="H18" s="227"/>
    </row>
    <row r="19" spans="1:8" s="21" customFormat="1" ht="12.75" customHeight="1">
      <c r="A19" s="392" t="s">
        <v>64</v>
      </c>
      <c r="B19" s="392"/>
      <c r="C19" s="392"/>
      <c r="D19" s="392"/>
      <c r="E19" s="98">
        <v>800000</v>
      </c>
      <c r="F19" s="100"/>
      <c r="G19" s="100"/>
      <c r="H19" s="100">
        <f>SUM(E19:G19)</f>
        <v>800000</v>
      </c>
    </row>
    <row r="20" spans="1:8" s="21" customFormat="1" ht="12.75" customHeight="1">
      <c r="A20" s="392" t="s">
        <v>65</v>
      </c>
      <c r="B20" s="392"/>
      <c r="C20" s="392"/>
      <c r="D20" s="392"/>
      <c r="E20" s="98">
        <v>32000000</v>
      </c>
      <c r="F20" s="100"/>
      <c r="G20" s="100"/>
      <c r="H20" s="100">
        <f>SUM(E20:G20)</f>
        <v>32000000</v>
      </c>
    </row>
    <row r="21" spans="1:8" s="21" customFormat="1" ht="12.75" customHeight="1">
      <c r="A21" s="392" t="s">
        <v>377</v>
      </c>
      <c r="B21" s="392"/>
      <c r="C21" s="392"/>
      <c r="D21" s="392"/>
      <c r="E21" s="98">
        <v>4000000</v>
      </c>
      <c r="F21" s="100"/>
      <c r="G21" s="100"/>
      <c r="H21" s="100">
        <f>SUM(E21:G21)</f>
        <v>4000000</v>
      </c>
    </row>
    <row r="22" spans="1:8" s="21" customFormat="1" ht="12.75" customHeight="1">
      <c r="A22" s="392" t="s">
        <v>66</v>
      </c>
      <c r="B22" s="392"/>
      <c r="C22" s="392"/>
      <c r="D22" s="392"/>
      <c r="E22" s="98">
        <v>200000</v>
      </c>
      <c r="F22" s="100"/>
      <c r="G22" s="100"/>
      <c r="H22" s="100">
        <f>SUM(E22:G22)</f>
        <v>200000</v>
      </c>
    </row>
    <row r="23" spans="1:8" ht="12.75" customHeight="1">
      <c r="A23" s="416" t="s">
        <v>67</v>
      </c>
      <c r="B23" s="416"/>
      <c r="C23" s="416"/>
      <c r="D23" s="416"/>
      <c r="E23" s="193">
        <v>300000</v>
      </c>
      <c r="F23" s="193">
        <v>250000</v>
      </c>
      <c r="G23" s="37"/>
      <c r="H23" s="228">
        <f>SUM(E23:F23)</f>
        <v>550000</v>
      </c>
    </row>
    <row r="24" spans="1:8" s="21" customFormat="1" ht="12.75">
      <c r="A24" s="417" t="s">
        <v>68</v>
      </c>
      <c r="B24" s="417"/>
      <c r="C24" s="417"/>
      <c r="D24" s="417"/>
      <c r="E24" s="214">
        <f>SUM(E19:E23)</f>
        <v>37300000</v>
      </c>
      <c r="F24" s="214">
        <f>SUM(F19:F23)</f>
        <v>250000</v>
      </c>
      <c r="G24" s="214">
        <f>SUM(G19:G23)</f>
        <v>0</v>
      </c>
      <c r="H24" s="214">
        <f>SUM(H19:H23)</f>
        <v>37550000</v>
      </c>
    </row>
    <row r="25" spans="1:8" ht="12.75">
      <c r="A25" s="418"/>
      <c r="B25" s="418"/>
      <c r="C25" s="418"/>
      <c r="D25" s="418"/>
      <c r="E25" s="227"/>
      <c r="F25" s="194"/>
      <c r="G25" s="194"/>
      <c r="H25" s="194">
        <f aca="true" t="shared" si="1" ref="H25:H51">SUM(E25:G25)</f>
        <v>0</v>
      </c>
    </row>
    <row r="26" spans="1:8" ht="12.75">
      <c r="A26" s="415" t="s">
        <v>69</v>
      </c>
      <c r="B26" s="415"/>
      <c r="C26" s="415"/>
      <c r="D26" s="415"/>
      <c r="E26" s="98">
        <v>200000</v>
      </c>
      <c r="F26" s="98"/>
      <c r="G26" s="98"/>
      <c r="H26" s="98">
        <f t="shared" si="1"/>
        <v>200000</v>
      </c>
    </row>
    <row r="27" spans="1:8" ht="12.75" customHeight="1">
      <c r="A27" s="392" t="s">
        <v>70</v>
      </c>
      <c r="B27" s="392"/>
      <c r="C27" s="392"/>
      <c r="D27" s="392"/>
      <c r="E27" s="98">
        <v>4196460</v>
      </c>
      <c r="F27" s="37"/>
      <c r="G27" s="98">
        <v>6050000</v>
      </c>
      <c r="H27" s="98">
        <f>SUM(E27:G27)</f>
        <v>10246460</v>
      </c>
    </row>
    <row r="28" spans="1:8" ht="12.75">
      <c r="A28" s="393" t="s">
        <v>71</v>
      </c>
      <c r="B28" s="393"/>
      <c r="C28" s="393"/>
      <c r="D28" s="393"/>
      <c r="E28" s="100"/>
      <c r="F28" s="98">
        <v>100000</v>
      </c>
      <c r="G28" s="37"/>
      <c r="H28" s="98">
        <f>SUM(E28:F28)</f>
        <v>100000</v>
      </c>
    </row>
    <row r="29" spans="1:8" ht="12.75">
      <c r="A29" s="415" t="s">
        <v>72</v>
      </c>
      <c r="B29" s="415"/>
      <c r="C29" s="415"/>
      <c r="D29" s="415"/>
      <c r="E29" s="98"/>
      <c r="F29" s="98"/>
      <c r="G29" s="98"/>
      <c r="H29" s="98">
        <f t="shared" si="1"/>
        <v>0</v>
      </c>
    </row>
    <row r="30" spans="1:8" ht="12.75" customHeight="1">
      <c r="A30" s="415" t="s">
        <v>73</v>
      </c>
      <c r="B30" s="415"/>
      <c r="C30" s="415"/>
      <c r="D30" s="415"/>
      <c r="E30" s="98">
        <v>510000</v>
      </c>
      <c r="F30" s="37"/>
      <c r="G30" s="98">
        <v>8400000</v>
      </c>
      <c r="H30" s="98">
        <f>SUM(E30:G30)</f>
        <v>8910000</v>
      </c>
    </row>
    <row r="31" spans="1:8" ht="12.75" customHeight="1">
      <c r="A31" s="393" t="s">
        <v>74</v>
      </c>
      <c r="B31" s="393"/>
      <c r="C31" s="393"/>
      <c r="D31" s="393"/>
      <c r="E31" s="98">
        <v>532170</v>
      </c>
      <c r="F31" s="98">
        <v>27000</v>
      </c>
      <c r="G31" s="98">
        <v>3901500</v>
      </c>
      <c r="H31" s="98">
        <f>SUM(E31:G31)</f>
        <v>4460670</v>
      </c>
    </row>
    <row r="32" spans="1:8" ht="12.75" customHeight="1">
      <c r="A32" s="393" t="s">
        <v>75</v>
      </c>
      <c r="B32" s="393"/>
      <c r="C32" s="393"/>
      <c r="D32" s="393"/>
      <c r="E32" s="98"/>
      <c r="F32" s="98"/>
      <c r="G32" s="98"/>
      <c r="H32" s="98">
        <f t="shared" si="1"/>
        <v>0</v>
      </c>
    </row>
    <row r="33" spans="1:8" ht="12.75" customHeight="1">
      <c r="A33" s="393" t="s">
        <v>76</v>
      </c>
      <c r="B33" s="393"/>
      <c r="C33" s="393"/>
      <c r="D33" s="393"/>
      <c r="E33" s="98"/>
      <c r="F33" s="98"/>
      <c r="G33" s="98"/>
      <c r="H33" s="98">
        <f t="shared" si="1"/>
        <v>0</v>
      </c>
    </row>
    <row r="34" spans="1:8" ht="12.75" customHeight="1">
      <c r="A34" s="393" t="s">
        <v>77</v>
      </c>
      <c r="B34" s="393"/>
      <c r="C34" s="393"/>
      <c r="D34" s="393"/>
      <c r="E34" s="100"/>
      <c r="F34" s="98"/>
      <c r="G34" s="98"/>
      <c r="H34" s="98">
        <f t="shared" si="1"/>
        <v>0</v>
      </c>
    </row>
    <row r="35" spans="1:8" ht="12.75">
      <c r="A35" s="388" t="s">
        <v>78</v>
      </c>
      <c r="B35" s="388"/>
      <c r="C35" s="388"/>
      <c r="D35" s="388"/>
      <c r="E35" s="228"/>
      <c r="F35" s="193">
        <v>5000</v>
      </c>
      <c r="G35" s="193">
        <v>2500</v>
      </c>
      <c r="H35" s="193">
        <f t="shared" si="1"/>
        <v>7500</v>
      </c>
    </row>
    <row r="36" spans="1:8" s="21" customFormat="1" ht="12.75">
      <c r="A36" s="391" t="s">
        <v>79</v>
      </c>
      <c r="B36" s="391"/>
      <c r="C36" s="391"/>
      <c r="D36" s="391"/>
      <c r="E36" s="214">
        <f>SUM(E26:E35)</f>
        <v>5438630</v>
      </c>
      <c r="F36" s="214">
        <f>SUM(F26:F35)</f>
        <v>132000</v>
      </c>
      <c r="G36" s="214">
        <f>SUM(G26:G35)</f>
        <v>18354000</v>
      </c>
      <c r="H36" s="214">
        <f>SUM(E36:G36)</f>
        <v>23924630</v>
      </c>
    </row>
    <row r="37" spans="1:8" ht="12.75">
      <c r="A37" s="414"/>
      <c r="B37" s="414"/>
      <c r="C37" s="414"/>
      <c r="D37" s="414"/>
      <c r="E37" s="194"/>
      <c r="F37" s="194"/>
      <c r="G37" s="194"/>
      <c r="H37" s="194">
        <f t="shared" si="1"/>
        <v>0</v>
      </c>
    </row>
    <row r="38" spans="1:8" ht="23.25" customHeight="1">
      <c r="A38" s="392" t="s">
        <v>80</v>
      </c>
      <c r="B38" s="392"/>
      <c r="C38" s="392"/>
      <c r="D38" s="392"/>
      <c r="E38" s="98"/>
      <c r="F38" s="98"/>
      <c r="G38" s="98"/>
      <c r="H38" s="98">
        <f t="shared" si="1"/>
        <v>0</v>
      </c>
    </row>
    <row r="39" spans="1:8" ht="23.25" customHeight="1">
      <c r="A39" s="392" t="s">
        <v>81</v>
      </c>
      <c r="B39" s="392"/>
      <c r="C39" s="392"/>
      <c r="D39" s="392"/>
      <c r="E39" s="98"/>
      <c r="F39" s="98"/>
      <c r="G39" s="98"/>
      <c r="H39" s="98">
        <f t="shared" si="1"/>
        <v>0</v>
      </c>
    </row>
    <row r="40" spans="1:8" ht="12.75">
      <c r="A40" s="388" t="s">
        <v>82</v>
      </c>
      <c r="B40" s="388"/>
      <c r="C40" s="388"/>
      <c r="D40" s="388"/>
      <c r="E40" s="193"/>
      <c r="F40" s="193"/>
      <c r="G40" s="193"/>
      <c r="H40" s="193">
        <f t="shared" si="1"/>
        <v>0</v>
      </c>
    </row>
    <row r="41" spans="1:9" s="21" customFormat="1" ht="12.75">
      <c r="A41" s="391" t="s">
        <v>83</v>
      </c>
      <c r="B41" s="391"/>
      <c r="C41" s="391"/>
      <c r="D41" s="391"/>
      <c r="E41" s="214">
        <f>SUM(E38:E40)</f>
        <v>0</v>
      </c>
      <c r="F41" s="214">
        <f>SUM(F38:F40)</f>
        <v>0</v>
      </c>
      <c r="G41" s="214">
        <f>SUM(G38:G40)</f>
        <v>0</v>
      </c>
      <c r="H41" s="214">
        <f t="shared" si="1"/>
        <v>0</v>
      </c>
      <c r="I41" s="59"/>
    </row>
    <row r="42" spans="1:8" ht="13.5" thickBot="1">
      <c r="A42" s="390"/>
      <c r="B42" s="390"/>
      <c r="C42" s="390"/>
      <c r="D42" s="390"/>
      <c r="E42" s="199"/>
      <c r="F42" s="199"/>
      <c r="G42" s="199"/>
      <c r="H42" s="199">
        <f t="shared" si="1"/>
        <v>0</v>
      </c>
    </row>
    <row r="43" spans="1:8" s="21" customFormat="1" ht="24.75" customHeight="1" thickBot="1">
      <c r="A43" s="413" t="s">
        <v>84</v>
      </c>
      <c r="B43" s="413"/>
      <c r="C43" s="413"/>
      <c r="D43" s="413"/>
      <c r="E43" s="195">
        <f>E17+E24+E36+E41</f>
        <v>319457974</v>
      </c>
      <c r="F43" s="195">
        <f>F17+F24+F36+F41</f>
        <v>1513846</v>
      </c>
      <c r="G43" s="195">
        <f>G17+G24+G36+G41</f>
        <v>18354000</v>
      </c>
      <c r="H43" s="195">
        <f t="shared" si="1"/>
        <v>339325820</v>
      </c>
    </row>
    <row r="44" spans="1:8" ht="12.75">
      <c r="A44" s="395"/>
      <c r="B44" s="395"/>
      <c r="C44" s="395"/>
      <c r="D44" s="395"/>
      <c r="E44" s="194"/>
      <c r="F44" s="194"/>
      <c r="G44" s="194"/>
      <c r="H44" s="194">
        <f t="shared" si="1"/>
        <v>0</v>
      </c>
    </row>
    <row r="45" spans="1:13" ht="12.75">
      <c r="A45" s="393" t="s">
        <v>85</v>
      </c>
      <c r="B45" s="393"/>
      <c r="C45" s="393"/>
      <c r="D45" s="393"/>
      <c r="E45" s="98"/>
      <c r="F45" s="98"/>
      <c r="G45" s="98"/>
      <c r="H45" s="98">
        <f t="shared" si="1"/>
        <v>0</v>
      </c>
      <c r="M45" s="21"/>
    </row>
    <row r="46" spans="1:8" ht="12.75">
      <c r="A46" s="393" t="s">
        <v>86</v>
      </c>
      <c r="B46" s="393"/>
      <c r="C46" s="393"/>
      <c r="D46" s="393"/>
      <c r="E46" s="98"/>
      <c r="F46" s="98"/>
      <c r="G46" s="98"/>
      <c r="H46" s="98">
        <f t="shared" si="1"/>
        <v>0</v>
      </c>
    </row>
    <row r="47" spans="1:8" ht="12.75">
      <c r="A47" s="393" t="s">
        <v>87</v>
      </c>
      <c r="B47" s="393"/>
      <c r="C47" s="393"/>
      <c r="D47" s="393"/>
      <c r="E47" s="98">
        <f>45830820-488492+2963053+709395+1448352-576548</f>
        <v>49886580</v>
      </c>
      <c r="F47" s="98">
        <v>139222</v>
      </c>
      <c r="G47" s="98">
        <v>349270</v>
      </c>
      <c r="H47" s="98">
        <f t="shared" si="1"/>
        <v>50375072</v>
      </c>
    </row>
    <row r="48" spans="1:8" ht="12.75">
      <c r="A48" s="393" t="s">
        <v>88</v>
      </c>
      <c r="B48" s="393"/>
      <c r="C48" s="393"/>
      <c r="D48" s="393"/>
      <c r="E48" s="98"/>
      <c r="F48" s="98"/>
      <c r="G48" s="98"/>
      <c r="H48" s="98">
        <f t="shared" si="1"/>
        <v>0</v>
      </c>
    </row>
    <row r="49" spans="1:8" ht="12.75">
      <c r="A49" s="393" t="s">
        <v>89</v>
      </c>
      <c r="B49" s="393"/>
      <c r="C49" s="393"/>
      <c r="D49" s="393"/>
      <c r="E49" s="98"/>
      <c r="F49" s="98"/>
      <c r="G49" s="98"/>
      <c r="H49" s="98">
        <f t="shared" si="1"/>
        <v>0</v>
      </c>
    </row>
    <row r="50" spans="1:8" ht="12.75">
      <c r="A50" s="393" t="s">
        <v>90</v>
      </c>
      <c r="B50" s="393"/>
      <c r="C50" s="393"/>
      <c r="D50" s="393"/>
      <c r="E50" s="98"/>
      <c r="F50" s="98"/>
      <c r="G50" s="98"/>
      <c r="H50" s="98">
        <f t="shared" si="1"/>
        <v>0</v>
      </c>
    </row>
    <row r="51" spans="1:8" ht="12.75">
      <c r="A51" s="388" t="s">
        <v>91</v>
      </c>
      <c r="B51" s="388"/>
      <c r="C51" s="388"/>
      <c r="D51" s="388"/>
      <c r="E51" s="193"/>
      <c r="F51" s="193"/>
      <c r="G51" s="193"/>
      <c r="H51" s="193">
        <f t="shared" si="1"/>
        <v>0</v>
      </c>
    </row>
    <row r="52" spans="1:8" ht="12.75">
      <c r="A52" s="391" t="s">
        <v>92</v>
      </c>
      <c r="B52" s="391"/>
      <c r="C52" s="391"/>
      <c r="D52" s="391"/>
      <c r="E52" s="214">
        <f>SUM(E45:E51)</f>
        <v>49886580</v>
      </c>
      <c r="F52" s="214">
        <f>SUM(F45:F51)</f>
        <v>139222</v>
      </c>
      <c r="G52" s="214">
        <f>SUM(G45:G51)</f>
        <v>349270</v>
      </c>
      <c r="H52" s="214">
        <f>SUM(H45:H51)</f>
        <v>50375072</v>
      </c>
    </row>
    <row r="53" spans="1:8" ht="13.5" thickBot="1">
      <c r="A53" s="390"/>
      <c r="B53" s="390"/>
      <c r="C53" s="390"/>
      <c r="D53" s="390"/>
      <c r="E53" s="199"/>
      <c r="F53" s="199"/>
      <c r="G53" s="199"/>
      <c r="H53" s="199">
        <f>SUM(E53:G53)</f>
        <v>0</v>
      </c>
    </row>
    <row r="54" spans="1:8" ht="13.5" thickBot="1">
      <c r="A54" s="412" t="s">
        <v>93</v>
      </c>
      <c r="B54" s="412"/>
      <c r="C54" s="412"/>
      <c r="D54" s="412"/>
      <c r="E54" s="217">
        <f>E43+E52</f>
        <v>369344554</v>
      </c>
      <c r="F54" s="217">
        <f>F43+F52</f>
        <v>1653068</v>
      </c>
      <c r="G54" s="217">
        <f>G43+G52</f>
        <v>18703270</v>
      </c>
      <c r="H54" s="217">
        <f>SUM(E54:G54)</f>
        <v>389700892</v>
      </c>
    </row>
    <row r="55" spans="1:8" ht="12.75">
      <c r="A55" s="395" t="s">
        <v>90</v>
      </c>
      <c r="B55" s="395"/>
      <c r="C55" s="395"/>
      <c r="D55" s="395"/>
      <c r="E55" s="194"/>
      <c r="F55" s="194"/>
      <c r="G55" s="194"/>
      <c r="H55" s="194">
        <f>SUM(E55:G55)</f>
        <v>0</v>
      </c>
    </row>
  </sheetData>
  <sheetProtection selectLockedCells="1" selectUnlockedCells="1"/>
  <mergeCells count="57">
    <mergeCell ref="A2:H2"/>
    <mergeCell ref="A3:H3"/>
    <mergeCell ref="A4:H4"/>
    <mergeCell ref="A5:D6"/>
    <mergeCell ref="E5:E6"/>
    <mergeCell ref="F5:F6"/>
    <mergeCell ref="G5:G6"/>
    <mergeCell ref="H5:H6"/>
    <mergeCell ref="A11:D11"/>
    <mergeCell ref="A12:D12"/>
    <mergeCell ref="A13:D13"/>
    <mergeCell ref="A14:D14"/>
    <mergeCell ref="A7:D7"/>
    <mergeCell ref="A8:D8"/>
    <mergeCell ref="A9:D9"/>
    <mergeCell ref="A10:D10"/>
    <mergeCell ref="A19:D19"/>
    <mergeCell ref="A20:D20"/>
    <mergeCell ref="A21:D21"/>
    <mergeCell ref="A22:D22"/>
    <mergeCell ref="A15:D15"/>
    <mergeCell ref="A16:D16"/>
    <mergeCell ref="A17:D17"/>
    <mergeCell ref="A18:D18"/>
    <mergeCell ref="A27:D27"/>
    <mergeCell ref="A28:D28"/>
    <mergeCell ref="A29:D29"/>
    <mergeCell ref="A30:D30"/>
    <mergeCell ref="A23:D23"/>
    <mergeCell ref="A24:D24"/>
    <mergeCell ref="A25:D25"/>
    <mergeCell ref="A26:D26"/>
    <mergeCell ref="A35:D35"/>
    <mergeCell ref="A36:D36"/>
    <mergeCell ref="A37:D37"/>
    <mergeCell ref="A38:D38"/>
    <mergeCell ref="A31:D31"/>
    <mergeCell ref="A32:D32"/>
    <mergeCell ref="A33:D33"/>
    <mergeCell ref="A34:D34"/>
    <mergeCell ref="A43:D43"/>
    <mergeCell ref="A44:D44"/>
    <mergeCell ref="A45:D45"/>
    <mergeCell ref="A46:D46"/>
    <mergeCell ref="A39:D39"/>
    <mergeCell ref="A40:D40"/>
    <mergeCell ref="A41:D41"/>
    <mergeCell ref="A42:D42"/>
    <mergeCell ref="A55:D55"/>
    <mergeCell ref="A51:D51"/>
    <mergeCell ref="A52:D52"/>
    <mergeCell ref="A53:D53"/>
    <mergeCell ref="A54:D54"/>
    <mergeCell ref="A47:D47"/>
    <mergeCell ref="A48:D48"/>
    <mergeCell ref="A49:D49"/>
    <mergeCell ref="A50:D50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2" width="9.25390625" style="0" customWidth="1"/>
    <col min="4" max="4" width="17.125" style="0" customWidth="1"/>
    <col min="5" max="5" width="12.25390625" style="0" customWidth="1"/>
    <col min="6" max="6" width="11.25390625" style="0" customWidth="1"/>
    <col min="7" max="7" width="9.625" style="0" customWidth="1"/>
    <col min="8" max="8" width="10.875" style="0" customWidth="1"/>
  </cols>
  <sheetData>
    <row r="1" spans="1:8" ht="12.75">
      <c r="A1" s="37" t="s">
        <v>591</v>
      </c>
      <c r="B1" s="93"/>
      <c r="C1" s="93"/>
      <c r="D1" s="93"/>
      <c r="E1" s="229"/>
      <c r="F1" s="229"/>
      <c r="G1" s="229"/>
      <c r="H1" s="229"/>
    </row>
    <row r="2" spans="1:8" ht="12.75">
      <c r="A2" s="425"/>
      <c r="B2" s="425"/>
      <c r="C2" s="425"/>
      <c r="D2" s="425"/>
      <c r="E2" s="425"/>
      <c r="F2" s="425"/>
      <c r="G2" s="425"/>
      <c r="H2" s="425"/>
    </row>
    <row r="3" spans="1:8" ht="12.75">
      <c r="A3" s="422" t="s">
        <v>549</v>
      </c>
      <c r="B3" s="422"/>
      <c r="C3" s="422"/>
      <c r="D3" s="422"/>
      <c r="E3" s="422"/>
      <c r="F3" s="422"/>
      <c r="G3" s="422"/>
      <c r="H3" s="422"/>
    </row>
    <row r="4" spans="1:8" ht="12.75">
      <c r="A4" s="422" t="s">
        <v>47</v>
      </c>
      <c r="B4" s="422"/>
      <c r="C4" s="422"/>
      <c r="D4" s="422"/>
      <c r="E4" s="422"/>
      <c r="F4" s="422"/>
      <c r="G4" s="422"/>
      <c r="H4" s="422"/>
    </row>
    <row r="5" spans="1:8" ht="12.75">
      <c r="A5" s="423" t="s">
        <v>446</v>
      </c>
      <c r="B5" s="423"/>
      <c r="C5" s="423"/>
      <c r="D5" s="423"/>
      <c r="E5" s="423"/>
      <c r="F5" s="423"/>
      <c r="G5" s="423"/>
      <c r="H5" s="423"/>
    </row>
    <row r="6" spans="1:8" ht="12.75" customHeight="1">
      <c r="A6" s="404" t="s">
        <v>48</v>
      </c>
      <c r="B6" s="404"/>
      <c r="C6" s="404"/>
      <c r="D6" s="404"/>
      <c r="E6" s="424" t="s">
        <v>49</v>
      </c>
      <c r="F6" s="424" t="s">
        <v>336</v>
      </c>
      <c r="G6" s="424" t="s">
        <v>582</v>
      </c>
      <c r="H6" s="404" t="s">
        <v>52</v>
      </c>
    </row>
    <row r="7" spans="1:8" ht="21" customHeight="1">
      <c r="A7" s="404"/>
      <c r="B7" s="404"/>
      <c r="C7" s="404"/>
      <c r="D7" s="404"/>
      <c r="E7" s="424"/>
      <c r="F7" s="424"/>
      <c r="G7" s="424"/>
      <c r="H7" s="404"/>
    </row>
    <row r="8" spans="1:8" ht="12.75">
      <c r="A8" s="415" t="s">
        <v>337</v>
      </c>
      <c r="B8" s="415"/>
      <c r="C8" s="415"/>
      <c r="D8" s="415"/>
      <c r="E8" s="230"/>
      <c r="F8" s="96"/>
      <c r="G8" s="96"/>
      <c r="H8" s="96">
        <f>SUM(E8:G8)</f>
        <v>0</v>
      </c>
    </row>
    <row r="9" spans="1:8" ht="23.25" customHeight="1">
      <c r="A9" s="427" t="s">
        <v>338</v>
      </c>
      <c r="B9" s="427"/>
      <c r="C9" s="427"/>
      <c r="D9" s="427"/>
      <c r="E9" s="231"/>
      <c r="F9" s="232"/>
      <c r="G9" s="232"/>
      <c r="H9" s="232">
        <f>SUM(E9:G9)</f>
        <v>0</v>
      </c>
    </row>
    <row r="10" spans="1:8" ht="23.25" customHeight="1">
      <c r="A10" s="426" t="s">
        <v>339</v>
      </c>
      <c r="B10" s="426"/>
      <c r="C10" s="426"/>
      <c r="D10" s="426"/>
      <c r="E10" s="231"/>
      <c r="F10" s="232"/>
      <c r="G10" s="232"/>
      <c r="H10" s="232">
        <f>SUM(E10:G10)</f>
        <v>0</v>
      </c>
    </row>
    <row r="11" spans="1:8" ht="23.25" customHeight="1">
      <c r="A11" s="426" t="s">
        <v>340</v>
      </c>
      <c r="B11" s="426"/>
      <c r="C11" s="426"/>
      <c r="D11" s="426"/>
      <c r="E11" s="231"/>
      <c r="F11" s="232"/>
      <c r="G11" s="232"/>
      <c r="H11" s="232">
        <f>SUM(E11:G11)</f>
        <v>0</v>
      </c>
    </row>
    <row r="12" spans="1:8" ht="23.25" customHeight="1">
      <c r="A12" s="428" t="s">
        <v>341</v>
      </c>
      <c r="B12" s="428"/>
      <c r="C12" s="428"/>
      <c r="D12" s="428"/>
      <c r="E12" s="236">
        <v>26189532</v>
      </c>
      <c r="F12" s="237"/>
      <c r="G12" s="237"/>
      <c r="H12" s="237">
        <f>SUM(E12:G12)</f>
        <v>26189532</v>
      </c>
    </row>
    <row r="13" spans="1:8" ht="23.25" customHeight="1">
      <c r="A13" s="429" t="s">
        <v>342</v>
      </c>
      <c r="B13" s="429"/>
      <c r="C13" s="429"/>
      <c r="D13" s="429"/>
      <c r="E13" s="240">
        <f>SUM(E8:E12)</f>
        <v>26189532</v>
      </c>
      <c r="F13" s="240">
        <f>SUM(F8:F12)</f>
        <v>0</v>
      </c>
      <c r="G13" s="240">
        <f>SUM(G8:G12)</f>
        <v>0</v>
      </c>
      <c r="H13" s="240">
        <f>SUM(H8:H12)</f>
        <v>26189532</v>
      </c>
    </row>
    <row r="14" spans="1:8" ht="12.75" customHeight="1">
      <c r="A14" s="430"/>
      <c r="B14" s="430"/>
      <c r="C14" s="430"/>
      <c r="D14" s="430"/>
      <c r="E14" s="238"/>
      <c r="F14" s="239"/>
      <c r="G14" s="239"/>
      <c r="H14" s="239"/>
    </row>
    <row r="15" spans="1:8" ht="12.75" customHeight="1">
      <c r="A15" s="426" t="s">
        <v>343</v>
      </c>
      <c r="B15" s="426"/>
      <c r="C15" s="426"/>
      <c r="D15" s="426"/>
      <c r="E15" s="231"/>
      <c r="F15" s="232"/>
      <c r="G15" s="232"/>
      <c r="H15" s="232">
        <f>SUM(E15:G15)</f>
        <v>0</v>
      </c>
    </row>
    <row r="16" spans="1:8" ht="12.75" customHeight="1">
      <c r="A16" s="426" t="s">
        <v>344</v>
      </c>
      <c r="B16" s="426"/>
      <c r="C16" s="426"/>
      <c r="D16" s="426"/>
      <c r="E16" s="231"/>
      <c r="F16" s="232"/>
      <c r="G16" s="232"/>
      <c r="H16" s="232">
        <f>SUM(E16:G16)</f>
        <v>0</v>
      </c>
    </row>
    <row r="17" spans="1:8" ht="12.75">
      <c r="A17" s="393" t="s">
        <v>345</v>
      </c>
      <c r="B17" s="393"/>
      <c r="C17" s="393"/>
      <c r="D17" s="393"/>
      <c r="E17" s="232"/>
      <c r="F17" s="232"/>
      <c r="G17" s="232"/>
      <c r="H17" s="232">
        <f>SUM(E17:G17)</f>
        <v>0</v>
      </c>
    </row>
    <row r="18" spans="1:8" ht="12.75">
      <c r="A18" s="393" t="s">
        <v>346</v>
      </c>
      <c r="B18" s="393"/>
      <c r="C18" s="393"/>
      <c r="D18" s="393"/>
      <c r="E18" s="233"/>
      <c r="F18" s="232"/>
      <c r="G18" s="232"/>
      <c r="H18" s="232">
        <f>SUM(E18:G18)</f>
        <v>0</v>
      </c>
    </row>
    <row r="19" spans="1:8" ht="12.75">
      <c r="A19" s="393" t="s">
        <v>347</v>
      </c>
      <c r="B19" s="393"/>
      <c r="C19" s="393"/>
      <c r="D19" s="393"/>
      <c r="E19" s="233"/>
      <c r="F19" s="232"/>
      <c r="G19" s="232"/>
      <c r="H19" s="232">
        <f>SUM(E19:G19)</f>
        <v>0</v>
      </c>
    </row>
    <row r="20" spans="1:8" ht="12.75">
      <c r="A20" s="433"/>
      <c r="B20" s="433"/>
      <c r="C20" s="433"/>
      <c r="D20" s="433"/>
      <c r="E20" s="241"/>
      <c r="F20" s="237"/>
      <c r="G20" s="237"/>
      <c r="H20" s="237"/>
    </row>
    <row r="21" spans="1:8" ht="12.75" customHeight="1">
      <c r="A21" s="417" t="s">
        <v>348</v>
      </c>
      <c r="B21" s="417"/>
      <c r="C21" s="417"/>
      <c r="D21" s="417"/>
      <c r="E21" s="243">
        <f>SUM(E15:E19)</f>
        <v>0</v>
      </c>
      <c r="F21" s="243">
        <f>SUM(F15:F19)</f>
        <v>0</v>
      </c>
      <c r="G21" s="243">
        <f>SUM(G15:G19)</f>
        <v>0</v>
      </c>
      <c r="H21" s="243">
        <f>SUM(H15:H19)</f>
        <v>0</v>
      </c>
    </row>
    <row r="22" spans="1:8" ht="12.75" customHeight="1">
      <c r="A22" s="431"/>
      <c r="B22" s="431"/>
      <c r="C22" s="431"/>
      <c r="D22" s="431"/>
      <c r="E22" s="242"/>
      <c r="F22" s="239"/>
      <c r="G22" s="239"/>
      <c r="H22" s="239"/>
    </row>
    <row r="23" spans="1:8" ht="23.25" customHeight="1">
      <c r="A23" s="427" t="s">
        <v>349</v>
      </c>
      <c r="B23" s="427"/>
      <c r="C23" s="427"/>
      <c r="D23" s="427"/>
      <c r="E23" s="234"/>
      <c r="F23" s="235"/>
      <c r="G23" s="235"/>
      <c r="H23" s="235">
        <f aca="true" t="shared" si="0" ref="H23:H41">SUM(E23:G23)</f>
        <v>0</v>
      </c>
    </row>
    <row r="24" spans="1:8" ht="23.25" customHeight="1">
      <c r="A24" s="426" t="s">
        <v>350</v>
      </c>
      <c r="B24" s="426"/>
      <c r="C24" s="426"/>
      <c r="D24" s="426"/>
      <c r="E24" s="232"/>
      <c r="F24" s="232"/>
      <c r="G24" s="232"/>
      <c r="H24" s="235">
        <f t="shared" si="0"/>
        <v>0</v>
      </c>
    </row>
    <row r="25" spans="1:8" ht="12.75">
      <c r="A25" s="415" t="s">
        <v>351</v>
      </c>
      <c r="B25" s="415"/>
      <c r="C25" s="415"/>
      <c r="D25" s="415"/>
      <c r="E25" s="232"/>
      <c r="F25" s="232"/>
      <c r="G25" s="232"/>
      <c r="H25" s="235">
        <f t="shared" si="0"/>
        <v>0</v>
      </c>
    </row>
    <row r="26" spans="1:8" ht="12.75">
      <c r="A26" s="388"/>
      <c r="B26" s="388"/>
      <c r="C26" s="388"/>
      <c r="D26" s="388"/>
      <c r="E26" s="237"/>
      <c r="F26" s="237"/>
      <c r="G26" s="237"/>
      <c r="H26" s="244"/>
    </row>
    <row r="27" spans="1:8" ht="12.75">
      <c r="A27" s="381" t="s">
        <v>27</v>
      </c>
      <c r="B27" s="381"/>
      <c r="C27" s="381"/>
      <c r="D27" s="381"/>
      <c r="E27" s="246">
        <f>SUM(E23:E26)</f>
        <v>0</v>
      </c>
      <c r="F27" s="246">
        <f>SUM(F23:F26)</f>
        <v>0</v>
      </c>
      <c r="G27" s="246">
        <f>SUM(G23:G26)</f>
        <v>0</v>
      </c>
      <c r="H27" s="247">
        <f t="shared" si="0"/>
        <v>0</v>
      </c>
    </row>
    <row r="28" spans="1:8" ht="13.5" thickBot="1">
      <c r="A28" s="390"/>
      <c r="B28" s="390"/>
      <c r="C28" s="390"/>
      <c r="D28" s="390"/>
      <c r="E28" s="248"/>
      <c r="F28" s="248"/>
      <c r="G28" s="248"/>
      <c r="H28" s="249">
        <f t="shared" si="0"/>
        <v>0</v>
      </c>
    </row>
    <row r="29" spans="1:8" ht="23.25" customHeight="1" thickBot="1">
      <c r="A29" s="432" t="s">
        <v>352</v>
      </c>
      <c r="B29" s="432"/>
      <c r="C29" s="432"/>
      <c r="D29" s="432"/>
      <c r="E29" s="250">
        <f>E13+E27</f>
        <v>26189532</v>
      </c>
      <c r="F29" s="250">
        <f>F13+F27</f>
        <v>0</v>
      </c>
      <c r="G29" s="250">
        <f>G13+G27</f>
        <v>0</v>
      </c>
      <c r="H29" s="250">
        <f t="shared" si="0"/>
        <v>26189532</v>
      </c>
    </row>
    <row r="30" spans="1:8" ht="12.75">
      <c r="A30" s="395"/>
      <c r="B30" s="395"/>
      <c r="C30" s="395"/>
      <c r="D30" s="395"/>
      <c r="E30" s="239"/>
      <c r="F30" s="239"/>
      <c r="G30" s="239"/>
      <c r="H30" s="245"/>
    </row>
    <row r="31" spans="1:8" ht="12.75" customHeight="1">
      <c r="A31" s="393" t="s">
        <v>85</v>
      </c>
      <c r="B31" s="393"/>
      <c r="C31" s="393"/>
      <c r="D31" s="393"/>
      <c r="E31" s="232"/>
      <c r="F31" s="232"/>
      <c r="G31" s="232"/>
      <c r="H31" s="235">
        <f t="shared" si="0"/>
        <v>0</v>
      </c>
    </row>
    <row r="32" spans="1:8" ht="12.75" customHeight="1">
      <c r="A32" s="393" t="s">
        <v>86</v>
      </c>
      <c r="B32" s="393"/>
      <c r="C32" s="393"/>
      <c r="D32" s="393"/>
      <c r="E32" s="232"/>
      <c r="F32" s="232"/>
      <c r="G32" s="232"/>
      <c r="H32" s="235">
        <f t="shared" si="0"/>
        <v>0</v>
      </c>
    </row>
    <row r="33" spans="1:8" ht="12.75" customHeight="1">
      <c r="A33" s="393" t="s">
        <v>87</v>
      </c>
      <c r="B33" s="393"/>
      <c r="C33" s="393"/>
      <c r="D33" s="393"/>
      <c r="E33" s="232">
        <f>695367514+488492-1448352+576548</f>
        <v>694984202</v>
      </c>
      <c r="F33" s="232"/>
      <c r="G33" s="232"/>
      <c r="H33" s="235">
        <f t="shared" si="0"/>
        <v>694984202</v>
      </c>
    </row>
    <row r="34" spans="1:8" ht="12.75" customHeight="1">
      <c r="A34" s="393" t="s">
        <v>88</v>
      </c>
      <c r="B34" s="393"/>
      <c r="C34" s="393"/>
      <c r="D34" s="393"/>
      <c r="E34" s="232"/>
      <c r="F34" s="232"/>
      <c r="G34" s="232"/>
      <c r="H34" s="235">
        <f t="shared" si="0"/>
        <v>0</v>
      </c>
    </row>
    <row r="35" spans="1:8" ht="12.75" customHeight="1">
      <c r="A35" s="393" t="s">
        <v>89</v>
      </c>
      <c r="B35" s="393"/>
      <c r="C35" s="393"/>
      <c r="D35" s="393"/>
      <c r="E35" s="232"/>
      <c r="F35" s="232"/>
      <c r="G35" s="232"/>
      <c r="H35" s="235">
        <f t="shared" si="0"/>
        <v>0</v>
      </c>
    </row>
    <row r="36" spans="1:8" ht="12.75">
      <c r="A36" s="393" t="s">
        <v>90</v>
      </c>
      <c r="B36" s="393"/>
      <c r="C36" s="393"/>
      <c r="D36" s="393"/>
      <c r="E36" s="232"/>
      <c r="F36" s="232"/>
      <c r="G36" s="232"/>
      <c r="H36" s="235">
        <f t="shared" si="0"/>
        <v>0</v>
      </c>
    </row>
    <row r="37" spans="1:8" ht="12.75">
      <c r="A37" s="388" t="s">
        <v>91</v>
      </c>
      <c r="B37" s="388"/>
      <c r="C37" s="388"/>
      <c r="D37" s="388"/>
      <c r="E37" s="237"/>
      <c r="F37" s="237"/>
      <c r="G37" s="237"/>
      <c r="H37" s="244">
        <f t="shared" si="0"/>
        <v>0</v>
      </c>
    </row>
    <row r="38" spans="1:8" ht="12.75">
      <c r="A38" s="391" t="s">
        <v>92</v>
      </c>
      <c r="B38" s="391"/>
      <c r="C38" s="391"/>
      <c r="D38" s="391"/>
      <c r="E38" s="246">
        <f>SUM(E31:E37)</f>
        <v>694984202</v>
      </c>
      <c r="F38" s="246">
        <f>SUM(F31:F37)</f>
        <v>0</v>
      </c>
      <c r="G38" s="246">
        <f>SUM(G31:G37)</f>
        <v>0</v>
      </c>
      <c r="H38" s="247">
        <f t="shared" si="0"/>
        <v>694984202</v>
      </c>
    </row>
    <row r="39" spans="1:8" ht="13.5" thickBot="1">
      <c r="A39" s="434"/>
      <c r="B39" s="434"/>
      <c r="C39" s="434"/>
      <c r="D39" s="434"/>
      <c r="E39" s="248"/>
      <c r="F39" s="248"/>
      <c r="G39" s="248"/>
      <c r="H39" s="249"/>
    </row>
    <row r="40" spans="1:8" ht="13.5" thickBot="1">
      <c r="A40" s="412" t="s">
        <v>353</v>
      </c>
      <c r="B40" s="412"/>
      <c r="C40" s="412"/>
      <c r="D40" s="412"/>
      <c r="E40" s="251">
        <f>E29+E38</f>
        <v>721173734</v>
      </c>
      <c r="F40" s="251">
        <f>F29+F38</f>
        <v>0</v>
      </c>
      <c r="G40" s="251">
        <f>G29+G38</f>
        <v>0</v>
      </c>
      <c r="H40" s="251">
        <f t="shared" si="0"/>
        <v>721173734</v>
      </c>
    </row>
    <row r="41" spans="1:8" ht="12.75">
      <c r="A41" s="395" t="s">
        <v>90</v>
      </c>
      <c r="B41" s="395"/>
      <c r="C41" s="395"/>
      <c r="D41" s="395"/>
      <c r="E41" s="239"/>
      <c r="F41" s="239"/>
      <c r="G41" s="239"/>
      <c r="H41" s="245">
        <f t="shared" si="0"/>
        <v>0</v>
      </c>
    </row>
    <row r="42" spans="1:8" ht="12.75">
      <c r="A42" s="37"/>
      <c r="B42" s="37"/>
      <c r="C42" s="37"/>
      <c r="D42" s="37"/>
      <c r="E42" s="37"/>
      <c r="F42" s="37"/>
      <c r="G42" s="37"/>
      <c r="H42" s="37"/>
    </row>
  </sheetData>
  <sheetProtection selectLockedCells="1" selectUnlockedCells="1"/>
  <mergeCells count="43">
    <mergeCell ref="A40:D40"/>
    <mergeCell ref="A41:D41"/>
    <mergeCell ref="A34:D34"/>
    <mergeCell ref="A35:D35"/>
    <mergeCell ref="A36:D36"/>
    <mergeCell ref="A37:D37"/>
    <mergeCell ref="A38:D38"/>
    <mergeCell ref="A39:D39"/>
    <mergeCell ref="A30:D30"/>
    <mergeCell ref="A31:D31"/>
    <mergeCell ref="A18:D18"/>
    <mergeCell ref="A19:D19"/>
    <mergeCell ref="A20:D20"/>
    <mergeCell ref="A21:D21"/>
    <mergeCell ref="A32:D32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16:D16"/>
    <mergeCell ref="A17:D17"/>
    <mergeCell ref="A8:D8"/>
    <mergeCell ref="A9:D9"/>
    <mergeCell ref="A10:D10"/>
    <mergeCell ref="A11:D11"/>
    <mergeCell ref="A12:D12"/>
    <mergeCell ref="A13:D13"/>
    <mergeCell ref="A14:D14"/>
    <mergeCell ref="A15:D15"/>
    <mergeCell ref="F6:F7"/>
    <mergeCell ref="G6:G7"/>
    <mergeCell ref="A2:H2"/>
    <mergeCell ref="A3:H3"/>
    <mergeCell ref="A4:H4"/>
    <mergeCell ref="A5:H5"/>
    <mergeCell ref="H6:H7"/>
    <mergeCell ref="A6:D7"/>
    <mergeCell ref="E6:E7"/>
  </mergeCells>
  <printOptions/>
  <pageMargins left="0.5402777777777777" right="0.3402777777777778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3"/>
  <sheetViews>
    <sheetView zoomScalePageLayoutView="0" workbookViewId="0" topLeftCell="A1">
      <pane xSplit="17" ySplit="6" topLeftCell="R43" activePane="bottomRight" state="frozen"/>
      <selection pane="topLeft" activeCell="A1" sqref="A1"/>
      <selection pane="topRight" activeCell="R1" sqref="R1"/>
      <selection pane="bottomLeft" activeCell="A7" sqref="A7"/>
      <selection pane="bottomRight" activeCell="A1" sqref="A1:E1"/>
    </sheetView>
  </sheetViews>
  <sheetFormatPr defaultColWidth="9.00390625" defaultRowHeight="12.75"/>
  <cols>
    <col min="1" max="1" width="25.25390625" style="269" customWidth="1"/>
    <col min="2" max="2" width="11.125" style="0" bestFit="1" customWidth="1"/>
    <col min="3" max="5" width="10.125" style="0" bestFit="1" customWidth="1"/>
    <col min="7" max="7" width="13.625" style="21" customWidth="1"/>
    <col min="8" max="8" width="12.00390625" style="0" customWidth="1"/>
    <col min="10" max="11" width="12.375" style="0" customWidth="1"/>
    <col min="12" max="13" width="13.75390625" style="21" customWidth="1"/>
    <col min="14" max="16" width="11.125" style="0" bestFit="1" customWidth="1"/>
    <col min="17" max="17" width="11.375" style="21" customWidth="1"/>
  </cols>
  <sheetData>
    <row r="1" spans="1:17" ht="12.75" customHeight="1">
      <c r="A1" s="435" t="s">
        <v>592</v>
      </c>
      <c r="B1" s="435"/>
      <c r="C1" s="435"/>
      <c r="D1" s="435"/>
      <c r="E1" s="435"/>
      <c r="F1" s="37"/>
      <c r="G1" s="127"/>
      <c r="H1" s="37"/>
      <c r="I1" s="37"/>
      <c r="J1" s="37"/>
      <c r="K1" s="37"/>
      <c r="L1" s="127"/>
      <c r="M1" s="127"/>
      <c r="N1" s="37"/>
      <c r="O1" s="37"/>
      <c r="P1" s="436"/>
      <c r="Q1" s="436"/>
    </row>
    <row r="2" spans="1:17" ht="12.75">
      <c r="A2" s="265"/>
      <c r="B2" s="37"/>
      <c r="C2" s="37"/>
      <c r="D2" s="37"/>
      <c r="E2" s="37"/>
      <c r="F2" s="37"/>
      <c r="G2" s="127"/>
      <c r="H2" s="37"/>
      <c r="I2" s="37"/>
      <c r="J2" s="37"/>
      <c r="K2" s="37"/>
      <c r="L2" s="127"/>
      <c r="M2" s="127"/>
      <c r="N2" s="37"/>
      <c r="O2" s="37"/>
      <c r="P2" s="37"/>
      <c r="Q2" s="127"/>
    </row>
    <row r="3" spans="1:17" ht="12.75">
      <c r="A3" s="265"/>
      <c r="B3" s="37"/>
      <c r="C3" s="37"/>
      <c r="D3" s="437" t="s">
        <v>550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</row>
    <row r="4" spans="1:17" ht="12.75">
      <c r="A4" s="265"/>
      <c r="B4" s="37"/>
      <c r="C4" s="37"/>
      <c r="D4" s="37"/>
      <c r="E4" s="37"/>
      <c r="F4" s="37"/>
      <c r="G4" s="127"/>
      <c r="H4" s="37"/>
      <c r="I4" s="37"/>
      <c r="J4" s="37"/>
      <c r="K4" s="37"/>
      <c r="L4" s="127"/>
      <c r="M4" s="127"/>
      <c r="N4" s="37"/>
      <c r="O4" s="37"/>
      <c r="P4" s="37"/>
      <c r="Q4" s="127"/>
    </row>
    <row r="5" spans="1:17" ht="12.75">
      <c r="A5" s="265"/>
      <c r="B5" s="37"/>
      <c r="C5" s="37"/>
      <c r="D5" s="37"/>
      <c r="E5" s="37"/>
      <c r="F5" s="37"/>
      <c r="G5" s="127"/>
      <c r="H5" s="37"/>
      <c r="I5" s="37"/>
      <c r="J5" s="37"/>
      <c r="K5" s="37"/>
      <c r="L5" s="127"/>
      <c r="M5" s="127"/>
      <c r="N5" s="37"/>
      <c r="O5" s="37"/>
      <c r="P5" s="37"/>
      <c r="Q5" s="257" t="s">
        <v>423</v>
      </c>
    </row>
    <row r="6" spans="1:17" s="22" customFormat="1" ht="49.5" customHeight="1">
      <c r="A6" s="255" t="s">
        <v>95</v>
      </c>
      <c r="B6" s="256" t="s">
        <v>96</v>
      </c>
      <c r="C6" s="256" t="s">
        <v>97</v>
      </c>
      <c r="D6" s="256" t="s">
        <v>98</v>
      </c>
      <c r="E6" s="256" t="s">
        <v>99</v>
      </c>
      <c r="F6" s="256"/>
      <c r="G6" s="122" t="s">
        <v>100</v>
      </c>
      <c r="H6" s="256" t="s">
        <v>101</v>
      </c>
      <c r="I6" s="256" t="s">
        <v>102</v>
      </c>
      <c r="J6" s="256" t="s">
        <v>103</v>
      </c>
      <c r="K6" s="256" t="s">
        <v>401</v>
      </c>
      <c r="L6" s="122" t="s">
        <v>104</v>
      </c>
      <c r="M6" s="122" t="s">
        <v>105</v>
      </c>
      <c r="N6" s="256" t="s">
        <v>106</v>
      </c>
      <c r="O6" s="256" t="s">
        <v>107</v>
      </c>
      <c r="P6" s="256" t="s">
        <v>108</v>
      </c>
      <c r="Q6" s="122" t="s">
        <v>109</v>
      </c>
    </row>
    <row r="7" spans="1:33" s="55" customFormat="1" ht="42" customHeight="1">
      <c r="A7" s="266" t="s">
        <v>331</v>
      </c>
      <c r="B7" s="258">
        <f>1206950</f>
        <v>1206950</v>
      </c>
      <c r="C7" s="258"/>
      <c r="D7" s="258"/>
      <c r="E7" s="258"/>
      <c r="F7" s="258"/>
      <c r="G7" s="258">
        <f aca="true" t="shared" si="0" ref="G7:G16">SUM(B7:F7)</f>
        <v>1206950</v>
      </c>
      <c r="H7" s="258"/>
      <c r="I7" s="258"/>
      <c r="J7" s="258"/>
      <c r="K7" s="258"/>
      <c r="L7" s="258">
        <f aca="true" t="shared" si="1" ref="L7:L16">SUM(H7:K7)</f>
        <v>0</v>
      </c>
      <c r="M7" s="258">
        <f aca="true" t="shared" si="2" ref="M7:M16">G7+L7</f>
        <v>1206950</v>
      </c>
      <c r="N7" s="258"/>
      <c r="O7" s="258">
        <v>1206950</v>
      </c>
      <c r="P7" s="258"/>
      <c r="Q7" s="258">
        <f aca="true" t="shared" si="3" ref="Q7:Q16">SUM(N7:P7)</f>
        <v>1206950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18" ht="58.5" customHeight="1">
      <c r="A8" s="264" t="s">
        <v>379</v>
      </c>
      <c r="B8" s="260"/>
      <c r="C8" s="260"/>
      <c r="D8" s="260"/>
      <c r="E8" s="260"/>
      <c r="F8" s="260"/>
      <c r="G8" s="259">
        <f t="shared" si="0"/>
        <v>0</v>
      </c>
      <c r="H8" s="260"/>
      <c r="I8" s="260"/>
      <c r="J8" s="260"/>
      <c r="K8" s="260"/>
      <c r="L8" s="259">
        <f t="shared" si="1"/>
        <v>0</v>
      </c>
      <c r="M8" s="259">
        <f t="shared" si="2"/>
        <v>0</v>
      </c>
      <c r="N8" s="260"/>
      <c r="O8" s="260"/>
      <c r="P8" s="260"/>
      <c r="Q8" s="259">
        <f t="shared" si="3"/>
        <v>0</v>
      </c>
      <c r="R8" s="23"/>
    </row>
    <row r="9" spans="1:18" ht="40.5" customHeight="1">
      <c r="A9" s="264" t="s">
        <v>380</v>
      </c>
      <c r="B9" s="260"/>
      <c r="C9" s="260"/>
      <c r="D9" s="260"/>
      <c r="E9" s="260"/>
      <c r="F9" s="260"/>
      <c r="G9" s="259">
        <f t="shared" si="0"/>
        <v>0</v>
      </c>
      <c r="H9" s="260"/>
      <c r="I9" s="260"/>
      <c r="J9" s="260"/>
      <c r="K9" s="260"/>
      <c r="L9" s="259">
        <f t="shared" si="1"/>
        <v>0</v>
      </c>
      <c r="M9" s="259">
        <f t="shared" si="2"/>
        <v>0</v>
      </c>
      <c r="N9" s="260"/>
      <c r="O9" s="260"/>
      <c r="P9" s="260"/>
      <c r="Q9" s="259">
        <f t="shared" si="3"/>
        <v>0</v>
      </c>
      <c r="R9" s="23"/>
    </row>
    <row r="10" spans="1:18" ht="40.5" customHeight="1">
      <c r="A10" s="264" t="s">
        <v>381</v>
      </c>
      <c r="B10" s="260"/>
      <c r="C10" s="260"/>
      <c r="D10" s="260"/>
      <c r="E10" s="260"/>
      <c r="F10" s="260"/>
      <c r="G10" s="259">
        <f t="shared" si="0"/>
        <v>0</v>
      </c>
      <c r="H10" s="260"/>
      <c r="I10" s="260"/>
      <c r="J10" s="260"/>
      <c r="K10" s="260"/>
      <c r="L10" s="259">
        <f t="shared" si="1"/>
        <v>0</v>
      </c>
      <c r="M10" s="259">
        <f t="shared" si="2"/>
        <v>0</v>
      </c>
      <c r="N10" s="260"/>
      <c r="O10" s="260"/>
      <c r="P10" s="260"/>
      <c r="Q10" s="259">
        <f t="shared" si="3"/>
        <v>0</v>
      </c>
      <c r="R10" s="23"/>
    </row>
    <row r="11" spans="1:18" ht="40.5" customHeight="1">
      <c r="A11" s="264" t="s">
        <v>382</v>
      </c>
      <c r="B11" s="260"/>
      <c r="C11" s="260"/>
      <c r="D11" s="260">
        <v>30000</v>
      </c>
      <c r="E11" s="260"/>
      <c r="F11" s="260"/>
      <c r="G11" s="259">
        <f t="shared" si="0"/>
        <v>30000</v>
      </c>
      <c r="H11" s="260"/>
      <c r="I11" s="260"/>
      <c r="J11" s="260"/>
      <c r="K11" s="260"/>
      <c r="L11" s="259">
        <f t="shared" si="1"/>
        <v>0</v>
      </c>
      <c r="M11" s="259">
        <f t="shared" si="2"/>
        <v>30000</v>
      </c>
      <c r="N11" s="260"/>
      <c r="O11" s="260"/>
      <c r="P11" s="260">
        <v>30000</v>
      </c>
      <c r="Q11" s="259">
        <f t="shared" si="3"/>
        <v>30000</v>
      </c>
      <c r="R11" s="23"/>
    </row>
    <row r="12" spans="1:18" ht="40.5" customHeight="1">
      <c r="A12" s="264" t="s">
        <v>461</v>
      </c>
      <c r="B12" s="260"/>
      <c r="C12" s="260"/>
      <c r="D12" s="260"/>
      <c r="E12" s="260"/>
      <c r="F12" s="260"/>
      <c r="G12" s="259">
        <f t="shared" si="0"/>
        <v>0</v>
      </c>
      <c r="H12" s="260"/>
      <c r="I12" s="260"/>
      <c r="J12" s="260"/>
      <c r="K12" s="260"/>
      <c r="L12" s="259">
        <f t="shared" si="1"/>
        <v>0</v>
      </c>
      <c r="M12" s="259">
        <f t="shared" si="2"/>
        <v>0</v>
      </c>
      <c r="N12" s="260"/>
      <c r="O12" s="260"/>
      <c r="P12" s="260"/>
      <c r="Q12" s="259">
        <f t="shared" si="3"/>
        <v>0</v>
      </c>
      <c r="R12" s="23"/>
    </row>
    <row r="13" spans="1:18" ht="54.75" customHeight="1">
      <c r="A13" s="264" t="s">
        <v>383</v>
      </c>
      <c r="B13" s="260"/>
      <c r="C13" s="260"/>
      <c r="D13" s="260">
        <v>400000</v>
      </c>
      <c r="E13" s="260"/>
      <c r="F13" s="260"/>
      <c r="G13" s="259">
        <f t="shared" si="0"/>
        <v>400000</v>
      </c>
      <c r="H13" s="260"/>
      <c r="I13" s="260"/>
      <c r="J13" s="260"/>
      <c r="K13" s="260"/>
      <c r="L13" s="259">
        <f t="shared" si="1"/>
        <v>0</v>
      </c>
      <c r="M13" s="259">
        <f t="shared" si="2"/>
        <v>400000</v>
      </c>
      <c r="N13" s="260"/>
      <c r="O13" s="260"/>
      <c r="P13" s="260">
        <v>400000</v>
      </c>
      <c r="Q13" s="259">
        <f t="shared" si="3"/>
        <v>400000</v>
      </c>
      <c r="R13" s="23"/>
    </row>
    <row r="14" spans="1:18" ht="40.5" customHeight="1">
      <c r="A14" s="264" t="s">
        <v>384</v>
      </c>
      <c r="B14" s="260"/>
      <c r="C14" s="260"/>
      <c r="D14" s="260">
        <v>200000</v>
      </c>
      <c r="E14" s="260"/>
      <c r="F14" s="260"/>
      <c r="G14" s="259">
        <f t="shared" si="0"/>
        <v>200000</v>
      </c>
      <c r="H14" s="260"/>
      <c r="I14" s="260"/>
      <c r="J14" s="260"/>
      <c r="K14" s="260"/>
      <c r="L14" s="259">
        <f t="shared" si="1"/>
        <v>0</v>
      </c>
      <c r="M14" s="259">
        <f t="shared" si="2"/>
        <v>200000</v>
      </c>
      <c r="N14" s="260"/>
      <c r="O14" s="260"/>
      <c r="P14" s="260">
        <v>200000</v>
      </c>
      <c r="Q14" s="259">
        <f t="shared" si="3"/>
        <v>200000</v>
      </c>
      <c r="R14" s="23"/>
    </row>
    <row r="15" spans="1:18" ht="40.5" customHeight="1">
      <c r="A15" s="264" t="s">
        <v>516</v>
      </c>
      <c r="B15" s="260"/>
      <c r="C15" s="260"/>
      <c r="D15" s="260"/>
      <c r="E15" s="260"/>
      <c r="F15" s="260"/>
      <c r="G15" s="259"/>
      <c r="H15" s="260"/>
      <c r="I15" s="260"/>
      <c r="J15" s="260"/>
      <c r="K15" s="260"/>
      <c r="L15" s="259"/>
      <c r="M15" s="259"/>
      <c r="N15" s="260"/>
      <c r="O15" s="260"/>
      <c r="P15" s="260"/>
      <c r="Q15" s="259"/>
      <c r="R15" s="23"/>
    </row>
    <row r="16" spans="1:18" ht="36" customHeight="1">
      <c r="A16" s="264" t="s">
        <v>457</v>
      </c>
      <c r="B16" s="260"/>
      <c r="C16" s="260"/>
      <c r="D16" s="260">
        <f>4853630-45000</f>
        <v>4808630</v>
      </c>
      <c r="E16" s="260"/>
      <c r="F16" s="260"/>
      <c r="G16" s="259">
        <f t="shared" si="0"/>
        <v>4808630</v>
      </c>
      <c r="H16" s="260"/>
      <c r="I16" s="260"/>
      <c r="J16" s="260"/>
      <c r="K16" s="260"/>
      <c r="L16" s="259">
        <f t="shared" si="1"/>
        <v>0</v>
      </c>
      <c r="M16" s="259">
        <f t="shared" si="2"/>
        <v>4808630</v>
      </c>
      <c r="N16" s="260"/>
      <c r="O16" s="260">
        <v>4808630</v>
      </c>
      <c r="P16" s="260"/>
      <c r="Q16" s="259">
        <f t="shared" si="3"/>
        <v>4808630</v>
      </c>
      <c r="R16" s="23"/>
    </row>
    <row r="17" spans="1:18" s="58" customFormat="1" ht="36" customHeight="1">
      <c r="A17" s="266" t="s">
        <v>385</v>
      </c>
      <c r="B17" s="261">
        <f aca="true" t="shared" si="4" ref="B17:Q17">SUM(B8:B16)</f>
        <v>0</v>
      </c>
      <c r="C17" s="261">
        <f t="shared" si="4"/>
        <v>0</v>
      </c>
      <c r="D17" s="261">
        <f t="shared" si="4"/>
        <v>5438630</v>
      </c>
      <c r="E17" s="261">
        <f t="shared" si="4"/>
        <v>0</v>
      </c>
      <c r="F17" s="261">
        <f t="shared" si="4"/>
        <v>0</v>
      </c>
      <c r="G17" s="261">
        <f t="shared" si="4"/>
        <v>5438630</v>
      </c>
      <c r="H17" s="261">
        <f t="shared" si="4"/>
        <v>0</v>
      </c>
      <c r="I17" s="261">
        <f t="shared" si="4"/>
        <v>0</v>
      </c>
      <c r="J17" s="261">
        <f t="shared" si="4"/>
        <v>0</v>
      </c>
      <c r="K17" s="261">
        <f t="shared" si="4"/>
        <v>0</v>
      </c>
      <c r="L17" s="261">
        <f t="shared" si="4"/>
        <v>0</v>
      </c>
      <c r="M17" s="261">
        <f t="shared" si="4"/>
        <v>5438630</v>
      </c>
      <c r="N17" s="261">
        <f t="shared" si="4"/>
        <v>0</v>
      </c>
      <c r="O17" s="261">
        <f t="shared" si="4"/>
        <v>4808630</v>
      </c>
      <c r="P17" s="261">
        <f t="shared" si="4"/>
        <v>630000</v>
      </c>
      <c r="Q17" s="261">
        <f t="shared" si="4"/>
        <v>5438630</v>
      </c>
      <c r="R17" s="57"/>
    </row>
    <row r="18" spans="1:18" ht="41.25" customHeight="1">
      <c r="A18" s="264" t="s">
        <v>386</v>
      </c>
      <c r="B18" s="260">
        <v>6151200</v>
      </c>
      <c r="C18" s="260"/>
      <c r="D18" s="260"/>
      <c r="E18" s="260"/>
      <c r="F18" s="260"/>
      <c r="G18" s="259">
        <f>SUM(B18:F18)</f>
        <v>6151200</v>
      </c>
      <c r="H18" s="260"/>
      <c r="I18" s="260"/>
      <c r="J18" s="260"/>
      <c r="K18" s="260"/>
      <c r="L18" s="259">
        <f>SUM(H18:K18)</f>
        <v>0</v>
      </c>
      <c r="M18" s="259">
        <f>G18+L18</f>
        <v>6151200</v>
      </c>
      <c r="N18" s="260"/>
      <c r="O18" s="260">
        <v>6151200</v>
      </c>
      <c r="P18" s="260"/>
      <c r="Q18" s="259">
        <f>SUM(N18:P18)</f>
        <v>6151200</v>
      </c>
      <c r="R18" s="23"/>
    </row>
    <row r="19" spans="1:18" ht="36" customHeight="1">
      <c r="A19" s="264" t="s">
        <v>388</v>
      </c>
      <c r="B19" s="260">
        <v>145200</v>
      </c>
      <c r="C19" s="260"/>
      <c r="D19" s="260"/>
      <c r="E19" s="260"/>
      <c r="F19" s="260"/>
      <c r="G19" s="259">
        <f>SUM(B19:F19)</f>
        <v>145200</v>
      </c>
      <c r="H19" s="260"/>
      <c r="I19" s="260"/>
      <c r="J19" s="260"/>
      <c r="K19" s="260"/>
      <c r="L19" s="259">
        <f>SUM(H19:K19)</f>
        <v>0</v>
      </c>
      <c r="M19" s="259">
        <f>G19+L19</f>
        <v>145200</v>
      </c>
      <c r="N19" s="260"/>
      <c r="O19" s="260">
        <v>145200</v>
      </c>
      <c r="P19" s="260"/>
      <c r="Q19" s="259">
        <f>SUM(N19:P19)</f>
        <v>145200</v>
      </c>
      <c r="R19" s="23"/>
    </row>
    <row r="20" spans="1:18" ht="30.75" customHeight="1">
      <c r="A20" s="264" t="s">
        <v>387</v>
      </c>
      <c r="B20" s="260"/>
      <c r="C20" s="260"/>
      <c r="D20" s="260"/>
      <c r="E20" s="260"/>
      <c r="F20" s="260"/>
      <c r="G20" s="259">
        <f>SUM(B20:F20)</f>
        <v>0</v>
      </c>
      <c r="H20" s="260"/>
      <c r="I20" s="260"/>
      <c r="J20" s="260"/>
      <c r="K20" s="260"/>
      <c r="L20" s="259">
        <f>SUM(H20:K20)</f>
        <v>0</v>
      </c>
      <c r="M20" s="259">
        <f>G20+L20</f>
        <v>0</v>
      </c>
      <c r="N20" s="260"/>
      <c r="O20" s="260"/>
      <c r="P20" s="260"/>
      <c r="Q20" s="259">
        <f>SUM(N20:P20)</f>
        <v>0</v>
      </c>
      <c r="R20" s="23"/>
    </row>
    <row r="21" spans="1:18" ht="30.75" customHeight="1">
      <c r="A21" s="264" t="s">
        <v>389</v>
      </c>
      <c r="B21" s="260"/>
      <c r="C21" s="260"/>
      <c r="D21" s="260"/>
      <c r="E21" s="260"/>
      <c r="F21" s="260"/>
      <c r="G21" s="259">
        <f>SUM(B21:F21)</f>
        <v>0</v>
      </c>
      <c r="H21" s="260"/>
      <c r="I21" s="260"/>
      <c r="J21" s="260"/>
      <c r="K21" s="260"/>
      <c r="L21" s="259">
        <f>SUM(H21:K21)</f>
        <v>0</v>
      </c>
      <c r="M21" s="259">
        <f>G21+L21</f>
        <v>0</v>
      </c>
      <c r="N21" s="260"/>
      <c r="O21" s="260"/>
      <c r="P21" s="260"/>
      <c r="Q21" s="259">
        <f>SUM(N21:P21)</f>
        <v>0</v>
      </c>
      <c r="R21" s="23"/>
    </row>
    <row r="22" spans="1:18" s="58" customFormat="1" ht="35.25" customHeight="1">
      <c r="A22" s="266" t="s">
        <v>390</v>
      </c>
      <c r="B22" s="261">
        <f>SUM(B18:B21)</f>
        <v>6296400</v>
      </c>
      <c r="C22" s="261">
        <f aca="true" t="shared" si="5" ref="C22:Q22">SUM(C18:C21)</f>
        <v>0</v>
      </c>
      <c r="D22" s="261">
        <f t="shared" si="5"/>
        <v>0</v>
      </c>
      <c r="E22" s="261">
        <f t="shared" si="5"/>
        <v>0</v>
      </c>
      <c r="F22" s="261">
        <f t="shared" si="5"/>
        <v>0</v>
      </c>
      <c r="G22" s="261">
        <f t="shared" si="5"/>
        <v>6296400</v>
      </c>
      <c r="H22" s="261">
        <f t="shared" si="5"/>
        <v>0</v>
      </c>
      <c r="I22" s="261">
        <f t="shared" si="5"/>
        <v>0</v>
      </c>
      <c r="J22" s="261">
        <f t="shared" si="5"/>
        <v>0</v>
      </c>
      <c r="K22" s="261">
        <f t="shared" si="5"/>
        <v>0</v>
      </c>
      <c r="L22" s="261">
        <f t="shared" si="5"/>
        <v>0</v>
      </c>
      <c r="M22" s="261">
        <f t="shared" si="5"/>
        <v>6296400</v>
      </c>
      <c r="N22" s="261">
        <f t="shared" si="5"/>
        <v>0</v>
      </c>
      <c r="O22" s="261">
        <f t="shared" si="5"/>
        <v>6296400</v>
      </c>
      <c r="P22" s="261">
        <f t="shared" si="5"/>
        <v>0</v>
      </c>
      <c r="Q22" s="261">
        <f t="shared" si="5"/>
        <v>6296400</v>
      </c>
      <c r="R22" s="57"/>
    </row>
    <row r="23" spans="1:18" ht="33" customHeight="1">
      <c r="A23" s="264" t="s">
        <v>458</v>
      </c>
      <c r="B23" s="260"/>
      <c r="C23" s="260"/>
      <c r="D23" s="260"/>
      <c r="E23" s="260"/>
      <c r="F23" s="260"/>
      <c r="G23" s="259">
        <f>SUM(B23:F23)</f>
        <v>0</v>
      </c>
      <c r="H23" s="260"/>
      <c r="I23" s="260"/>
      <c r="J23" s="260"/>
      <c r="K23" s="260"/>
      <c r="L23" s="259">
        <f>SUM(H23:K23)</f>
        <v>0</v>
      </c>
      <c r="M23" s="259">
        <f>G23+L23</f>
        <v>0</v>
      </c>
      <c r="N23" s="260"/>
      <c r="O23" s="260"/>
      <c r="P23" s="260"/>
      <c r="Q23" s="259">
        <f>SUM(N23:P23)</f>
        <v>0</v>
      </c>
      <c r="R23" s="23"/>
    </row>
    <row r="24" spans="1:18" ht="38.25" customHeight="1">
      <c r="A24" s="264" t="s">
        <v>392</v>
      </c>
      <c r="B24" s="260"/>
      <c r="C24" s="260"/>
      <c r="D24" s="260"/>
      <c r="E24" s="260"/>
      <c r="F24" s="260"/>
      <c r="G24" s="259">
        <f>SUM(B24:F24)</f>
        <v>0</v>
      </c>
      <c r="H24" s="260"/>
      <c r="I24" s="260"/>
      <c r="J24" s="260"/>
      <c r="K24" s="260"/>
      <c r="L24" s="259">
        <f>SUM(H24:K24)</f>
        <v>0</v>
      </c>
      <c r="M24" s="259">
        <f>G24+L24</f>
        <v>0</v>
      </c>
      <c r="N24" s="260"/>
      <c r="O24" s="260"/>
      <c r="P24" s="260"/>
      <c r="Q24" s="259">
        <f>SUM(N24:P24)</f>
        <v>0</v>
      </c>
      <c r="R24" s="23"/>
    </row>
    <row r="25" spans="1:18" ht="38.25" customHeight="1">
      <c r="A25" s="264" t="s">
        <v>393</v>
      </c>
      <c r="B25" s="260"/>
      <c r="C25" s="260"/>
      <c r="D25" s="260"/>
      <c r="E25" s="260"/>
      <c r="F25" s="260"/>
      <c r="G25" s="259">
        <f>SUM(B25:F25)</f>
        <v>0</v>
      </c>
      <c r="H25" s="260"/>
      <c r="I25" s="260"/>
      <c r="J25" s="260"/>
      <c r="K25" s="260"/>
      <c r="L25" s="259">
        <f>SUM(H25:K25)</f>
        <v>0</v>
      </c>
      <c r="M25" s="259">
        <f>G25+L25</f>
        <v>0</v>
      </c>
      <c r="N25" s="260"/>
      <c r="O25" s="260"/>
      <c r="P25" s="260"/>
      <c r="Q25" s="259">
        <f>SUM(N25:P25)</f>
        <v>0</v>
      </c>
      <c r="R25" s="23"/>
    </row>
    <row r="26" spans="1:18" ht="38.25" customHeight="1">
      <c r="A26" s="264" t="s">
        <v>394</v>
      </c>
      <c r="B26" s="260"/>
      <c r="C26" s="260"/>
      <c r="D26" s="260"/>
      <c r="E26" s="260"/>
      <c r="F26" s="260"/>
      <c r="G26" s="259"/>
      <c r="H26" s="260"/>
      <c r="I26" s="260"/>
      <c r="J26" s="260"/>
      <c r="K26" s="260"/>
      <c r="L26" s="259">
        <f>SUM(H26:K26)</f>
        <v>0</v>
      </c>
      <c r="M26" s="259">
        <f>G26+L26</f>
        <v>0</v>
      </c>
      <c r="N26" s="260"/>
      <c r="O26" s="260"/>
      <c r="P26" s="260"/>
      <c r="Q26" s="259">
        <f>SUM(N26:P26)</f>
        <v>0</v>
      </c>
      <c r="R26" s="23"/>
    </row>
    <row r="27" spans="1:18" ht="29.25" customHeight="1">
      <c r="A27" s="264" t="s">
        <v>407</v>
      </c>
      <c r="B27" s="260"/>
      <c r="C27" s="260"/>
      <c r="D27" s="260"/>
      <c r="E27" s="260"/>
      <c r="F27" s="260"/>
      <c r="G27" s="259"/>
      <c r="H27" s="260"/>
      <c r="I27" s="260"/>
      <c r="J27" s="260"/>
      <c r="K27" s="260"/>
      <c r="L27" s="259"/>
      <c r="M27" s="259"/>
      <c r="N27" s="260"/>
      <c r="O27" s="260"/>
      <c r="P27" s="260"/>
      <c r="Q27" s="259"/>
      <c r="R27" s="23"/>
    </row>
    <row r="28" spans="1:18" s="58" customFormat="1" ht="24" customHeight="1">
      <c r="A28" s="266" t="s">
        <v>395</v>
      </c>
      <c r="B28" s="258">
        <f aca="true" t="shared" si="6" ref="B28:Q28">SUM(B23:B26)</f>
        <v>0</v>
      </c>
      <c r="C28" s="258">
        <f t="shared" si="6"/>
        <v>0</v>
      </c>
      <c r="D28" s="258">
        <f t="shared" si="6"/>
        <v>0</v>
      </c>
      <c r="E28" s="258">
        <f t="shared" si="6"/>
        <v>0</v>
      </c>
      <c r="F28" s="258">
        <f t="shared" si="6"/>
        <v>0</v>
      </c>
      <c r="G28" s="258">
        <f t="shared" si="6"/>
        <v>0</v>
      </c>
      <c r="H28" s="258">
        <f t="shared" si="6"/>
        <v>0</v>
      </c>
      <c r="I28" s="258">
        <f t="shared" si="6"/>
        <v>0</v>
      </c>
      <c r="J28" s="258">
        <f t="shared" si="6"/>
        <v>0</v>
      </c>
      <c r="K28" s="258">
        <f t="shared" si="6"/>
        <v>0</v>
      </c>
      <c r="L28" s="258">
        <f t="shared" si="6"/>
        <v>0</v>
      </c>
      <c r="M28" s="258">
        <f t="shared" si="6"/>
        <v>0</v>
      </c>
      <c r="N28" s="258">
        <f t="shared" si="6"/>
        <v>0</v>
      </c>
      <c r="O28" s="258">
        <f t="shared" si="6"/>
        <v>0</v>
      </c>
      <c r="P28" s="258">
        <f t="shared" si="6"/>
        <v>0</v>
      </c>
      <c r="Q28" s="258">
        <f t="shared" si="6"/>
        <v>0</v>
      </c>
      <c r="R28" s="57"/>
    </row>
    <row r="29" spans="1:18" ht="37.5" customHeight="1">
      <c r="A29" s="264" t="s">
        <v>460</v>
      </c>
      <c r="B29" s="260">
        <v>2579562</v>
      </c>
      <c r="C29" s="260"/>
      <c r="D29" s="260"/>
      <c r="E29" s="260"/>
      <c r="F29" s="260"/>
      <c r="G29" s="259">
        <f>SUM(B29:F29)</f>
        <v>2579562</v>
      </c>
      <c r="H29" s="260"/>
      <c r="I29" s="260"/>
      <c r="J29" s="260"/>
      <c r="K29" s="260"/>
      <c r="L29" s="259">
        <f>SUM(H29:K29)</f>
        <v>0</v>
      </c>
      <c r="M29" s="259">
        <f>G29+L29</f>
        <v>2579562</v>
      </c>
      <c r="N29" s="260"/>
      <c r="O29" s="260">
        <v>2579562</v>
      </c>
      <c r="P29" s="260"/>
      <c r="Q29" s="259">
        <f>SUM(N29:P29)</f>
        <v>2579562</v>
      </c>
      <c r="R29" s="23"/>
    </row>
    <row r="30" spans="1:18" ht="24" customHeight="1">
      <c r="A30" s="264" t="s">
        <v>396</v>
      </c>
      <c r="B30" s="260"/>
      <c r="C30" s="260"/>
      <c r="D30" s="260"/>
      <c r="E30" s="260"/>
      <c r="F30" s="260"/>
      <c r="G30" s="259">
        <f>SUM(B30:F30)</f>
        <v>0</v>
      </c>
      <c r="H30" s="260"/>
      <c r="I30" s="260"/>
      <c r="J30" s="260"/>
      <c r="K30" s="260"/>
      <c r="L30" s="259">
        <f>SUM(H30:K30)</f>
        <v>0</v>
      </c>
      <c r="M30" s="259">
        <f>G30+L30</f>
        <v>0</v>
      </c>
      <c r="N30" s="260"/>
      <c r="O30" s="260"/>
      <c r="P30" s="260"/>
      <c r="Q30" s="259">
        <f>SUM(N30:P30)</f>
        <v>0</v>
      </c>
      <c r="R30" s="23"/>
    </row>
    <row r="31" spans="1:18" ht="24" customHeight="1">
      <c r="A31" s="264" t="s">
        <v>397</v>
      </c>
      <c r="B31" s="260"/>
      <c r="C31" s="260"/>
      <c r="D31" s="260"/>
      <c r="E31" s="260"/>
      <c r="F31" s="260"/>
      <c r="G31" s="259">
        <f>SUM(B31:F31)</f>
        <v>0</v>
      </c>
      <c r="H31" s="260"/>
      <c r="I31" s="260"/>
      <c r="J31" s="260"/>
      <c r="K31" s="260"/>
      <c r="L31" s="259">
        <f>SUM(H31:K31)</f>
        <v>0</v>
      </c>
      <c r="M31" s="259">
        <f>G31+L31</f>
        <v>0</v>
      </c>
      <c r="N31" s="260"/>
      <c r="O31" s="260"/>
      <c r="P31" s="260"/>
      <c r="Q31" s="259">
        <f>SUM(N31:P31)</f>
        <v>0</v>
      </c>
      <c r="R31" s="23"/>
    </row>
    <row r="32" spans="1:18" s="58" customFormat="1" ht="17.25" customHeight="1">
      <c r="A32" s="266" t="s">
        <v>398</v>
      </c>
      <c r="B32" s="261">
        <f aca="true" t="shared" si="7" ref="B32:Q32">SUM(B29:B31)</f>
        <v>2579562</v>
      </c>
      <c r="C32" s="261">
        <f t="shared" si="7"/>
        <v>0</v>
      </c>
      <c r="D32" s="261">
        <f t="shared" si="7"/>
        <v>0</v>
      </c>
      <c r="E32" s="261">
        <f t="shared" si="7"/>
        <v>0</v>
      </c>
      <c r="F32" s="261">
        <f t="shared" si="7"/>
        <v>0</v>
      </c>
      <c r="G32" s="261">
        <f t="shared" si="7"/>
        <v>2579562</v>
      </c>
      <c r="H32" s="261">
        <f t="shared" si="7"/>
        <v>0</v>
      </c>
      <c r="I32" s="261">
        <f t="shared" si="7"/>
        <v>0</v>
      </c>
      <c r="J32" s="261">
        <f t="shared" si="7"/>
        <v>0</v>
      </c>
      <c r="K32" s="261">
        <f t="shared" si="7"/>
        <v>0</v>
      </c>
      <c r="L32" s="261">
        <f t="shared" si="7"/>
        <v>0</v>
      </c>
      <c r="M32" s="261">
        <f t="shared" si="7"/>
        <v>2579562</v>
      </c>
      <c r="N32" s="261">
        <f t="shared" si="7"/>
        <v>0</v>
      </c>
      <c r="O32" s="261">
        <f t="shared" si="7"/>
        <v>2579562</v>
      </c>
      <c r="P32" s="261">
        <f t="shared" si="7"/>
        <v>0</v>
      </c>
      <c r="Q32" s="261">
        <f t="shared" si="7"/>
        <v>2579562</v>
      </c>
      <c r="R32" s="57"/>
    </row>
    <row r="33" spans="1:18" s="58" customFormat="1" ht="25.5">
      <c r="A33" s="266" t="s">
        <v>399</v>
      </c>
      <c r="B33" s="261"/>
      <c r="C33" s="261"/>
      <c r="D33" s="261"/>
      <c r="E33" s="261"/>
      <c r="F33" s="261"/>
      <c r="G33" s="258">
        <f>SUM(B33:F33)</f>
        <v>0</v>
      </c>
      <c r="H33" s="261"/>
      <c r="I33" s="261"/>
      <c r="J33" s="261"/>
      <c r="K33" s="261"/>
      <c r="L33" s="258">
        <f>SUM(H33:K33)</f>
        <v>0</v>
      </c>
      <c r="M33" s="258">
        <f>G33+L33</f>
        <v>0</v>
      </c>
      <c r="N33" s="261"/>
      <c r="O33" s="261"/>
      <c r="P33" s="261"/>
      <c r="Q33" s="258">
        <f>SUM(N33:P33)</f>
        <v>0</v>
      </c>
      <c r="R33" s="57"/>
    </row>
    <row r="34" spans="1:18" s="58" customFormat="1" ht="12.75">
      <c r="A34" s="266" t="s">
        <v>400</v>
      </c>
      <c r="B34" s="261">
        <v>37203203</v>
      </c>
      <c r="C34" s="261"/>
      <c r="D34" s="261"/>
      <c r="E34" s="261"/>
      <c r="F34" s="261"/>
      <c r="G34" s="258">
        <f>SUM(B34:F34)</f>
        <v>37203203</v>
      </c>
      <c r="H34" s="261"/>
      <c r="I34" s="261"/>
      <c r="J34" s="261"/>
      <c r="K34" s="261"/>
      <c r="L34" s="258">
        <f>SUM(H34:K34)</f>
        <v>0</v>
      </c>
      <c r="M34" s="258">
        <f>G34+L34</f>
        <v>37203203</v>
      </c>
      <c r="N34" s="261"/>
      <c r="O34" s="261">
        <v>37203203</v>
      </c>
      <c r="P34" s="261"/>
      <c r="Q34" s="258">
        <f>SUM(N34:P34)</f>
        <v>37203203</v>
      </c>
      <c r="R34" s="57"/>
    </row>
    <row r="35" spans="1:18" s="58" customFormat="1" ht="21">
      <c r="A35" s="267" t="s">
        <v>408</v>
      </c>
      <c r="B35" s="261">
        <f>176360338-5834400</f>
        <v>170525938</v>
      </c>
      <c r="C35" s="261"/>
      <c r="D35" s="261"/>
      <c r="E35" s="261"/>
      <c r="F35" s="261"/>
      <c r="G35" s="258">
        <f aca="true" t="shared" si="8" ref="G35:G42">SUM(B35:F35)</f>
        <v>170525938</v>
      </c>
      <c r="H35" s="261"/>
      <c r="I35" s="261"/>
      <c r="J35" s="261"/>
      <c r="K35" s="261"/>
      <c r="L35" s="258">
        <f aca="true" t="shared" si="9" ref="L35:L42">SUM(H35:K35)</f>
        <v>0</v>
      </c>
      <c r="M35" s="258">
        <f aca="true" t="shared" si="10" ref="M35:M42">G35+L35</f>
        <v>170525938</v>
      </c>
      <c r="N35" s="261"/>
      <c r="O35" s="261">
        <v>170525938</v>
      </c>
      <c r="P35" s="261"/>
      <c r="Q35" s="258">
        <f aca="true" t="shared" si="11" ref="Q35:Q44">SUM(N35:P35)</f>
        <v>170525938</v>
      </c>
      <c r="R35" s="57"/>
    </row>
    <row r="36" spans="1:18" s="58" customFormat="1" ht="12.75">
      <c r="A36" s="270" t="s">
        <v>533</v>
      </c>
      <c r="B36" s="271"/>
      <c r="C36" s="271"/>
      <c r="D36" s="271"/>
      <c r="E36" s="271"/>
      <c r="F36" s="261"/>
      <c r="G36" s="258">
        <f t="shared" si="8"/>
        <v>0</v>
      </c>
      <c r="H36" s="261"/>
      <c r="I36" s="261"/>
      <c r="J36" s="261"/>
      <c r="K36" s="261"/>
      <c r="L36" s="258">
        <f t="shared" si="9"/>
        <v>0</v>
      </c>
      <c r="M36" s="258">
        <f t="shared" si="10"/>
        <v>0</v>
      </c>
      <c r="N36" s="261"/>
      <c r="O36" s="261"/>
      <c r="P36" s="261"/>
      <c r="Q36" s="258">
        <f t="shared" si="11"/>
        <v>0</v>
      </c>
      <c r="R36" s="57"/>
    </row>
    <row r="37" spans="1:18" s="58" customFormat="1" ht="12.75">
      <c r="A37" s="270" t="s">
        <v>534</v>
      </c>
      <c r="B37" s="271"/>
      <c r="C37" s="271"/>
      <c r="D37" s="271"/>
      <c r="E37" s="271"/>
      <c r="F37" s="261"/>
      <c r="G37" s="258">
        <f t="shared" si="8"/>
        <v>0</v>
      </c>
      <c r="H37" s="271">
        <v>26189532</v>
      </c>
      <c r="I37" s="261"/>
      <c r="J37" s="261"/>
      <c r="K37" s="261"/>
      <c r="L37" s="258">
        <f t="shared" si="9"/>
        <v>26189532</v>
      </c>
      <c r="M37" s="258">
        <f t="shared" si="10"/>
        <v>26189532</v>
      </c>
      <c r="N37" s="261"/>
      <c r="O37" s="261">
        <v>26189532</v>
      </c>
      <c r="P37" s="261"/>
      <c r="Q37" s="258">
        <f t="shared" si="11"/>
        <v>26189532</v>
      </c>
      <c r="R37" s="57"/>
    </row>
    <row r="38" spans="1:18" s="58" customFormat="1" ht="12.75">
      <c r="A38" s="270" t="s">
        <v>535</v>
      </c>
      <c r="B38" s="271">
        <v>518224</v>
      </c>
      <c r="C38" s="271"/>
      <c r="D38" s="271"/>
      <c r="E38" s="271"/>
      <c r="F38" s="261"/>
      <c r="G38" s="258">
        <f t="shared" si="8"/>
        <v>518224</v>
      </c>
      <c r="H38" s="271"/>
      <c r="I38" s="261"/>
      <c r="J38" s="261"/>
      <c r="K38" s="261"/>
      <c r="L38" s="258">
        <f t="shared" si="9"/>
        <v>0</v>
      </c>
      <c r="M38" s="258">
        <f t="shared" si="10"/>
        <v>518224</v>
      </c>
      <c r="N38" s="261"/>
      <c r="O38" s="261"/>
      <c r="P38" s="261">
        <v>518224</v>
      </c>
      <c r="Q38" s="258">
        <f t="shared" si="11"/>
        <v>518224</v>
      </c>
      <c r="R38" s="57"/>
    </row>
    <row r="39" spans="1:18" s="58" customFormat="1" ht="12.75">
      <c r="A39" s="270" t="s">
        <v>536</v>
      </c>
      <c r="B39" s="271"/>
      <c r="C39" s="271"/>
      <c r="D39" s="271"/>
      <c r="E39" s="271"/>
      <c r="F39" s="261"/>
      <c r="G39" s="258">
        <f t="shared" si="8"/>
        <v>0</v>
      </c>
      <c r="H39" s="271"/>
      <c r="I39" s="261"/>
      <c r="J39" s="261"/>
      <c r="K39" s="261"/>
      <c r="L39" s="258">
        <f t="shared" si="9"/>
        <v>0</v>
      </c>
      <c r="M39" s="258">
        <f t="shared" si="10"/>
        <v>0</v>
      </c>
      <c r="N39" s="261"/>
      <c r="O39" s="261"/>
      <c r="P39" s="261"/>
      <c r="Q39" s="258">
        <f t="shared" si="11"/>
        <v>0</v>
      </c>
      <c r="R39" s="57"/>
    </row>
    <row r="40" spans="1:18" s="58" customFormat="1" ht="14.25" customHeight="1">
      <c r="A40" s="270" t="s">
        <v>537</v>
      </c>
      <c r="B40" s="271"/>
      <c r="C40" s="271"/>
      <c r="D40" s="271"/>
      <c r="E40" s="271"/>
      <c r="F40" s="261"/>
      <c r="G40" s="258">
        <f t="shared" si="8"/>
        <v>0</v>
      </c>
      <c r="H40" s="271"/>
      <c r="I40" s="261"/>
      <c r="J40" s="261"/>
      <c r="K40" s="261"/>
      <c r="L40" s="258">
        <f t="shared" si="9"/>
        <v>0</v>
      </c>
      <c r="M40" s="258">
        <f t="shared" si="10"/>
        <v>0</v>
      </c>
      <c r="N40" s="261"/>
      <c r="O40" s="261"/>
      <c r="P40" s="261"/>
      <c r="Q40" s="258">
        <f t="shared" si="11"/>
        <v>0</v>
      </c>
      <c r="R40" s="57"/>
    </row>
    <row r="41" spans="1:18" s="58" customFormat="1" ht="14.25" customHeight="1">
      <c r="A41" s="270" t="s">
        <v>538</v>
      </c>
      <c r="B41" s="271"/>
      <c r="C41" s="271"/>
      <c r="D41" s="271"/>
      <c r="E41" s="271"/>
      <c r="F41" s="261"/>
      <c r="G41" s="258"/>
      <c r="H41" s="271"/>
      <c r="I41" s="261"/>
      <c r="J41" s="261"/>
      <c r="K41" s="261"/>
      <c r="L41" s="258">
        <f t="shared" si="9"/>
        <v>0</v>
      </c>
      <c r="M41" s="258">
        <f t="shared" si="10"/>
        <v>0</v>
      </c>
      <c r="N41" s="261"/>
      <c r="O41" s="261"/>
      <c r="P41" s="261"/>
      <c r="Q41" s="258">
        <f t="shared" si="11"/>
        <v>0</v>
      </c>
      <c r="R41" s="57"/>
    </row>
    <row r="42" spans="1:18" s="58" customFormat="1" ht="12.75">
      <c r="A42" s="270" t="s">
        <v>539</v>
      </c>
      <c r="B42" s="271">
        <v>18101169</v>
      </c>
      <c r="C42" s="271"/>
      <c r="D42" s="271"/>
      <c r="E42" s="271"/>
      <c r="F42" s="261"/>
      <c r="G42" s="258">
        <f t="shared" si="8"/>
        <v>18101169</v>
      </c>
      <c r="H42" s="271"/>
      <c r="I42" s="261"/>
      <c r="J42" s="261"/>
      <c r="K42" s="261"/>
      <c r="L42" s="258">
        <f t="shared" si="9"/>
        <v>0</v>
      </c>
      <c r="M42" s="258">
        <f t="shared" si="10"/>
        <v>18101169</v>
      </c>
      <c r="N42" s="261"/>
      <c r="O42" s="261"/>
      <c r="P42" s="261">
        <v>18101169</v>
      </c>
      <c r="Q42" s="258">
        <f t="shared" si="11"/>
        <v>18101169</v>
      </c>
      <c r="R42" s="57"/>
    </row>
    <row r="43" spans="1:18" s="54" customFormat="1" ht="17.25" customHeight="1">
      <c r="A43" s="270" t="s">
        <v>540</v>
      </c>
      <c r="B43" s="260">
        <v>12866396</v>
      </c>
      <c r="C43" s="260"/>
      <c r="D43" s="260"/>
      <c r="E43" s="260"/>
      <c r="F43" s="262"/>
      <c r="G43" s="259">
        <f>SUM(B43:F43)</f>
        <v>12866396</v>
      </c>
      <c r="H43" s="260"/>
      <c r="I43" s="262"/>
      <c r="J43" s="262"/>
      <c r="K43" s="262"/>
      <c r="L43" s="259">
        <f>SUM(H43:K43)</f>
        <v>0</v>
      </c>
      <c r="M43" s="259">
        <f>G43+L43</f>
        <v>12866396</v>
      </c>
      <c r="N43" s="262"/>
      <c r="O43" s="262"/>
      <c r="P43" s="262">
        <v>12866396</v>
      </c>
      <c r="Q43" s="258">
        <f t="shared" si="11"/>
        <v>12866396</v>
      </c>
      <c r="R43" s="53"/>
    </row>
    <row r="44" spans="1:18" s="54" customFormat="1" ht="22.5" customHeight="1">
      <c r="A44" s="270" t="s">
        <v>541</v>
      </c>
      <c r="B44" s="260"/>
      <c r="C44" s="260"/>
      <c r="D44" s="260"/>
      <c r="E44" s="260"/>
      <c r="F44" s="262"/>
      <c r="G44" s="259">
        <f>SUM(B44:F44)</f>
        <v>0</v>
      </c>
      <c r="H44" s="260"/>
      <c r="I44" s="262"/>
      <c r="J44" s="262"/>
      <c r="K44" s="262"/>
      <c r="L44" s="259">
        <f>SUM(H44:K44)</f>
        <v>0</v>
      </c>
      <c r="M44" s="259">
        <f>G44+L44</f>
        <v>0</v>
      </c>
      <c r="N44" s="262"/>
      <c r="O44" s="262"/>
      <c r="P44" s="262"/>
      <c r="Q44" s="258">
        <f t="shared" si="11"/>
        <v>0</v>
      </c>
      <c r="R44" s="53"/>
    </row>
    <row r="45" spans="1:18" s="54" customFormat="1" ht="17.25" customHeight="1">
      <c r="A45" s="272" t="s">
        <v>542</v>
      </c>
      <c r="B45" s="260">
        <v>27421502</v>
      </c>
      <c r="C45" s="260"/>
      <c r="D45" s="260"/>
      <c r="E45" s="260"/>
      <c r="F45" s="262"/>
      <c r="G45" s="259">
        <f>SUM(B45:F45)</f>
        <v>27421502</v>
      </c>
      <c r="H45" s="260"/>
      <c r="I45" s="262"/>
      <c r="J45" s="262"/>
      <c r="K45" s="262"/>
      <c r="L45" s="259">
        <f>SUM(H45:K45)</f>
        <v>0</v>
      </c>
      <c r="M45" s="259">
        <f>G45+L45</f>
        <v>27421502</v>
      </c>
      <c r="N45" s="262"/>
      <c r="O45" s="262"/>
      <c r="P45" s="262">
        <v>27421502</v>
      </c>
      <c r="Q45" s="258">
        <f>SUM(N45:P45)</f>
        <v>27421502</v>
      </c>
      <c r="R45" s="53"/>
    </row>
    <row r="46" spans="1:18" s="54" customFormat="1" ht="24.75" customHeight="1">
      <c r="A46" s="272" t="s">
        <v>543</v>
      </c>
      <c r="B46" s="260"/>
      <c r="C46" s="260"/>
      <c r="D46" s="260"/>
      <c r="E46" s="260"/>
      <c r="F46" s="262"/>
      <c r="G46" s="259"/>
      <c r="H46" s="260"/>
      <c r="I46" s="262"/>
      <c r="J46" s="262"/>
      <c r="K46" s="262"/>
      <c r="L46" s="259"/>
      <c r="M46" s="259"/>
      <c r="N46" s="262"/>
      <c r="O46" s="262"/>
      <c r="P46" s="262"/>
      <c r="Q46" s="258"/>
      <c r="R46" s="53"/>
    </row>
    <row r="47" spans="1:18" s="54" customFormat="1" ht="25.5" customHeight="1">
      <c r="A47" s="267" t="s">
        <v>409</v>
      </c>
      <c r="B47" s="262">
        <f>SUM(B36:B46)</f>
        <v>58907291</v>
      </c>
      <c r="C47" s="262">
        <f>SUM(C36:C46)</f>
        <v>0</v>
      </c>
      <c r="D47" s="262">
        <f>SUM(D36:D46)</f>
        <v>0</v>
      </c>
      <c r="E47" s="262">
        <f>SUM(E36:E46)</f>
        <v>0</v>
      </c>
      <c r="F47" s="262">
        <f>SUM(F36:F46)</f>
        <v>0</v>
      </c>
      <c r="G47" s="259">
        <f>SUM(B47:F47)</f>
        <v>58907291</v>
      </c>
      <c r="H47" s="262">
        <f>SUM(H36:H46)</f>
        <v>26189532</v>
      </c>
      <c r="I47" s="262">
        <f>SUM(I36:I46)</f>
        <v>0</v>
      </c>
      <c r="J47" s="262">
        <f>SUM(J36:J46)</f>
        <v>0</v>
      </c>
      <c r="K47" s="262">
        <f>SUM(K36:K46)</f>
        <v>0</v>
      </c>
      <c r="L47" s="262">
        <f>SUM(L36:L46)</f>
        <v>26189532</v>
      </c>
      <c r="M47" s="259">
        <f>G47+L47</f>
        <v>85096823</v>
      </c>
      <c r="N47" s="262">
        <f>SUM(N36:N46)</f>
        <v>0</v>
      </c>
      <c r="O47" s="262">
        <f>SUM(O36:O46)</f>
        <v>26189532</v>
      </c>
      <c r="P47" s="262">
        <f>SUM(P36:P46)</f>
        <v>58907291</v>
      </c>
      <c r="Q47" s="262">
        <f>SUM(Q36:Q46)</f>
        <v>85096823</v>
      </c>
      <c r="R47" s="53"/>
    </row>
    <row r="48" spans="1:18" s="54" customFormat="1" ht="32.25" customHeight="1">
      <c r="A48" s="270" t="s">
        <v>544</v>
      </c>
      <c r="B48" s="262"/>
      <c r="C48" s="262"/>
      <c r="D48" s="262"/>
      <c r="E48" s="262"/>
      <c r="F48" s="262"/>
      <c r="G48" s="259"/>
      <c r="H48" s="262"/>
      <c r="I48" s="262"/>
      <c r="J48" s="262"/>
      <c r="K48" s="262"/>
      <c r="L48" s="262"/>
      <c r="M48" s="259"/>
      <c r="N48" s="262"/>
      <c r="O48" s="262"/>
      <c r="P48" s="262"/>
      <c r="Q48" s="262"/>
      <c r="R48" s="53"/>
    </row>
    <row r="49" spans="1:18" s="54" customFormat="1" ht="32.25" customHeight="1">
      <c r="A49" s="270" t="s">
        <v>545</v>
      </c>
      <c r="B49" s="262"/>
      <c r="C49" s="262"/>
      <c r="D49" s="262"/>
      <c r="E49" s="262"/>
      <c r="F49" s="262"/>
      <c r="G49" s="259"/>
      <c r="H49" s="262"/>
      <c r="I49" s="262"/>
      <c r="J49" s="262"/>
      <c r="K49" s="262"/>
      <c r="L49" s="262"/>
      <c r="M49" s="259"/>
      <c r="N49" s="262"/>
      <c r="O49" s="262"/>
      <c r="P49" s="262"/>
      <c r="Q49" s="262"/>
      <c r="R49" s="53"/>
    </row>
    <row r="50" spans="1:18" s="54" customFormat="1" ht="32.25" customHeight="1">
      <c r="A50" s="270" t="s">
        <v>546</v>
      </c>
      <c r="B50" s="262"/>
      <c r="C50" s="262"/>
      <c r="D50" s="262"/>
      <c r="E50" s="262"/>
      <c r="F50" s="262"/>
      <c r="G50" s="259"/>
      <c r="H50" s="262"/>
      <c r="I50" s="262"/>
      <c r="J50" s="262"/>
      <c r="K50" s="262"/>
      <c r="L50" s="262"/>
      <c r="M50" s="259"/>
      <c r="N50" s="262"/>
      <c r="O50" s="262"/>
      <c r="P50" s="262"/>
      <c r="Q50" s="262"/>
      <c r="R50" s="53"/>
    </row>
    <row r="51" spans="1:18" s="54" customFormat="1" ht="32.25" customHeight="1">
      <c r="A51" s="267" t="s">
        <v>547</v>
      </c>
      <c r="B51" s="262">
        <f>SUM(B48:B50)</f>
        <v>0</v>
      </c>
      <c r="C51" s="262">
        <f>SUM(C48:C50)</f>
        <v>0</v>
      </c>
      <c r="D51" s="262">
        <f>SUM(D48:D50)</f>
        <v>0</v>
      </c>
      <c r="E51" s="262">
        <f>SUM(E48:E50)</f>
        <v>0</v>
      </c>
      <c r="F51" s="262">
        <f>SUM(F48:F50)</f>
        <v>0</v>
      </c>
      <c r="G51" s="259">
        <f>SUM(B51:F51)</f>
        <v>0</v>
      </c>
      <c r="H51" s="262">
        <f>H48+H49+H50</f>
        <v>0</v>
      </c>
      <c r="I51" s="262">
        <f>I48+I49+I50</f>
        <v>0</v>
      </c>
      <c r="J51" s="262">
        <f>J48+J49+J50</f>
        <v>0</v>
      </c>
      <c r="K51" s="262">
        <f>K48+K49+K50</f>
        <v>0</v>
      </c>
      <c r="L51" s="262">
        <f>L48+L49+L50</f>
        <v>0</v>
      </c>
      <c r="M51" s="259">
        <f>G51+L51</f>
        <v>0</v>
      </c>
      <c r="N51" s="262">
        <f>N48+N49+N50</f>
        <v>0</v>
      </c>
      <c r="O51" s="262">
        <f>O48+O49+O50</f>
        <v>0</v>
      </c>
      <c r="P51" s="262">
        <f>P48+P49+P50</f>
        <v>0</v>
      </c>
      <c r="Q51" s="262">
        <f>Q48+Q49+Q50</f>
        <v>0</v>
      </c>
      <c r="R51" s="53"/>
    </row>
    <row r="52" spans="1:18" s="21" customFormat="1" ht="26.25" customHeight="1">
      <c r="A52" s="268" t="s">
        <v>113</v>
      </c>
      <c r="B52" s="263">
        <f>B7+B17+B22+B32+B33+B34+B28+B35+B47+B51</f>
        <v>276719344</v>
      </c>
      <c r="C52" s="263">
        <f aca="true" t="shared" si="12" ref="C52:Q52">C7+C17+C22+C32+C33+C34+C28+C35+C47+C51</f>
        <v>0</v>
      </c>
      <c r="D52" s="263">
        <f t="shared" si="12"/>
        <v>5438630</v>
      </c>
      <c r="E52" s="263">
        <f t="shared" si="12"/>
        <v>0</v>
      </c>
      <c r="F52" s="263">
        <f t="shared" si="12"/>
        <v>0</v>
      </c>
      <c r="G52" s="263">
        <f t="shared" si="12"/>
        <v>282157974</v>
      </c>
      <c r="H52" s="263">
        <f t="shared" si="12"/>
        <v>26189532</v>
      </c>
      <c r="I52" s="263">
        <f t="shared" si="12"/>
        <v>0</v>
      </c>
      <c r="J52" s="263">
        <f t="shared" si="12"/>
        <v>0</v>
      </c>
      <c r="K52" s="263">
        <f t="shared" si="12"/>
        <v>0</v>
      </c>
      <c r="L52" s="263">
        <f t="shared" si="12"/>
        <v>26189532</v>
      </c>
      <c r="M52" s="263">
        <f t="shared" si="12"/>
        <v>308347506</v>
      </c>
      <c r="N52" s="263">
        <f t="shared" si="12"/>
        <v>0</v>
      </c>
      <c r="O52" s="263">
        <f t="shared" si="12"/>
        <v>248810215</v>
      </c>
      <c r="P52" s="263">
        <f t="shared" si="12"/>
        <v>59537291</v>
      </c>
      <c r="Q52" s="263">
        <f t="shared" si="12"/>
        <v>308347506</v>
      </c>
      <c r="R52" s="24"/>
    </row>
    <row r="53" spans="1:18" ht="17.25" customHeight="1">
      <c r="A53" s="264" t="s">
        <v>332</v>
      </c>
      <c r="B53" s="260"/>
      <c r="C53" s="260">
        <f>250000+37300000</f>
        <v>37550000</v>
      </c>
      <c r="D53" s="260">
        <v>132000</v>
      </c>
      <c r="E53" s="260"/>
      <c r="F53" s="260"/>
      <c r="G53" s="262">
        <f>SUM(B53:F53)</f>
        <v>37682000</v>
      </c>
      <c r="H53" s="260"/>
      <c r="I53" s="260"/>
      <c r="J53" s="260"/>
      <c r="K53" s="260"/>
      <c r="L53" s="262">
        <f>SUM(H53:K53)</f>
        <v>0</v>
      </c>
      <c r="M53" s="259">
        <f>G53+L53</f>
        <v>37682000</v>
      </c>
      <c r="N53" s="260">
        <v>132000</v>
      </c>
      <c r="O53" s="260">
        <v>37550000</v>
      </c>
      <c r="P53" s="260"/>
      <c r="Q53" s="259">
        <f>SUM(N53:P53)</f>
        <v>37682000</v>
      </c>
      <c r="R53" s="23"/>
    </row>
    <row r="54" spans="1:18" ht="30" customHeight="1">
      <c r="A54" s="270" t="s">
        <v>459</v>
      </c>
      <c r="B54" s="260">
        <v>1131846</v>
      </c>
      <c r="C54" s="260"/>
      <c r="D54" s="260"/>
      <c r="E54" s="260"/>
      <c r="F54" s="260"/>
      <c r="G54" s="262">
        <f>SUM(B54:F54)</f>
        <v>1131846</v>
      </c>
      <c r="H54" s="260"/>
      <c r="I54" s="260"/>
      <c r="J54" s="260"/>
      <c r="K54" s="260"/>
      <c r="L54" s="262">
        <f>SUM(H54:K54)</f>
        <v>0</v>
      </c>
      <c r="M54" s="259">
        <f>G54+L54</f>
        <v>1131846</v>
      </c>
      <c r="N54" s="260">
        <v>1131846</v>
      </c>
      <c r="O54" s="260"/>
      <c r="P54" s="260"/>
      <c r="Q54" s="259">
        <f>SUM(N54:P54)</f>
        <v>1131846</v>
      </c>
      <c r="R54" s="23"/>
    </row>
    <row r="55" spans="1:18" s="21" customFormat="1" ht="29.25" customHeight="1">
      <c r="A55" s="268" t="s">
        <v>333</v>
      </c>
      <c r="B55" s="263">
        <f aca="true" t="shared" si="13" ref="B55:Q55">SUM(B53:B54)</f>
        <v>1131846</v>
      </c>
      <c r="C55" s="263">
        <f t="shared" si="13"/>
        <v>37550000</v>
      </c>
      <c r="D55" s="263">
        <f t="shared" si="13"/>
        <v>132000</v>
      </c>
      <c r="E55" s="263">
        <f t="shared" si="13"/>
        <v>0</v>
      </c>
      <c r="F55" s="263">
        <f t="shared" si="13"/>
        <v>0</v>
      </c>
      <c r="G55" s="263">
        <f t="shared" si="13"/>
        <v>38813846</v>
      </c>
      <c r="H55" s="263">
        <f t="shared" si="13"/>
        <v>0</v>
      </c>
      <c r="I55" s="263">
        <f t="shared" si="13"/>
        <v>0</v>
      </c>
      <c r="J55" s="263">
        <f t="shared" si="13"/>
        <v>0</v>
      </c>
      <c r="K55" s="263">
        <f t="shared" si="13"/>
        <v>0</v>
      </c>
      <c r="L55" s="263">
        <f t="shared" si="13"/>
        <v>0</v>
      </c>
      <c r="M55" s="263">
        <f t="shared" si="13"/>
        <v>38813846</v>
      </c>
      <c r="N55" s="263">
        <f t="shared" si="13"/>
        <v>1263846</v>
      </c>
      <c r="O55" s="263">
        <f t="shared" si="13"/>
        <v>37550000</v>
      </c>
      <c r="P55" s="263">
        <f t="shared" si="13"/>
        <v>0</v>
      </c>
      <c r="Q55" s="263">
        <f t="shared" si="13"/>
        <v>38813846</v>
      </c>
      <c r="R55" s="24"/>
    </row>
    <row r="56" spans="1:18" ht="12.75">
      <c r="A56" s="264" t="s">
        <v>334</v>
      </c>
      <c r="B56" s="260"/>
      <c r="C56" s="260"/>
      <c r="D56" s="260"/>
      <c r="E56" s="260"/>
      <c r="F56" s="260"/>
      <c r="G56" s="262">
        <f>SUM(B56:F56)</f>
        <v>0</v>
      </c>
      <c r="H56" s="260"/>
      <c r="I56" s="260"/>
      <c r="J56" s="260"/>
      <c r="K56" s="260"/>
      <c r="L56" s="262"/>
      <c r="M56" s="259">
        <f>G56+L56</f>
        <v>0</v>
      </c>
      <c r="N56" s="260"/>
      <c r="O56" s="260"/>
      <c r="P56" s="260"/>
      <c r="Q56" s="259">
        <f>SUM(N56:P56)</f>
        <v>0</v>
      </c>
      <c r="R56" s="23"/>
    </row>
    <row r="57" spans="1:18" ht="12.75">
      <c r="A57" s="264" t="s">
        <v>335</v>
      </c>
      <c r="B57" s="260"/>
      <c r="C57" s="260"/>
      <c r="D57" s="260">
        <v>18354000</v>
      </c>
      <c r="E57" s="260"/>
      <c r="F57" s="260"/>
      <c r="G57" s="262">
        <f>SUM(B57:F57)</f>
        <v>18354000</v>
      </c>
      <c r="H57" s="260"/>
      <c r="I57" s="260"/>
      <c r="J57" s="260"/>
      <c r="K57" s="260"/>
      <c r="L57" s="262">
        <f>SUM(H56:K56)</f>
        <v>0</v>
      </c>
      <c r="M57" s="259">
        <f>G57+L57</f>
        <v>18354000</v>
      </c>
      <c r="N57" s="260"/>
      <c r="O57" s="260">
        <v>15384000</v>
      </c>
      <c r="P57" s="260">
        <v>2970000</v>
      </c>
      <c r="Q57" s="259">
        <f>SUM(N57:P57)</f>
        <v>18354000</v>
      </c>
      <c r="R57" s="23"/>
    </row>
    <row r="58" spans="1:18" s="21" customFormat="1" ht="25.5">
      <c r="A58" s="268" t="s">
        <v>583</v>
      </c>
      <c r="B58" s="263">
        <f aca="true" t="shared" si="14" ref="B58:Q58">SUM(B56:B57)</f>
        <v>0</v>
      </c>
      <c r="C58" s="263">
        <f t="shared" si="14"/>
        <v>0</v>
      </c>
      <c r="D58" s="263">
        <f t="shared" si="14"/>
        <v>18354000</v>
      </c>
      <c r="E58" s="263">
        <f t="shared" si="14"/>
        <v>0</v>
      </c>
      <c r="F58" s="263">
        <f t="shared" si="14"/>
        <v>0</v>
      </c>
      <c r="G58" s="263">
        <f t="shared" si="14"/>
        <v>18354000</v>
      </c>
      <c r="H58" s="263">
        <f t="shared" si="14"/>
        <v>0</v>
      </c>
      <c r="I58" s="263">
        <f t="shared" si="14"/>
        <v>0</v>
      </c>
      <c r="J58" s="263">
        <f t="shared" si="14"/>
        <v>0</v>
      </c>
      <c r="K58" s="263">
        <f t="shared" si="14"/>
        <v>0</v>
      </c>
      <c r="L58" s="263">
        <f t="shared" si="14"/>
        <v>0</v>
      </c>
      <c r="M58" s="263">
        <f t="shared" si="14"/>
        <v>18354000</v>
      </c>
      <c r="N58" s="263">
        <f t="shared" si="14"/>
        <v>0</v>
      </c>
      <c r="O58" s="263">
        <f t="shared" si="14"/>
        <v>15384000</v>
      </c>
      <c r="P58" s="263">
        <f t="shared" si="14"/>
        <v>2970000</v>
      </c>
      <c r="Q58" s="263">
        <f t="shared" si="14"/>
        <v>18354000</v>
      </c>
      <c r="R58" s="24"/>
    </row>
    <row r="59" spans="1:18" ht="12.75">
      <c r="A59" s="264"/>
      <c r="B59" s="260"/>
      <c r="C59" s="260"/>
      <c r="D59" s="260"/>
      <c r="E59" s="260"/>
      <c r="F59" s="260"/>
      <c r="G59" s="262"/>
      <c r="H59" s="260"/>
      <c r="I59" s="260"/>
      <c r="J59" s="260"/>
      <c r="K59" s="260"/>
      <c r="L59" s="262"/>
      <c r="M59" s="259"/>
      <c r="N59" s="260"/>
      <c r="O59" s="260"/>
      <c r="P59" s="260"/>
      <c r="Q59" s="259">
        <f>SUM(N59:P59)</f>
        <v>0</v>
      </c>
      <c r="R59" s="23"/>
    </row>
    <row r="60" spans="1:18" s="21" customFormat="1" ht="19.5" customHeight="1" thickBot="1">
      <c r="A60" s="273" t="s">
        <v>115</v>
      </c>
      <c r="B60" s="274">
        <f>B52+B55+B58</f>
        <v>277851190</v>
      </c>
      <c r="C60" s="274">
        <f aca="true" t="shared" si="15" ref="C60:Q60">C52+C55+C58</f>
        <v>37550000</v>
      </c>
      <c r="D60" s="274">
        <f>D52+D55+D58</f>
        <v>23924630</v>
      </c>
      <c r="E60" s="274">
        <f t="shared" si="15"/>
        <v>0</v>
      </c>
      <c r="F60" s="274">
        <f t="shared" si="15"/>
        <v>0</v>
      </c>
      <c r="G60" s="274">
        <f>G52+G55+G58</f>
        <v>339325820</v>
      </c>
      <c r="H60" s="274">
        <f t="shared" si="15"/>
        <v>26189532</v>
      </c>
      <c r="I60" s="274">
        <f t="shared" si="15"/>
        <v>0</v>
      </c>
      <c r="J60" s="274">
        <f t="shared" si="15"/>
        <v>0</v>
      </c>
      <c r="K60" s="274">
        <f t="shared" si="15"/>
        <v>0</v>
      </c>
      <c r="L60" s="274">
        <f>L58+L55+L52</f>
        <v>26189532</v>
      </c>
      <c r="M60" s="274">
        <f>M52+M55+M58</f>
        <v>365515352</v>
      </c>
      <c r="N60" s="274">
        <f t="shared" si="15"/>
        <v>1263846</v>
      </c>
      <c r="O60" s="274">
        <f t="shared" si="15"/>
        <v>301744215</v>
      </c>
      <c r="P60" s="274">
        <f t="shared" si="15"/>
        <v>62507291</v>
      </c>
      <c r="Q60" s="274">
        <f t="shared" si="15"/>
        <v>365515352</v>
      </c>
      <c r="R60" s="24"/>
    </row>
    <row r="61" spans="1:18" ht="12.75">
      <c r="A61" s="265"/>
      <c r="B61" s="252"/>
      <c r="C61" s="252"/>
      <c r="D61" s="252"/>
      <c r="E61" s="252"/>
      <c r="F61" s="252"/>
      <c r="G61" s="253"/>
      <c r="H61" s="252"/>
      <c r="I61" s="252"/>
      <c r="J61" s="252"/>
      <c r="K61" s="252"/>
      <c r="L61" s="253"/>
      <c r="M61" s="253"/>
      <c r="N61" s="252"/>
      <c r="O61" s="252"/>
      <c r="P61" s="252"/>
      <c r="Q61" s="253"/>
      <c r="R61" s="23"/>
    </row>
    <row r="62" spans="1:18" ht="12.75">
      <c r="A62" s="265"/>
      <c r="B62" s="252"/>
      <c r="C62" s="252"/>
      <c r="D62" s="252"/>
      <c r="E62" s="252"/>
      <c r="F62" s="252"/>
      <c r="G62" s="253"/>
      <c r="H62" s="252"/>
      <c r="I62" s="252"/>
      <c r="J62" s="252"/>
      <c r="K62" s="252"/>
      <c r="L62" s="253"/>
      <c r="M62" s="253"/>
      <c r="N62" s="252"/>
      <c r="O62" s="252"/>
      <c r="P62" s="252"/>
      <c r="Q62" s="253"/>
      <c r="R62" s="23"/>
    </row>
    <row r="63" spans="1:18" s="26" customFormat="1" ht="12" customHeight="1">
      <c r="A63" s="438" t="s">
        <v>116</v>
      </c>
      <c r="B63" s="438"/>
      <c r="C63" s="438"/>
      <c r="D63" s="438"/>
      <c r="E63" s="438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"/>
    </row>
  </sheetData>
  <sheetProtection selectLockedCells="1" selectUnlockedCells="1"/>
  <mergeCells count="4">
    <mergeCell ref="A1:E1"/>
    <mergeCell ref="P1:Q1"/>
    <mergeCell ref="D3:Q3"/>
    <mergeCell ref="A63:E63"/>
  </mergeCells>
  <printOptions/>
  <pageMargins left="0.8298611111111112" right="0.5" top="0.53" bottom="0.73" header="0.32" footer="0.511805555555555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5.75390625" style="0" customWidth="1"/>
    <col min="2" max="2" width="12.875" style="0" bestFit="1" customWidth="1"/>
    <col min="3" max="3" width="12.375" style="0" customWidth="1"/>
    <col min="4" max="4" width="11.875" style="0" customWidth="1"/>
    <col min="5" max="5" width="12.75390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1" spans="1:5" ht="12.75" customHeight="1">
      <c r="A1" s="435" t="s">
        <v>593</v>
      </c>
      <c r="B1" s="435"/>
      <c r="C1" s="435"/>
      <c r="D1" s="435"/>
      <c r="E1" s="37"/>
    </row>
    <row r="2" spans="1:5" ht="12.75" customHeight="1">
      <c r="A2" s="439"/>
      <c r="B2" s="439"/>
      <c r="C2" s="439"/>
      <c r="D2" s="439"/>
      <c r="E2" s="439"/>
    </row>
    <row r="3" spans="1:7" ht="18" customHeight="1">
      <c r="A3" s="422" t="s">
        <v>551</v>
      </c>
      <c r="B3" s="422"/>
      <c r="C3" s="422"/>
      <c r="D3" s="422"/>
      <c r="E3" s="422"/>
      <c r="F3" s="27"/>
      <c r="G3" s="28"/>
    </row>
    <row r="4" spans="1:7" ht="18" customHeight="1">
      <c r="A4" s="67"/>
      <c r="B4" s="67"/>
      <c r="C4" s="67"/>
      <c r="D4" s="67"/>
      <c r="E4" s="67"/>
      <c r="F4" s="27"/>
      <c r="G4" s="28"/>
    </row>
    <row r="5" spans="1:7" ht="14.25" customHeight="1">
      <c r="A5" s="422" t="s">
        <v>47</v>
      </c>
      <c r="B5" s="422"/>
      <c r="C5" s="422"/>
      <c r="D5" s="422"/>
      <c r="E5" s="422"/>
      <c r="F5" s="27"/>
      <c r="G5" s="28"/>
    </row>
    <row r="6" spans="1:7" ht="15" customHeight="1">
      <c r="A6" s="440" t="s">
        <v>423</v>
      </c>
      <c r="B6" s="440"/>
      <c r="C6" s="440"/>
      <c r="D6" s="440"/>
      <c r="E6" s="440"/>
      <c r="F6" s="27"/>
      <c r="G6" s="29"/>
    </row>
    <row r="7" spans="1:5" ht="15" customHeight="1">
      <c r="A7" s="404" t="s">
        <v>117</v>
      </c>
      <c r="B7" s="441" t="s">
        <v>49</v>
      </c>
      <c r="C7" s="424" t="s">
        <v>471</v>
      </c>
      <c r="D7" s="424" t="s">
        <v>94</v>
      </c>
      <c r="E7" s="404" t="s">
        <v>118</v>
      </c>
    </row>
    <row r="8" spans="1:5" ht="10.5" customHeight="1">
      <c r="A8" s="404"/>
      <c r="B8" s="442"/>
      <c r="C8" s="424"/>
      <c r="D8" s="424"/>
      <c r="E8" s="404"/>
    </row>
    <row r="9" spans="1:15" ht="13.5" customHeight="1">
      <c r="A9" s="275" t="s">
        <v>6</v>
      </c>
      <c r="B9" s="276">
        <v>94548631</v>
      </c>
      <c r="C9" s="276">
        <f>27506600+880600</f>
        <v>28387200</v>
      </c>
      <c r="D9" s="276">
        <v>69647360</v>
      </c>
      <c r="E9" s="98">
        <f>SUM(B9:D9)</f>
        <v>192583191</v>
      </c>
      <c r="F9" s="30"/>
      <c r="G9" s="30"/>
      <c r="I9" s="30"/>
      <c r="J9" s="30"/>
      <c r="K9" s="30"/>
      <c r="L9" s="30"/>
      <c r="M9" s="30"/>
      <c r="O9" s="30"/>
    </row>
    <row r="10" spans="1:15" ht="13.5" customHeight="1">
      <c r="A10" s="277" t="s">
        <v>119</v>
      </c>
      <c r="B10" s="276">
        <v>16660298</v>
      </c>
      <c r="C10" s="276">
        <f>5080355+167366</f>
        <v>5247721</v>
      </c>
      <c r="D10" s="276">
        <v>12578963</v>
      </c>
      <c r="E10" s="98">
        <f aca="true" t="shared" si="0" ref="E10:E16">SUM(B10:D10)</f>
        <v>34486982</v>
      </c>
      <c r="F10" s="30"/>
      <c r="G10" s="30"/>
      <c r="I10" s="30"/>
      <c r="J10" s="30"/>
      <c r="K10" s="30"/>
      <c r="L10" s="30"/>
      <c r="M10" s="30"/>
      <c r="O10" s="30"/>
    </row>
    <row r="11" spans="1:15" ht="13.5" customHeight="1">
      <c r="A11" s="275" t="s">
        <v>120</v>
      </c>
      <c r="B11" s="276">
        <f>99420016+462000+60-560000</f>
        <v>99322076</v>
      </c>
      <c r="C11" s="276">
        <f>5556300+83880</f>
        <v>5640180</v>
      </c>
      <c r="D11" s="276">
        <v>39817873</v>
      </c>
      <c r="E11" s="98">
        <f>SUM(B11:D11)</f>
        <v>144780129</v>
      </c>
      <c r="F11" s="30"/>
      <c r="G11" s="30"/>
      <c r="I11" s="30"/>
      <c r="J11" s="30"/>
      <c r="K11" s="30"/>
      <c r="L11" s="30"/>
      <c r="M11" s="30"/>
      <c r="O11" s="30"/>
    </row>
    <row r="12" spans="1:15" ht="13.5" customHeight="1">
      <c r="A12" s="278" t="s">
        <v>121</v>
      </c>
      <c r="B12" s="98">
        <v>7000000</v>
      </c>
      <c r="C12" s="98"/>
      <c r="D12" s="98"/>
      <c r="E12" s="98">
        <f t="shared" si="0"/>
        <v>7000000</v>
      </c>
      <c r="F12" s="30"/>
      <c r="G12" s="30"/>
      <c r="I12" s="30"/>
      <c r="J12" s="30"/>
      <c r="K12" s="30"/>
      <c r="L12" s="30"/>
      <c r="M12" s="30"/>
      <c r="O12" s="30"/>
    </row>
    <row r="13" spans="1:15" ht="13.5" customHeight="1">
      <c r="A13" s="275" t="s">
        <v>122</v>
      </c>
      <c r="B13" s="98">
        <v>10700590</v>
      </c>
      <c r="C13" s="98"/>
      <c r="D13" s="98">
        <v>150000</v>
      </c>
      <c r="E13" s="98">
        <f t="shared" si="0"/>
        <v>10850590</v>
      </c>
      <c r="F13" s="30"/>
      <c r="G13" s="30"/>
      <c r="I13" s="30"/>
      <c r="J13" s="30"/>
      <c r="K13" s="30"/>
      <c r="L13" s="30"/>
      <c r="M13" s="30"/>
      <c r="O13" s="30"/>
    </row>
    <row r="14" spans="1:15" ht="13.5" customHeight="1">
      <c r="A14" s="279" t="s">
        <v>123</v>
      </c>
      <c r="B14" s="192"/>
      <c r="C14" s="98"/>
      <c r="D14" s="98"/>
      <c r="E14" s="192">
        <f t="shared" si="0"/>
        <v>0</v>
      </c>
      <c r="F14" s="30"/>
      <c r="G14" s="30"/>
      <c r="I14" s="30"/>
      <c r="J14" s="30"/>
      <c r="K14" s="30"/>
      <c r="L14" s="30"/>
      <c r="M14" s="30"/>
      <c r="O14" s="30"/>
    </row>
    <row r="15" spans="1:15" ht="13.5" customHeight="1">
      <c r="A15" s="280" t="s">
        <v>566</v>
      </c>
      <c r="B15" s="281">
        <f>2963053+709395</f>
        <v>3672448</v>
      </c>
      <c r="C15" s="281"/>
      <c r="D15" s="281"/>
      <c r="E15" s="192">
        <f t="shared" si="0"/>
        <v>3672448</v>
      </c>
      <c r="F15" s="30"/>
      <c r="G15" s="30"/>
      <c r="I15" s="30"/>
      <c r="J15" s="30"/>
      <c r="K15" s="30"/>
      <c r="L15" s="30"/>
      <c r="M15" s="30"/>
      <c r="O15" s="30"/>
    </row>
    <row r="16" spans="1:15" ht="13.5" customHeight="1">
      <c r="A16" s="289"/>
      <c r="B16" s="290"/>
      <c r="C16" s="290"/>
      <c r="D16" s="290"/>
      <c r="E16" s="193">
        <f t="shared" si="0"/>
        <v>0</v>
      </c>
      <c r="F16" s="30"/>
      <c r="G16" s="30"/>
      <c r="I16" s="30"/>
      <c r="J16" s="30"/>
      <c r="K16" s="30"/>
      <c r="L16" s="30"/>
      <c r="M16" s="30"/>
      <c r="O16" s="30"/>
    </row>
    <row r="17" spans="1:15" ht="13.5" customHeight="1">
      <c r="A17" s="294" t="s">
        <v>124</v>
      </c>
      <c r="B17" s="295">
        <f>SUM(B9:B13)</f>
        <v>228231595</v>
      </c>
      <c r="C17" s="295">
        <f>SUM(C9:C13)</f>
        <v>39275101</v>
      </c>
      <c r="D17" s="295">
        <f>SUM(D9:D13)</f>
        <v>122194196</v>
      </c>
      <c r="E17" s="295">
        <f>SUM(E9:E13)</f>
        <v>389700892</v>
      </c>
      <c r="F17" s="30"/>
      <c r="G17" s="30"/>
      <c r="I17" s="30"/>
      <c r="J17" s="30"/>
      <c r="K17" s="30"/>
      <c r="L17" s="30"/>
      <c r="M17" s="30"/>
      <c r="O17" s="30"/>
    </row>
    <row r="18" spans="1:15" ht="13.5" customHeight="1">
      <c r="A18" s="291"/>
      <c r="B18" s="292"/>
      <c r="C18" s="292"/>
      <c r="D18" s="292"/>
      <c r="E18" s="293">
        <f aca="true" t="shared" si="1" ref="E18:E25">SUM(B18:D18)</f>
        <v>0</v>
      </c>
      <c r="F18" s="30"/>
      <c r="G18" s="30"/>
      <c r="I18" s="30"/>
      <c r="J18" s="30"/>
      <c r="K18" s="30"/>
      <c r="L18" s="30"/>
      <c r="M18" s="30"/>
      <c r="O18" s="30"/>
    </row>
    <row r="19" spans="1:15" ht="13.5" customHeight="1">
      <c r="A19" s="283" t="s">
        <v>125</v>
      </c>
      <c r="B19" s="284"/>
      <c r="C19" s="282"/>
      <c r="D19" s="282"/>
      <c r="E19" s="96">
        <f t="shared" si="1"/>
        <v>0</v>
      </c>
      <c r="F19" s="30"/>
      <c r="G19" s="30"/>
      <c r="I19" s="30"/>
      <c r="J19" s="30"/>
      <c r="K19" s="30"/>
      <c r="L19" s="30"/>
      <c r="M19" s="30"/>
      <c r="O19" s="30"/>
    </row>
    <row r="20" spans="1:15" ht="13.5" customHeight="1">
      <c r="A20" s="283" t="s">
        <v>126</v>
      </c>
      <c r="B20" s="284"/>
      <c r="C20" s="282"/>
      <c r="D20" s="282"/>
      <c r="E20" s="96">
        <f t="shared" si="1"/>
        <v>0</v>
      </c>
      <c r="F20" s="30"/>
      <c r="G20" s="30"/>
      <c r="I20" s="30"/>
      <c r="J20" s="30"/>
      <c r="K20" s="30"/>
      <c r="L20" s="30"/>
      <c r="M20" s="30"/>
      <c r="O20" s="30"/>
    </row>
    <row r="21" spans="1:15" ht="13.5" customHeight="1">
      <c r="A21" s="285" t="s">
        <v>127</v>
      </c>
      <c r="B21" s="286"/>
      <c r="C21" s="282"/>
      <c r="D21" s="282"/>
      <c r="E21" s="96">
        <f t="shared" si="1"/>
        <v>0</v>
      </c>
      <c r="F21" s="30"/>
      <c r="G21" s="30"/>
      <c r="I21" s="30"/>
      <c r="J21" s="30"/>
      <c r="K21" s="30"/>
      <c r="L21" s="30"/>
      <c r="M21" s="30"/>
      <c r="O21" s="30"/>
    </row>
    <row r="22" spans="1:15" ht="13.5" customHeight="1">
      <c r="A22" s="283" t="s">
        <v>128</v>
      </c>
      <c r="B22" s="287">
        <v>6972496</v>
      </c>
      <c r="C22" s="196"/>
      <c r="D22" s="196"/>
      <c r="E22" s="98">
        <f t="shared" si="1"/>
        <v>6972496</v>
      </c>
      <c r="F22" s="30"/>
      <c r="G22" s="30"/>
      <c r="I22" s="30"/>
      <c r="J22" s="30"/>
      <c r="K22" s="30"/>
      <c r="L22" s="30"/>
      <c r="M22" s="30"/>
      <c r="O22" s="30"/>
    </row>
    <row r="23" spans="1:15" ht="13.5" customHeight="1">
      <c r="A23" s="283" t="s">
        <v>129</v>
      </c>
      <c r="B23" s="198"/>
      <c r="C23" s="66" t="s">
        <v>130</v>
      </c>
      <c r="D23" s="66"/>
      <c r="E23" s="98">
        <f t="shared" si="1"/>
        <v>0</v>
      </c>
      <c r="F23" s="30"/>
      <c r="G23" s="30"/>
      <c r="I23" s="30"/>
      <c r="J23" s="30"/>
      <c r="K23" s="30"/>
      <c r="L23" s="30"/>
      <c r="M23" s="30"/>
      <c r="O23" s="30"/>
    </row>
    <row r="24" spans="1:15" ht="13.5" customHeight="1">
      <c r="A24" s="283" t="s">
        <v>131</v>
      </c>
      <c r="B24" s="198"/>
      <c r="C24" s="196"/>
      <c r="D24" s="196"/>
      <c r="E24" s="98">
        <f t="shared" si="1"/>
        <v>0</v>
      </c>
      <c r="F24" s="30"/>
      <c r="G24" s="30"/>
      <c r="I24" s="30"/>
      <c r="J24" s="30"/>
      <c r="K24" s="30"/>
      <c r="L24" s="30"/>
      <c r="M24" s="30"/>
      <c r="O24" s="30"/>
    </row>
    <row r="25" spans="1:15" ht="13.5" customHeight="1">
      <c r="A25" s="298" t="s">
        <v>132</v>
      </c>
      <c r="B25" s="299"/>
      <c r="C25" s="300"/>
      <c r="D25" s="300"/>
      <c r="E25" s="193">
        <f t="shared" si="1"/>
        <v>0</v>
      </c>
      <c r="F25" s="30"/>
      <c r="G25" s="30"/>
      <c r="I25" s="30"/>
      <c r="J25" s="30"/>
      <c r="K25" s="30"/>
      <c r="L25" s="30"/>
      <c r="M25" s="30"/>
      <c r="O25" s="30"/>
    </row>
    <row r="26" spans="1:15" ht="13.5" customHeight="1">
      <c r="A26" s="294" t="s">
        <v>133</v>
      </c>
      <c r="B26" s="295">
        <f>SUM(B19:B25)</f>
        <v>6972496</v>
      </c>
      <c r="C26" s="295">
        <f>SUM(C19:C25)</f>
        <v>0</v>
      </c>
      <c r="D26" s="295">
        <f>SUM(D19:D25)</f>
        <v>0</v>
      </c>
      <c r="E26" s="295">
        <f>SUM(E19:E25)</f>
        <v>6972496</v>
      </c>
      <c r="F26" s="30"/>
      <c r="G26" s="30"/>
      <c r="I26" s="30"/>
      <c r="J26" s="30"/>
      <c r="K26" s="30"/>
      <c r="L26" s="30"/>
      <c r="M26" s="30"/>
      <c r="O26" s="30"/>
    </row>
    <row r="27" spans="1:15" ht="13.5" customHeight="1" thickBot="1">
      <c r="A27" s="301"/>
      <c r="B27" s="302"/>
      <c r="C27" s="302"/>
      <c r="D27" s="302"/>
      <c r="E27" s="303"/>
      <c r="F27" s="30"/>
      <c r="G27" s="30"/>
      <c r="I27" s="30"/>
      <c r="J27" s="30"/>
      <c r="K27" s="30"/>
      <c r="L27" s="30"/>
      <c r="M27" s="30"/>
      <c r="O27" s="30"/>
    </row>
    <row r="28" spans="1:15" ht="13.5" customHeight="1" thickBot="1">
      <c r="A28" s="297" t="s">
        <v>22</v>
      </c>
      <c r="B28" s="200">
        <f>B17+B26</f>
        <v>235204091</v>
      </c>
      <c r="C28" s="200">
        <f>C17+C26</f>
        <v>39275101</v>
      </c>
      <c r="D28" s="200">
        <f>D17+D26</f>
        <v>122194196</v>
      </c>
      <c r="E28" s="200">
        <f>E17+E26</f>
        <v>396673388</v>
      </c>
      <c r="F28" s="30"/>
      <c r="G28" s="30"/>
      <c r="I28" s="30"/>
      <c r="J28" s="30"/>
      <c r="K28" s="30"/>
      <c r="L28" s="30"/>
      <c r="M28" s="30"/>
      <c r="O28" s="30"/>
    </row>
    <row r="29" spans="1:15" ht="13.5" customHeight="1">
      <c r="A29" s="291"/>
      <c r="B29" s="296"/>
      <c r="C29" s="296"/>
      <c r="D29" s="296"/>
      <c r="E29" s="194"/>
      <c r="F29" s="30"/>
      <c r="G29" s="30"/>
      <c r="I29" s="30"/>
      <c r="J29" s="30"/>
      <c r="K29" s="30"/>
      <c r="L29" s="30"/>
      <c r="M29" s="30"/>
      <c r="O29" s="30"/>
    </row>
    <row r="30" spans="1:15" ht="13.5" customHeight="1">
      <c r="A30" s="283" t="s">
        <v>24</v>
      </c>
      <c r="B30" s="198">
        <v>706302694</v>
      </c>
      <c r="C30" s="70">
        <f>3020000-2000000</f>
        <v>1020000</v>
      </c>
      <c r="D30" s="70">
        <f>1721800-545000-242022-65346</f>
        <v>869432</v>
      </c>
      <c r="E30" s="98">
        <f>SUM(B30:D30)</f>
        <v>708192126</v>
      </c>
      <c r="F30" s="30"/>
      <c r="G30" s="30"/>
      <c r="I30" s="30"/>
      <c r="J30" s="30"/>
      <c r="K30" s="30"/>
      <c r="L30" s="30"/>
      <c r="M30" s="30"/>
      <c r="O30" s="30"/>
    </row>
    <row r="31" spans="1:15" ht="13.5" customHeight="1">
      <c r="A31" s="283" t="s">
        <v>26</v>
      </c>
      <c r="B31" s="198">
        <v>4651032</v>
      </c>
      <c r="C31" s="288"/>
      <c r="D31" s="66"/>
      <c r="E31" s="98">
        <f>SUM(B31:D31)</f>
        <v>4651032</v>
      </c>
      <c r="F31" s="30"/>
      <c r="G31" s="30"/>
      <c r="I31" s="30"/>
      <c r="J31" s="30"/>
      <c r="K31" s="30"/>
      <c r="L31" s="30"/>
      <c r="M31" s="30"/>
      <c r="O31" s="30"/>
    </row>
    <row r="32" spans="1:15" ht="13.5" customHeight="1">
      <c r="A32" s="304" t="s">
        <v>134</v>
      </c>
      <c r="B32" s="305">
        <v>1358080</v>
      </c>
      <c r="C32" s="306"/>
      <c r="D32" s="306"/>
      <c r="E32" s="193">
        <f>SUM(B32:D32)</f>
        <v>1358080</v>
      </c>
      <c r="F32" s="30"/>
      <c r="G32" s="30"/>
      <c r="I32" s="30"/>
      <c r="J32" s="30"/>
      <c r="K32" s="30"/>
      <c r="L32" s="30"/>
      <c r="M32" s="30"/>
      <c r="O32" s="30"/>
    </row>
    <row r="33" spans="1:15" ht="13.5" customHeight="1">
      <c r="A33" s="294" t="s">
        <v>135</v>
      </c>
      <c r="B33" s="308">
        <f>SUM(B30:B32)</f>
        <v>712311806</v>
      </c>
      <c r="C33" s="308">
        <f>SUM(C30:C32)</f>
        <v>1020000</v>
      </c>
      <c r="D33" s="308">
        <f>SUM(D30:D32)</f>
        <v>869432</v>
      </c>
      <c r="E33" s="214">
        <f>SUM(B33:D33)</f>
        <v>714201238</v>
      </c>
      <c r="F33" s="30"/>
      <c r="G33" s="30"/>
      <c r="I33" s="30"/>
      <c r="J33" s="30"/>
      <c r="K33" s="30"/>
      <c r="L33" s="30"/>
      <c r="M33" s="30"/>
      <c r="O33" s="30"/>
    </row>
    <row r="34" spans="1:15" ht="13.5" customHeight="1">
      <c r="A34" s="291"/>
      <c r="B34" s="307"/>
      <c r="C34" s="227"/>
      <c r="D34" s="227"/>
      <c r="E34" s="194"/>
      <c r="F34" s="30"/>
      <c r="G34" s="30"/>
      <c r="I34" s="30"/>
      <c r="J34" s="30"/>
      <c r="K34" s="30"/>
      <c r="L34" s="30"/>
      <c r="M34" s="30"/>
      <c r="O34" s="30"/>
    </row>
    <row r="35" spans="1:15" ht="13.5" customHeight="1">
      <c r="A35" s="283" t="s">
        <v>125</v>
      </c>
      <c r="B35" s="197"/>
      <c r="C35" s="100"/>
      <c r="D35" s="100"/>
      <c r="E35" s="98">
        <f aca="true" t="shared" si="2" ref="E35:E41">SUM(B35:D35)</f>
        <v>0</v>
      </c>
      <c r="F35" s="30"/>
      <c r="G35" s="30"/>
      <c r="I35" s="30"/>
      <c r="J35" s="30"/>
      <c r="K35" s="30"/>
      <c r="L35" s="30"/>
      <c r="M35" s="30"/>
      <c r="O35" s="30"/>
    </row>
    <row r="36" spans="1:15" ht="13.5" customHeight="1">
      <c r="A36" s="283" t="s">
        <v>126</v>
      </c>
      <c r="B36" s="197"/>
      <c r="C36" s="100"/>
      <c r="D36" s="100"/>
      <c r="E36" s="98">
        <f t="shared" si="2"/>
        <v>0</v>
      </c>
      <c r="F36" s="30"/>
      <c r="G36" s="30"/>
      <c r="I36" s="30"/>
      <c r="J36" s="30"/>
      <c r="K36" s="30"/>
      <c r="L36" s="30"/>
      <c r="M36" s="30"/>
      <c r="O36" s="30"/>
    </row>
    <row r="37" spans="1:15" ht="13.5" customHeight="1">
      <c r="A37" s="285" t="s">
        <v>127</v>
      </c>
      <c r="B37" s="197"/>
      <c r="C37" s="100"/>
      <c r="D37" s="100"/>
      <c r="E37" s="98">
        <f t="shared" si="2"/>
        <v>0</v>
      </c>
      <c r="F37" s="30"/>
      <c r="G37" s="30"/>
      <c r="J37" s="30"/>
      <c r="K37" s="30"/>
      <c r="L37" s="30"/>
      <c r="M37" s="30"/>
      <c r="O37" s="30"/>
    </row>
    <row r="38" spans="1:15" ht="13.5" customHeight="1">
      <c r="A38" s="283" t="s">
        <v>128</v>
      </c>
      <c r="B38" s="197"/>
      <c r="C38" s="100"/>
      <c r="D38" s="100"/>
      <c r="E38" s="98">
        <f t="shared" si="2"/>
        <v>0</v>
      </c>
      <c r="F38" s="30"/>
      <c r="G38" s="30"/>
      <c r="I38" s="30"/>
      <c r="J38" s="30"/>
      <c r="K38" s="30"/>
      <c r="L38" s="30"/>
      <c r="M38" s="30"/>
      <c r="O38" s="30"/>
    </row>
    <row r="39" spans="1:15" ht="13.5" customHeight="1">
      <c r="A39" s="283" t="s">
        <v>129</v>
      </c>
      <c r="B39" s="197"/>
      <c r="C39" s="66" t="s">
        <v>130</v>
      </c>
      <c r="D39" s="66"/>
      <c r="E39" s="98">
        <f t="shared" si="2"/>
        <v>0</v>
      </c>
      <c r="F39" s="30"/>
      <c r="G39" s="30"/>
      <c r="I39" s="30"/>
      <c r="J39" s="30"/>
      <c r="K39" s="30"/>
      <c r="L39" s="30"/>
      <c r="M39" s="30"/>
      <c r="O39" s="30"/>
    </row>
    <row r="40" spans="1:15" ht="13.5" customHeight="1">
      <c r="A40" s="283" t="s">
        <v>131</v>
      </c>
      <c r="B40" s="197"/>
      <c r="C40" s="100"/>
      <c r="D40" s="100"/>
      <c r="E40" s="98">
        <f t="shared" si="2"/>
        <v>0</v>
      </c>
      <c r="F40" s="30"/>
      <c r="G40" s="30"/>
      <c r="I40" s="30"/>
      <c r="J40" s="30"/>
      <c r="K40" s="30"/>
      <c r="L40" s="30"/>
      <c r="M40" s="30"/>
      <c r="O40" s="30"/>
    </row>
    <row r="41" spans="1:15" ht="13.5" customHeight="1">
      <c r="A41" s="298" t="s">
        <v>132</v>
      </c>
      <c r="B41" s="309"/>
      <c r="C41" s="228"/>
      <c r="D41" s="228"/>
      <c r="E41" s="193">
        <f t="shared" si="2"/>
        <v>0</v>
      </c>
      <c r="F41" s="30"/>
      <c r="G41" s="30"/>
      <c r="I41" s="30"/>
      <c r="J41" s="30"/>
      <c r="K41" s="30"/>
      <c r="L41" s="30"/>
      <c r="M41" s="30"/>
      <c r="O41" s="30"/>
    </row>
    <row r="42" spans="1:15" ht="13.5" customHeight="1">
      <c r="A42" s="310" t="s">
        <v>136</v>
      </c>
      <c r="B42" s="308">
        <f>SUM(B35:B41)</f>
        <v>0</v>
      </c>
      <c r="C42" s="308">
        <f>SUM(C35:C41)</f>
        <v>0</v>
      </c>
      <c r="D42" s="308">
        <f>SUM(D35:D41)</f>
        <v>0</v>
      </c>
      <c r="E42" s="308">
        <f>SUM(E35:E41)</f>
        <v>0</v>
      </c>
      <c r="F42" s="30"/>
      <c r="G42" s="30"/>
      <c r="I42" s="30"/>
      <c r="J42" s="30"/>
      <c r="K42" s="30"/>
      <c r="L42" s="30"/>
      <c r="M42" s="30"/>
      <c r="O42" s="30"/>
    </row>
    <row r="43" spans="1:15" ht="13.5" customHeight="1" thickBot="1">
      <c r="A43" s="311"/>
      <c r="B43" s="312"/>
      <c r="C43" s="199"/>
      <c r="D43" s="199"/>
      <c r="E43" s="199"/>
      <c r="F43" s="30"/>
      <c r="G43" s="30"/>
      <c r="I43" s="30"/>
      <c r="J43" s="30"/>
      <c r="K43" s="30"/>
      <c r="L43" s="30"/>
      <c r="M43" s="30"/>
      <c r="O43" s="30"/>
    </row>
    <row r="44" spans="1:9" ht="13.5" customHeight="1" thickBot="1">
      <c r="A44" s="313" t="s">
        <v>405</v>
      </c>
      <c r="B44" s="314">
        <f>B33+B42</f>
        <v>712311806</v>
      </c>
      <c r="C44" s="314">
        <f>C33+C42</f>
        <v>1020000</v>
      </c>
      <c r="D44" s="314">
        <f>D33+D42</f>
        <v>869432</v>
      </c>
      <c r="E44" s="314">
        <f>E33+E42</f>
        <v>714201238</v>
      </c>
      <c r="F44" s="30"/>
      <c r="G44" s="30"/>
      <c r="I44" s="30"/>
    </row>
    <row r="45" spans="1:9" ht="13.5" customHeight="1" thickBot="1">
      <c r="A45" s="315"/>
      <c r="B45" s="316"/>
      <c r="C45" s="316"/>
      <c r="D45" s="316"/>
      <c r="E45" s="199"/>
      <c r="F45" s="30"/>
      <c r="G45" s="30"/>
      <c r="I45" s="30"/>
    </row>
    <row r="46" spans="1:5" ht="15" customHeight="1" thickBot="1">
      <c r="A46" s="320" t="s">
        <v>137</v>
      </c>
      <c r="B46" s="321">
        <f>B28+B44</f>
        <v>947515897</v>
      </c>
      <c r="C46" s="321">
        <f>C28+C44</f>
        <v>40295101</v>
      </c>
      <c r="D46" s="321">
        <f>D28+D44</f>
        <v>123063628</v>
      </c>
      <c r="E46" s="321">
        <f>E28+E44</f>
        <v>1110874626</v>
      </c>
    </row>
    <row r="47" spans="1:5" ht="12.75">
      <c r="A47" s="317" t="s">
        <v>129</v>
      </c>
      <c r="B47" s="318">
        <v>163358729</v>
      </c>
      <c r="C47" s="319" t="s">
        <v>130</v>
      </c>
      <c r="D47" s="319" t="s">
        <v>130</v>
      </c>
      <c r="E47" s="194">
        <f>SUM(B47:D47)</f>
        <v>163358729</v>
      </c>
    </row>
  </sheetData>
  <sheetProtection selectLockedCells="1" selectUnlockedCells="1"/>
  <mergeCells count="10">
    <mergeCell ref="C7:C8"/>
    <mergeCell ref="D7:D8"/>
    <mergeCell ref="A1:D1"/>
    <mergeCell ref="A2:E2"/>
    <mergeCell ref="A3:E3"/>
    <mergeCell ref="A5:E5"/>
    <mergeCell ref="E7:E8"/>
    <mergeCell ref="A6:E6"/>
    <mergeCell ref="A7:A8"/>
    <mergeCell ref="B7:B8"/>
  </mergeCells>
  <printOptions/>
  <pageMargins left="0.5097222222222222" right="0.25972222222222224" top="0.4" bottom="0.32013888888888886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ySplit="6" topLeftCell="A41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25.25390625" style="269" customWidth="1"/>
    <col min="2" max="2" width="11.00390625" style="0" customWidth="1"/>
    <col min="3" max="3" width="10.125" style="0" bestFit="1" customWidth="1"/>
    <col min="4" max="4" width="11.75390625" style="0" customWidth="1"/>
    <col min="6" max="6" width="10.125" style="0" bestFit="1" customWidth="1"/>
    <col min="7" max="7" width="11.375" style="0" customWidth="1"/>
    <col min="8" max="8" width="11.25390625" style="21" customWidth="1"/>
    <col min="9" max="9" width="12.25390625" style="0" customWidth="1"/>
    <col min="10" max="10" width="10.125" style="0" bestFit="1" customWidth="1"/>
    <col min="11" max="11" width="12.375" style="0" customWidth="1"/>
    <col min="12" max="12" width="11.75390625" style="0" customWidth="1"/>
    <col min="13" max="14" width="13.75390625" style="21" customWidth="1"/>
    <col min="15" max="15" width="11.125" style="0" bestFit="1" customWidth="1"/>
    <col min="16" max="16" width="11.375" style="0" customWidth="1"/>
    <col min="17" max="17" width="11.125" style="0" bestFit="1" customWidth="1"/>
    <col min="18" max="18" width="13.00390625" style="21" customWidth="1"/>
  </cols>
  <sheetData>
    <row r="1" spans="1:18" ht="12.75" customHeight="1">
      <c r="A1" s="435" t="s">
        <v>594</v>
      </c>
      <c r="B1" s="435"/>
      <c r="C1" s="435"/>
      <c r="D1" s="435"/>
      <c r="E1" s="435"/>
      <c r="F1" s="37"/>
      <c r="G1" s="37"/>
      <c r="H1" s="127"/>
      <c r="I1" s="37"/>
      <c r="J1" s="37"/>
      <c r="K1" s="37"/>
      <c r="L1" s="37"/>
      <c r="M1" s="127"/>
      <c r="N1" s="127"/>
      <c r="O1" s="37"/>
      <c r="P1" s="37"/>
      <c r="Q1" s="436"/>
      <c r="R1" s="436"/>
    </row>
    <row r="2" spans="1:18" ht="12.75">
      <c r="A2" s="265"/>
      <c r="B2" s="37"/>
      <c r="C2" s="37"/>
      <c r="D2" s="37"/>
      <c r="E2" s="37"/>
      <c r="F2" s="37"/>
      <c r="G2" s="37"/>
      <c r="H2" s="127"/>
      <c r="I2" s="37"/>
      <c r="J2" s="37"/>
      <c r="K2" s="37"/>
      <c r="L2" s="37"/>
      <c r="M2" s="127"/>
      <c r="N2" s="127"/>
      <c r="O2" s="37"/>
      <c r="P2" s="37"/>
      <c r="Q2" s="37"/>
      <c r="R2" s="127"/>
    </row>
    <row r="3" spans="1:18" ht="12.75">
      <c r="A3" s="265"/>
      <c r="B3" s="37"/>
      <c r="C3" s="37"/>
      <c r="D3" s="437" t="s">
        <v>552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</row>
    <row r="4" spans="1:18" ht="14.25" customHeight="1">
      <c r="A4" s="265"/>
      <c r="B4" s="37"/>
      <c r="C4" s="37"/>
      <c r="D4" s="37"/>
      <c r="E4" s="37"/>
      <c r="F4" s="37"/>
      <c r="G4" s="37"/>
      <c r="H4" s="127"/>
      <c r="I4" s="37"/>
      <c r="J4" s="37"/>
      <c r="K4" s="37"/>
      <c r="L4" s="37"/>
      <c r="M4" s="127"/>
      <c r="N4" s="127"/>
      <c r="O4" s="37"/>
      <c r="P4" s="37"/>
      <c r="Q4" s="37"/>
      <c r="R4" s="77" t="s">
        <v>423</v>
      </c>
    </row>
    <row r="5" spans="1:18" s="22" customFormat="1" ht="42" customHeight="1">
      <c r="A5" s="264" t="s">
        <v>95</v>
      </c>
      <c r="B5" s="256" t="s">
        <v>138</v>
      </c>
      <c r="C5" s="256" t="s">
        <v>139</v>
      </c>
      <c r="D5" s="256" t="s">
        <v>140</v>
      </c>
      <c r="E5" s="256" t="s">
        <v>141</v>
      </c>
      <c r="F5" s="256" t="s">
        <v>142</v>
      </c>
      <c r="G5" s="256" t="s">
        <v>354</v>
      </c>
      <c r="H5" s="122" t="s">
        <v>143</v>
      </c>
      <c r="I5" s="256" t="s">
        <v>144</v>
      </c>
      <c r="J5" s="256" t="s">
        <v>145</v>
      </c>
      <c r="K5" s="256" t="s">
        <v>146</v>
      </c>
      <c r="L5" s="256" t="s">
        <v>354</v>
      </c>
      <c r="M5" s="122" t="s">
        <v>148</v>
      </c>
      <c r="N5" s="122" t="s">
        <v>149</v>
      </c>
      <c r="O5" s="256" t="s">
        <v>106</v>
      </c>
      <c r="P5" s="256" t="s">
        <v>107</v>
      </c>
      <c r="Q5" s="256" t="s">
        <v>108</v>
      </c>
      <c r="R5" s="122" t="s">
        <v>115</v>
      </c>
    </row>
    <row r="6" spans="1:18" s="56" customFormat="1" ht="36" customHeight="1">
      <c r="A6" s="266" t="s">
        <v>331</v>
      </c>
      <c r="B6" s="322">
        <f>2707200+156000+852078+250000+5484000+1645200+3500000+2527200+800000</f>
        <v>17921678</v>
      </c>
      <c r="C6" s="322">
        <f>473760+50700+149114+65000+959700+287910+612588+442600</f>
        <v>3041372</v>
      </c>
      <c r="D6" s="322">
        <v>2500000</v>
      </c>
      <c r="E6" s="258"/>
      <c r="F6" s="258"/>
      <c r="G6" s="258"/>
      <c r="H6" s="258">
        <f>SUM(B6:G6)</f>
        <v>23463050</v>
      </c>
      <c r="I6" s="258">
        <f>4062000+20000000</f>
        <v>24062000</v>
      </c>
      <c r="J6" s="258"/>
      <c r="K6" s="258"/>
      <c r="L6" s="258"/>
      <c r="M6" s="258">
        <f>SUM(I6:L6)</f>
        <v>24062000</v>
      </c>
      <c r="N6" s="258">
        <f>H6+M6</f>
        <v>47525050</v>
      </c>
      <c r="O6" s="258"/>
      <c r="P6" s="258">
        <v>47525050</v>
      </c>
      <c r="Q6" s="258"/>
      <c r="R6" s="258">
        <f>SUM(O6:Q6)</f>
        <v>47525050</v>
      </c>
    </row>
    <row r="7" spans="1:18" ht="39" customHeight="1">
      <c r="A7" s="331" t="s">
        <v>379</v>
      </c>
      <c r="B7" s="323"/>
      <c r="C7" s="323"/>
      <c r="D7" s="323">
        <f>4185880+2500000-350000</f>
        <v>6335880</v>
      </c>
      <c r="E7" s="260"/>
      <c r="F7" s="260"/>
      <c r="G7" s="260"/>
      <c r="H7" s="258">
        <f aca="true" t="shared" si="0" ref="H7:H44">SUM(B7:G7)</f>
        <v>6335880</v>
      </c>
      <c r="I7" s="324">
        <v>5950816</v>
      </c>
      <c r="J7" s="260"/>
      <c r="K7" s="260"/>
      <c r="L7" s="260"/>
      <c r="M7" s="259">
        <f aca="true" t="shared" si="1" ref="M7:M57">SUM(I7:L7)</f>
        <v>5950816</v>
      </c>
      <c r="N7" s="259">
        <f>H7+M7</f>
        <v>12286696</v>
      </c>
      <c r="O7" s="260"/>
      <c r="P7" s="260">
        <v>12286696</v>
      </c>
      <c r="Q7" s="260">
        <v>0</v>
      </c>
      <c r="R7" s="258">
        <f>SUM(O7:Q7)</f>
        <v>12286696</v>
      </c>
    </row>
    <row r="8" spans="1:18" ht="23.25" customHeight="1">
      <c r="A8" s="331" t="s">
        <v>380</v>
      </c>
      <c r="B8" s="323"/>
      <c r="C8" s="323"/>
      <c r="D8" s="323">
        <v>4445000</v>
      </c>
      <c r="E8" s="260"/>
      <c r="F8" s="260"/>
      <c r="G8" s="260"/>
      <c r="H8" s="258">
        <f t="shared" si="0"/>
        <v>4445000</v>
      </c>
      <c r="I8" s="260"/>
      <c r="J8" s="260"/>
      <c r="K8" s="260"/>
      <c r="L8" s="260"/>
      <c r="M8" s="259">
        <f t="shared" si="1"/>
        <v>0</v>
      </c>
      <c r="N8" s="259">
        <f aca="true" t="shared" si="2" ref="N8:N57">H8+M8</f>
        <v>4445000</v>
      </c>
      <c r="O8" s="260"/>
      <c r="P8" s="260">
        <v>4445000</v>
      </c>
      <c r="Q8" s="260">
        <v>0</v>
      </c>
      <c r="R8" s="258">
        <f aca="true" t="shared" si="3" ref="R8:R26">SUM(O8:Q8)</f>
        <v>4445000</v>
      </c>
    </row>
    <row r="9" spans="1:18" ht="40.5" customHeight="1">
      <c r="A9" s="264" t="s">
        <v>381</v>
      </c>
      <c r="B9" s="323">
        <f>6278400+312000</f>
        <v>6590400</v>
      </c>
      <c r="C9" s="323">
        <f>1098720+101400</f>
        <v>1200120</v>
      </c>
      <c r="D9" s="323">
        <f>4752720-100000</f>
        <v>4652720</v>
      </c>
      <c r="E9" s="260"/>
      <c r="F9" s="260"/>
      <c r="G9" s="260"/>
      <c r="H9" s="258">
        <f t="shared" si="0"/>
        <v>12443240</v>
      </c>
      <c r="I9" s="260"/>
      <c r="J9" s="323"/>
      <c r="K9" s="260"/>
      <c r="L9" s="260"/>
      <c r="M9" s="259">
        <f t="shared" si="1"/>
        <v>0</v>
      </c>
      <c r="N9" s="259">
        <f t="shared" si="2"/>
        <v>12443240</v>
      </c>
      <c r="O9" s="260"/>
      <c r="P9" s="260">
        <v>12443240</v>
      </c>
      <c r="Q9" s="260"/>
      <c r="R9" s="258">
        <f t="shared" si="3"/>
        <v>12443240</v>
      </c>
    </row>
    <row r="10" spans="1:18" ht="31.5" customHeight="1">
      <c r="A10" s="264" t="s">
        <v>382</v>
      </c>
      <c r="B10" s="323"/>
      <c r="C10" s="323"/>
      <c r="D10" s="323">
        <v>393500</v>
      </c>
      <c r="E10" s="260"/>
      <c r="F10" s="260"/>
      <c r="G10" s="260"/>
      <c r="H10" s="258">
        <f t="shared" si="0"/>
        <v>393500</v>
      </c>
      <c r="I10" s="260"/>
      <c r="J10" s="260"/>
      <c r="K10" s="260"/>
      <c r="L10" s="260"/>
      <c r="M10" s="259">
        <f t="shared" si="1"/>
        <v>0</v>
      </c>
      <c r="N10" s="259">
        <f t="shared" si="2"/>
        <v>393500</v>
      </c>
      <c r="O10" s="260"/>
      <c r="P10" s="260">
        <v>393500</v>
      </c>
      <c r="Q10" s="260"/>
      <c r="R10" s="258">
        <f t="shared" si="3"/>
        <v>393500</v>
      </c>
    </row>
    <row r="11" spans="1:18" ht="29.25" customHeight="1">
      <c r="A11" s="264" t="s">
        <v>463</v>
      </c>
      <c r="B11" s="323"/>
      <c r="C11" s="323"/>
      <c r="D11" s="323">
        <f>1340000-110000</f>
        <v>1230000</v>
      </c>
      <c r="E11" s="260"/>
      <c r="F11" s="260"/>
      <c r="G11" s="260"/>
      <c r="H11" s="258">
        <f t="shared" si="0"/>
        <v>1230000</v>
      </c>
      <c r="I11" s="260"/>
      <c r="J11" s="260"/>
      <c r="K11" s="260"/>
      <c r="L11" s="260"/>
      <c r="M11" s="259">
        <f t="shared" si="1"/>
        <v>0</v>
      </c>
      <c r="N11" s="259">
        <f t="shared" si="2"/>
        <v>1230000</v>
      </c>
      <c r="O11" s="260"/>
      <c r="P11" s="260"/>
      <c r="Q11" s="260">
        <v>1230000</v>
      </c>
      <c r="R11" s="258">
        <f t="shared" si="3"/>
        <v>1230000</v>
      </c>
    </row>
    <row r="12" spans="1:18" s="61" customFormat="1" ht="42" customHeight="1">
      <c r="A12" s="331" t="s">
        <v>383</v>
      </c>
      <c r="B12" s="324"/>
      <c r="C12" s="324"/>
      <c r="D12" s="324">
        <v>400000</v>
      </c>
      <c r="E12" s="325"/>
      <c r="F12" s="325"/>
      <c r="G12" s="325"/>
      <c r="H12" s="326">
        <f t="shared" si="0"/>
        <v>400000</v>
      </c>
      <c r="I12" s="324"/>
      <c r="J12" s="325"/>
      <c r="K12" s="325"/>
      <c r="L12" s="325"/>
      <c r="M12" s="326">
        <f t="shared" si="1"/>
        <v>0</v>
      </c>
      <c r="N12" s="326">
        <f t="shared" si="2"/>
        <v>400000</v>
      </c>
      <c r="O12" s="325"/>
      <c r="P12" s="325"/>
      <c r="Q12" s="325">
        <v>400000</v>
      </c>
      <c r="R12" s="326">
        <f t="shared" si="3"/>
        <v>400000</v>
      </c>
    </row>
    <row r="13" spans="1:18" ht="40.5" customHeight="1">
      <c r="A13" s="264" t="s">
        <v>384</v>
      </c>
      <c r="B13" s="323"/>
      <c r="C13" s="323"/>
      <c r="D13" s="323">
        <v>200000</v>
      </c>
      <c r="E13" s="260"/>
      <c r="F13" s="260"/>
      <c r="G13" s="260"/>
      <c r="H13" s="258">
        <f t="shared" si="0"/>
        <v>200000</v>
      </c>
      <c r="I13" s="260"/>
      <c r="J13" s="260"/>
      <c r="K13" s="260"/>
      <c r="L13" s="260"/>
      <c r="M13" s="259">
        <f t="shared" si="1"/>
        <v>0</v>
      </c>
      <c r="N13" s="259">
        <f t="shared" si="2"/>
        <v>200000</v>
      </c>
      <c r="O13" s="260"/>
      <c r="P13" s="260"/>
      <c r="Q13" s="260">
        <v>200000</v>
      </c>
      <c r="R13" s="258">
        <f t="shared" si="3"/>
        <v>200000</v>
      </c>
    </row>
    <row r="14" spans="1:18" ht="18.75" customHeight="1">
      <c r="A14" s="264" t="s">
        <v>516</v>
      </c>
      <c r="B14" s="323"/>
      <c r="C14" s="323"/>
      <c r="D14" s="323"/>
      <c r="E14" s="260"/>
      <c r="F14" s="260"/>
      <c r="G14" s="260"/>
      <c r="H14" s="258">
        <f t="shared" si="0"/>
        <v>0</v>
      </c>
      <c r="I14" s="260"/>
      <c r="J14" s="260"/>
      <c r="K14" s="260"/>
      <c r="L14" s="260"/>
      <c r="M14" s="259">
        <f t="shared" si="1"/>
        <v>0</v>
      </c>
      <c r="N14" s="259">
        <f t="shared" si="2"/>
        <v>0</v>
      </c>
      <c r="O14" s="260"/>
      <c r="P14" s="260"/>
      <c r="Q14" s="260"/>
      <c r="R14" s="258">
        <f t="shared" si="3"/>
        <v>0</v>
      </c>
    </row>
    <row r="15" spans="1:18" s="61" customFormat="1" ht="42" customHeight="1">
      <c r="A15" s="331" t="s">
        <v>462</v>
      </c>
      <c r="B15" s="324"/>
      <c r="C15" s="324"/>
      <c r="D15" s="324">
        <f>7000000+1008044</f>
        <v>8008044</v>
      </c>
      <c r="E15" s="325"/>
      <c r="F15" s="325"/>
      <c r="G15" s="325"/>
      <c r="H15" s="326">
        <f t="shared" si="0"/>
        <v>8008044</v>
      </c>
      <c r="I15" s="325"/>
      <c r="J15" s="325"/>
      <c r="K15" s="325"/>
      <c r="L15" s="325"/>
      <c r="M15" s="326">
        <f t="shared" si="1"/>
        <v>0</v>
      </c>
      <c r="N15" s="326">
        <f t="shared" si="2"/>
        <v>8008044</v>
      </c>
      <c r="O15" s="325"/>
      <c r="P15" s="325">
        <v>8008044</v>
      </c>
      <c r="Q15" s="325"/>
      <c r="R15" s="326">
        <f t="shared" si="3"/>
        <v>8008044</v>
      </c>
    </row>
    <row r="16" spans="1:18" s="58" customFormat="1" ht="44.25" customHeight="1">
      <c r="A16" s="266" t="s">
        <v>385</v>
      </c>
      <c r="B16" s="261">
        <f>SUM(B7:B15)</f>
        <v>6590400</v>
      </c>
      <c r="C16" s="261">
        <f aca="true" t="shared" si="4" ref="C16:M16">SUM(C7:C15)</f>
        <v>1200120</v>
      </c>
      <c r="D16" s="261">
        <f t="shared" si="4"/>
        <v>25665144</v>
      </c>
      <c r="E16" s="261">
        <f t="shared" si="4"/>
        <v>0</v>
      </c>
      <c r="F16" s="261">
        <f t="shared" si="4"/>
        <v>0</v>
      </c>
      <c r="G16" s="261"/>
      <c r="H16" s="258">
        <f t="shared" si="0"/>
        <v>33455664</v>
      </c>
      <c r="I16" s="261">
        <f t="shared" si="4"/>
        <v>5950816</v>
      </c>
      <c r="J16" s="261">
        <f t="shared" si="4"/>
        <v>0</v>
      </c>
      <c r="K16" s="261">
        <f t="shared" si="4"/>
        <v>0</v>
      </c>
      <c r="L16" s="261">
        <f t="shared" si="4"/>
        <v>0</v>
      </c>
      <c r="M16" s="261">
        <f t="shared" si="4"/>
        <v>5950816</v>
      </c>
      <c r="N16" s="261">
        <f>SUM(N7:N15)</f>
        <v>39406480</v>
      </c>
      <c r="O16" s="261">
        <f>SUM(O7:O15)</f>
        <v>0</v>
      </c>
      <c r="P16" s="261">
        <v>38026480</v>
      </c>
      <c r="Q16" s="261">
        <f>SUM(Q7:Q15)</f>
        <v>1830000</v>
      </c>
      <c r="R16" s="258">
        <f>SUM(R7:R15)</f>
        <v>39406480</v>
      </c>
    </row>
    <row r="17" spans="1:18" ht="41.25" customHeight="1">
      <c r="A17" s="331" t="s">
        <v>386</v>
      </c>
      <c r="B17" s="323">
        <v>5056728</v>
      </c>
      <c r="C17" s="323">
        <v>884927</v>
      </c>
      <c r="D17" s="323">
        <v>209545</v>
      </c>
      <c r="E17" s="260"/>
      <c r="F17" s="260"/>
      <c r="G17" s="260"/>
      <c r="H17" s="258">
        <f t="shared" si="0"/>
        <v>6151200</v>
      </c>
      <c r="I17" s="260"/>
      <c r="J17" s="260"/>
      <c r="K17" s="260"/>
      <c r="L17" s="260"/>
      <c r="M17" s="259">
        <f t="shared" si="1"/>
        <v>0</v>
      </c>
      <c r="N17" s="259">
        <f t="shared" si="2"/>
        <v>6151200</v>
      </c>
      <c r="O17" s="260"/>
      <c r="P17" s="260">
        <v>6151200</v>
      </c>
      <c r="Q17" s="260"/>
      <c r="R17" s="258">
        <f t="shared" si="3"/>
        <v>6151200</v>
      </c>
    </row>
    <row r="18" spans="1:18" ht="32.25" customHeight="1">
      <c r="A18" s="331" t="s">
        <v>388</v>
      </c>
      <c r="B18" s="323"/>
      <c r="C18" s="323"/>
      <c r="D18" s="323">
        <v>145200</v>
      </c>
      <c r="E18" s="260"/>
      <c r="F18" s="260"/>
      <c r="G18" s="260"/>
      <c r="H18" s="258">
        <f t="shared" si="0"/>
        <v>145200</v>
      </c>
      <c r="I18" s="260"/>
      <c r="J18" s="260"/>
      <c r="K18" s="260"/>
      <c r="L18" s="260"/>
      <c r="M18" s="259">
        <f t="shared" si="1"/>
        <v>0</v>
      </c>
      <c r="N18" s="259">
        <f t="shared" si="2"/>
        <v>145200</v>
      </c>
      <c r="O18" s="260"/>
      <c r="P18" s="260">
        <v>145200</v>
      </c>
      <c r="Q18" s="260"/>
      <c r="R18" s="258">
        <f t="shared" si="3"/>
        <v>145200</v>
      </c>
    </row>
    <row r="19" spans="1:18" ht="32.25" customHeight="1">
      <c r="A19" s="331" t="s">
        <v>387</v>
      </c>
      <c r="B19" s="323"/>
      <c r="C19" s="323"/>
      <c r="D19" s="323">
        <v>1000000</v>
      </c>
      <c r="E19" s="260"/>
      <c r="F19" s="260"/>
      <c r="G19" s="260"/>
      <c r="H19" s="258">
        <f t="shared" si="0"/>
        <v>1000000</v>
      </c>
      <c r="I19" s="260"/>
      <c r="J19" s="260"/>
      <c r="K19" s="260"/>
      <c r="L19" s="260"/>
      <c r="M19" s="259">
        <f t="shared" si="1"/>
        <v>0</v>
      </c>
      <c r="N19" s="259">
        <f t="shared" si="2"/>
        <v>1000000</v>
      </c>
      <c r="O19" s="260"/>
      <c r="P19" s="260">
        <v>1000000</v>
      </c>
      <c r="Q19" s="260"/>
      <c r="R19" s="258">
        <f t="shared" si="3"/>
        <v>1000000</v>
      </c>
    </row>
    <row r="20" spans="1:18" ht="32.25" customHeight="1">
      <c r="A20" s="331" t="s">
        <v>389</v>
      </c>
      <c r="B20" s="323"/>
      <c r="C20" s="323"/>
      <c r="D20" s="323">
        <v>520000</v>
      </c>
      <c r="E20" s="260"/>
      <c r="F20" s="260"/>
      <c r="G20" s="260"/>
      <c r="H20" s="258">
        <f t="shared" si="0"/>
        <v>520000</v>
      </c>
      <c r="I20" s="260"/>
      <c r="J20" s="260"/>
      <c r="K20" s="260"/>
      <c r="L20" s="260"/>
      <c r="M20" s="259">
        <f t="shared" si="1"/>
        <v>0</v>
      </c>
      <c r="N20" s="259">
        <f t="shared" si="2"/>
        <v>520000</v>
      </c>
      <c r="O20" s="260"/>
      <c r="P20" s="260">
        <v>520000</v>
      </c>
      <c r="Q20" s="260"/>
      <c r="R20" s="258">
        <f t="shared" si="3"/>
        <v>520000</v>
      </c>
    </row>
    <row r="21" spans="1:18" s="58" customFormat="1" ht="25.5" customHeight="1">
      <c r="A21" s="266" t="s">
        <v>390</v>
      </c>
      <c r="B21" s="327">
        <f>SUM(B17:B20)</f>
        <v>5056728</v>
      </c>
      <c r="C21" s="327">
        <f>SUM(C17:C20)</f>
        <v>884927</v>
      </c>
      <c r="D21" s="327">
        <f aca="true" t="shared" si="5" ref="D21:Q21">SUM(D17:D20)</f>
        <v>1874745</v>
      </c>
      <c r="E21" s="261">
        <f t="shared" si="5"/>
        <v>0</v>
      </c>
      <c r="F21" s="261">
        <f t="shared" si="5"/>
        <v>0</v>
      </c>
      <c r="G21" s="261"/>
      <c r="H21" s="258">
        <f t="shared" si="0"/>
        <v>7816400</v>
      </c>
      <c r="I21" s="261">
        <f t="shared" si="5"/>
        <v>0</v>
      </c>
      <c r="J21" s="261">
        <f t="shared" si="5"/>
        <v>0</v>
      </c>
      <c r="K21" s="261">
        <f t="shared" si="5"/>
        <v>0</v>
      </c>
      <c r="L21" s="261">
        <f t="shared" si="5"/>
        <v>0</v>
      </c>
      <c r="M21" s="261">
        <f t="shared" si="5"/>
        <v>0</v>
      </c>
      <c r="N21" s="261">
        <f t="shared" si="5"/>
        <v>7816400</v>
      </c>
      <c r="O21" s="261">
        <f t="shared" si="5"/>
        <v>0</v>
      </c>
      <c r="P21" s="261">
        <f t="shared" si="5"/>
        <v>7816400</v>
      </c>
      <c r="Q21" s="261">
        <f t="shared" si="5"/>
        <v>0</v>
      </c>
      <c r="R21" s="258">
        <f t="shared" si="3"/>
        <v>7816400</v>
      </c>
    </row>
    <row r="22" spans="1:18" ht="19.5" customHeight="1">
      <c r="A22" s="264" t="s">
        <v>391</v>
      </c>
      <c r="B22" s="260"/>
      <c r="C22" s="260"/>
      <c r="D22" s="260"/>
      <c r="E22" s="260"/>
      <c r="F22" s="260"/>
      <c r="G22" s="260"/>
      <c r="H22" s="258">
        <f t="shared" si="0"/>
        <v>0</v>
      </c>
      <c r="I22" s="260"/>
      <c r="J22" s="260"/>
      <c r="K22" s="260"/>
      <c r="L22" s="260"/>
      <c r="M22" s="259">
        <f t="shared" si="1"/>
        <v>0</v>
      </c>
      <c r="N22" s="259">
        <f t="shared" si="2"/>
        <v>0</v>
      </c>
      <c r="O22" s="260"/>
      <c r="P22" s="260"/>
      <c r="Q22" s="260"/>
      <c r="R22" s="258">
        <f t="shared" si="3"/>
        <v>0</v>
      </c>
    </row>
    <row r="23" spans="1:18" ht="50.25" customHeight="1">
      <c r="A23" s="264" t="s">
        <v>464</v>
      </c>
      <c r="B23" s="260"/>
      <c r="C23" s="260"/>
      <c r="D23" s="260"/>
      <c r="E23" s="323"/>
      <c r="F23" s="323">
        <v>4318722</v>
      </c>
      <c r="G23" s="328"/>
      <c r="H23" s="258">
        <f t="shared" si="0"/>
        <v>4318722</v>
      </c>
      <c r="I23" s="260"/>
      <c r="J23" s="260"/>
      <c r="K23" s="260"/>
      <c r="L23" s="260"/>
      <c r="M23" s="259">
        <f t="shared" si="1"/>
        <v>0</v>
      </c>
      <c r="N23" s="259">
        <f t="shared" si="2"/>
        <v>4318722</v>
      </c>
      <c r="O23" s="260"/>
      <c r="P23" s="260">
        <v>4318722</v>
      </c>
      <c r="Q23" s="260"/>
      <c r="R23" s="258">
        <f t="shared" si="3"/>
        <v>4318722</v>
      </c>
    </row>
    <row r="24" spans="1:18" ht="27" customHeight="1">
      <c r="A24" s="264" t="s">
        <v>393</v>
      </c>
      <c r="B24" s="260"/>
      <c r="C24" s="260"/>
      <c r="D24" s="260"/>
      <c r="E24" s="323">
        <v>1800000</v>
      </c>
      <c r="F24" s="323"/>
      <c r="G24" s="260"/>
      <c r="H24" s="258">
        <f t="shared" si="0"/>
        <v>1800000</v>
      </c>
      <c r="I24" s="260"/>
      <c r="J24" s="260"/>
      <c r="K24" s="260"/>
      <c r="L24" s="260"/>
      <c r="M24" s="259">
        <f t="shared" si="1"/>
        <v>0</v>
      </c>
      <c r="N24" s="259">
        <f t="shared" si="2"/>
        <v>1800000</v>
      </c>
      <c r="O24" s="260"/>
      <c r="P24" s="260">
        <v>1800000</v>
      </c>
      <c r="Q24" s="260"/>
      <c r="R24" s="258">
        <f t="shared" si="3"/>
        <v>1800000</v>
      </c>
    </row>
    <row r="25" spans="1:18" ht="39" customHeight="1">
      <c r="A25" s="264" t="s">
        <v>394</v>
      </c>
      <c r="B25" s="260"/>
      <c r="C25" s="260"/>
      <c r="D25" s="260"/>
      <c r="E25" s="323">
        <f>5760000-560000</f>
        <v>5200000</v>
      </c>
      <c r="F25" s="323">
        <v>560000</v>
      </c>
      <c r="G25" s="328"/>
      <c r="H25" s="258">
        <f t="shared" si="0"/>
        <v>5760000</v>
      </c>
      <c r="I25" s="260"/>
      <c r="J25" s="260"/>
      <c r="K25" s="260"/>
      <c r="L25" s="260"/>
      <c r="M25" s="259">
        <f t="shared" si="1"/>
        <v>0</v>
      </c>
      <c r="N25" s="259">
        <f t="shared" si="2"/>
        <v>5760000</v>
      </c>
      <c r="O25" s="260"/>
      <c r="P25" s="260">
        <v>5760000</v>
      </c>
      <c r="Q25" s="260"/>
      <c r="R25" s="258">
        <f t="shared" si="3"/>
        <v>5760000</v>
      </c>
    </row>
    <row r="26" spans="1:18" ht="29.25" customHeight="1">
      <c r="A26" s="264" t="s">
        <v>407</v>
      </c>
      <c r="B26" s="260"/>
      <c r="C26" s="260"/>
      <c r="D26" s="260"/>
      <c r="E26" s="323"/>
      <c r="F26" s="323">
        <v>549420</v>
      </c>
      <c r="G26" s="328"/>
      <c r="H26" s="258">
        <f t="shared" si="0"/>
        <v>549420</v>
      </c>
      <c r="I26" s="260"/>
      <c r="J26" s="260"/>
      <c r="K26" s="260"/>
      <c r="L26" s="260"/>
      <c r="M26" s="259">
        <f t="shared" si="1"/>
        <v>0</v>
      </c>
      <c r="N26" s="259">
        <f t="shared" si="2"/>
        <v>549420</v>
      </c>
      <c r="O26" s="260"/>
      <c r="P26" s="260">
        <v>549420</v>
      </c>
      <c r="Q26" s="260"/>
      <c r="R26" s="258">
        <f t="shared" si="3"/>
        <v>549420</v>
      </c>
    </row>
    <row r="27" spans="1:18" s="58" customFormat="1" ht="24" customHeight="1">
      <c r="A27" s="266" t="s">
        <v>402</v>
      </c>
      <c r="B27" s="258">
        <f>SUM(B22:B25)</f>
        <v>0</v>
      </c>
      <c r="C27" s="258">
        <f>SUM(C22:C25)</f>
        <v>0</v>
      </c>
      <c r="D27" s="258">
        <f aca="true" t="shared" si="6" ref="D27:L27">SUM(D22:D25)</f>
        <v>0</v>
      </c>
      <c r="E27" s="258">
        <f t="shared" si="6"/>
        <v>7000000</v>
      </c>
      <c r="F27" s="258">
        <f>SUM(F22:F26)</f>
        <v>5428142</v>
      </c>
      <c r="G27" s="258"/>
      <c r="H27" s="258">
        <f>SUM(B27:G27)</f>
        <v>12428142</v>
      </c>
      <c r="I27" s="258">
        <f t="shared" si="6"/>
        <v>0</v>
      </c>
      <c r="J27" s="258">
        <f t="shared" si="6"/>
        <v>0</v>
      </c>
      <c r="K27" s="258">
        <f t="shared" si="6"/>
        <v>0</v>
      </c>
      <c r="L27" s="258">
        <f t="shared" si="6"/>
        <v>0</v>
      </c>
      <c r="M27" s="258">
        <f>SUM(M22:M25)</f>
        <v>0</v>
      </c>
      <c r="N27" s="258">
        <f>SUM(N22:N26)</f>
        <v>12428142</v>
      </c>
      <c r="O27" s="258">
        <f>SUM(O22:O26)</f>
        <v>0</v>
      </c>
      <c r="P27" s="258">
        <f>SUM(P22:P26)</f>
        <v>12428142</v>
      </c>
      <c r="Q27" s="258">
        <f>SUM(Q22:Q26)</f>
        <v>0</v>
      </c>
      <c r="R27" s="258">
        <f>SUM(R22:R26)</f>
        <v>12428142</v>
      </c>
    </row>
    <row r="28" spans="1:18" s="61" customFormat="1" ht="37.5" customHeight="1">
      <c r="A28" s="331" t="s">
        <v>460</v>
      </c>
      <c r="B28" s="324">
        <v>2527200</v>
      </c>
      <c r="C28" s="324">
        <v>442260</v>
      </c>
      <c r="D28" s="324">
        <v>2500000</v>
      </c>
      <c r="E28" s="325"/>
      <c r="F28" s="325"/>
      <c r="G28" s="325"/>
      <c r="H28" s="326">
        <f>SUM(B28:G28)</f>
        <v>5469460</v>
      </c>
      <c r="I28" s="324"/>
      <c r="J28" s="325"/>
      <c r="K28" s="325"/>
      <c r="L28" s="325"/>
      <c r="M28" s="326">
        <f t="shared" si="1"/>
        <v>0</v>
      </c>
      <c r="N28" s="326">
        <f t="shared" si="2"/>
        <v>5469460</v>
      </c>
      <c r="O28" s="325"/>
      <c r="P28" s="325">
        <v>5469460</v>
      </c>
      <c r="Q28" s="325"/>
      <c r="R28" s="326">
        <f>SUM(O28:Q28)</f>
        <v>5469460</v>
      </c>
    </row>
    <row r="29" spans="1:18" s="61" customFormat="1" ht="24" customHeight="1">
      <c r="A29" s="331" t="s">
        <v>396</v>
      </c>
      <c r="B29" s="324"/>
      <c r="C29" s="324"/>
      <c r="D29" s="325">
        <v>2500000</v>
      </c>
      <c r="E29" s="325"/>
      <c r="F29" s="325"/>
      <c r="G29" s="325"/>
      <c r="H29" s="326">
        <f t="shared" si="0"/>
        <v>2500000</v>
      </c>
      <c r="I29" s="325"/>
      <c r="J29" s="325"/>
      <c r="K29" s="325"/>
      <c r="L29" s="325"/>
      <c r="M29" s="326">
        <f t="shared" si="1"/>
        <v>0</v>
      </c>
      <c r="N29" s="326">
        <f t="shared" si="2"/>
        <v>2500000</v>
      </c>
      <c r="O29" s="325"/>
      <c r="P29" s="325"/>
      <c r="Q29" s="325">
        <v>2500000</v>
      </c>
      <c r="R29" s="326">
        <f>SUM(O29:Q29)</f>
        <v>2500000</v>
      </c>
    </row>
    <row r="30" spans="1:18" s="61" customFormat="1" ht="24" customHeight="1">
      <c r="A30" s="331" t="s">
        <v>397</v>
      </c>
      <c r="B30" s="324"/>
      <c r="C30" s="324"/>
      <c r="D30" s="324"/>
      <c r="E30" s="325"/>
      <c r="F30" s="325"/>
      <c r="G30" s="325"/>
      <c r="H30" s="326">
        <f t="shared" si="0"/>
        <v>0</v>
      </c>
      <c r="I30" s="325"/>
      <c r="J30" s="325"/>
      <c r="K30" s="325">
        <v>1358080</v>
      </c>
      <c r="L30" s="325"/>
      <c r="M30" s="326">
        <f t="shared" si="1"/>
        <v>1358080</v>
      </c>
      <c r="N30" s="326">
        <f t="shared" si="2"/>
        <v>1358080</v>
      </c>
      <c r="O30" s="325"/>
      <c r="P30" s="325"/>
      <c r="Q30" s="325">
        <v>1358080</v>
      </c>
      <c r="R30" s="326">
        <f>SUM(O30:Q30)</f>
        <v>1358080</v>
      </c>
    </row>
    <row r="31" spans="1:18" s="58" customFormat="1" ht="12.75">
      <c r="A31" s="266" t="s">
        <v>398</v>
      </c>
      <c r="B31" s="261">
        <f>SUM(B28:B30)</f>
        <v>2527200</v>
      </c>
      <c r="C31" s="261">
        <f aca="true" t="shared" si="7" ref="C31:L31">SUM(C28:C30)</f>
        <v>442260</v>
      </c>
      <c r="D31" s="261">
        <f t="shared" si="7"/>
        <v>5000000</v>
      </c>
      <c r="E31" s="261">
        <f t="shared" si="7"/>
        <v>0</v>
      </c>
      <c r="F31" s="261">
        <f t="shared" si="7"/>
        <v>0</v>
      </c>
      <c r="G31" s="261"/>
      <c r="H31" s="258">
        <f>SUM(B31:G31)</f>
        <v>7969460</v>
      </c>
      <c r="I31" s="261">
        <f>SUM(I28:I30)</f>
        <v>0</v>
      </c>
      <c r="J31" s="261">
        <f t="shared" si="7"/>
        <v>0</v>
      </c>
      <c r="K31" s="261">
        <f t="shared" si="7"/>
        <v>1358080</v>
      </c>
      <c r="L31" s="261">
        <f t="shared" si="7"/>
        <v>0</v>
      </c>
      <c r="M31" s="261">
        <f aca="true" t="shared" si="8" ref="M31:R31">SUM(M28:M30)</f>
        <v>1358080</v>
      </c>
      <c r="N31" s="261">
        <f t="shared" si="8"/>
        <v>9327540</v>
      </c>
      <c r="O31" s="261">
        <f t="shared" si="8"/>
        <v>0</v>
      </c>
      <c r="P31" s="261">
        <f t="shared" si="8"/>
        <v>5469460</v>
      </c>
      <c r="Q31" s="261">
        <f t="shared" si="8"/>
        <v>3858080</v>
      </c>
      <c r="R31" s="261">
        <f t="shared" si="8"/>
        <v>9327540</v>
      </c>
    </row>
    <row r="32" spans="1:18" s="58" customFormat="1" ht="21">
      <c r="A32" s="332" t="s">
        <v>399</v>
      </c>
      <c r="B32" s="261"/>
      <c r="C32" s="261"/>
      <c r="D32" s="261"/>
      <c r="E32" s="261"/>
      <c r="F32" s="327">
        <v>1600000</v>
      </c>
      <c r="G32" s="329"/>
      <c r="H32" s="258">
        <f t="shared" si="0"/>
        <v>1600000</v>
      </c>
      <c r="I32" s="261"/>
      <c r="J32" s="261"/>
      <c r="K32" s="261"/>
      <c r="L32" s="261"/>
      <c r="M32" s="258">
        <f t="shared" si="1"/>
        <v>0</v>
      </c>
      <c r="N32" s="258">
        <f t="shared" si="2"/>
        <v>1600000</v>
      </c>
      <c r="O32" s="261"/>
      <c r="P32" s="261"/>
      <c r="Q32" s="261">
        <v>1600000</v>
      </c>
      <c r="R32" s="258">
        <f>SUM(O32:Q32)</f>
        <v>1600000</v>
      </c>
    </row>
    <row r="33" spans="1:18" s="58" customFormat="1" ht="12.75">
      <c r="A33" s="266" t="s">
        <v>400</v>
      </c>
      <c r="B33" s="327">
        <f>27543000+3000000</f>
        <v>30543000</v>
      </c>
      <c r="C33" s="327">
        <f>4820025+687409</f>
        <v>5507434</v>
      </c>
      <c r="D33" s="327">
        <v>3236302</v>
      </c>
      <c r="E33" s="327"/>
      <c r="F33" s="327"/>
      <c r="G33" s="327"/>
      <c r="H33" s="258">
        <f t="shared" si="0"/>
        <v>39286736</v>
      </c>
      <c r="I33" s="261"/>
      <c r="J33" s="261"/>
      <c r="K33" s="261"/>
      <c r="L33" s="261"/>
      <c r="M33" s="258"/>
      <c r="N33" s="258">
        <f t="shared" si="2"/>
        <v>39286736</v>
      </c>
      <c r="O33" s="261"/>
      <c r="P33" s="261"/>
      <c r="Q33" s="261">
        <v>39286736</v>
      </c>
      <c r="R33" s="258">
        <f>SUM(O33:Q33)</f>
        <v>39286736</v>
      </c>
    </row>
    <row r="34" spans="1:18" s="58" customFormat="1" ht="21">
      <c r="A34" s="267" t="s">
        <v>415</v>
      </c>
      <c r="B34" s="327"/>
      <c r="C34" s="327"/>
      <c r="D34" s="327"/>
      <c r="E34" s="327"/>
      <c r="F34" s="327"/>
      <c r="G34" s="327"/>
      <c r="H34" s="258">
        <f t="shared" si="0"/>
        <v>0</v>
      </c>
      <c r="I34" s="261"/>
      <c r="J34" s="261"/>
      <c r="K34" s="261"/>
      <c r="L34" s="261"/>
      <c r="M34" s="258">
        <f t="shared" si="1"/>
        <v>0</v>
      </c>
      <c r="N34" s="258">
        <f t="shared" si="2"/>
        <v>0</v>
      </c>
      <c r="O34" s="261"/>
      <c r="P34" s="261"/>
      <c r="Q34" s="261"/>
      <c r="R34" s="258">
        <f>SUM(O34:Q34)</f>
        <v>0</v>
      </c>
    </row>
    <row r="35" spans="1:18" s="58" customFormat="1" ht="12.75">
      <c r="A35" s="270" t="s">
        <v>533</v>
      </c>
      <c r="B35" s="330"/>
      <c r="C35" s="330"/>
      <c r="D35" s="330">
        <v>7253080</v>
      </c>
      <c r="E35" s="330"/>
      <c r="F35" s="330"/>
      <c r="G35" s="330"/>
      <c r="H35" s="258">
        <f t="shared" si="0"/>
        <v>7253080</v>
      </c>
      <c r="I35" s="327">
        <v>35711962</v>
      </c>
      <c r="J35" s="261"/>
      <c r="K35" s="261"/>
      <c r="L35" s="261"/>
      <c r="M35" s="258">
        <f t="shared" si="1"/>
        <v>35711962</v>
      </c>
      <c r="N35" s="258">
        <f t="shared" si="2"/>
        <v>42965042</v>
      </c>
      <c r="O35" s="271"/>
      <c r="P35" s="271">
        <v>42965042</v>
      </c>
      <c r="Q35" s="271"/>
      <c r="R35" s="258">
        <f>SUM(O35:Q35)</f>
        <v>42965042</v>
      </c>
    </row>
    <row r="36" spans="1:18" s="58" customFormat="1" ht="12.75">
      <c r="A36" s="270" t="s">
        <v>534</v>
      </c>
      <c r="B36" s="330">
        <f>125250+125250</f>
        <v>250500</v>
      </c>
      <c r="C36" s="330">
        <f>21919+21919</f>
        <v>43838</v>
      </c>
      <c r="D36" s="330">
        <v>4562479</v>
      </c>
      <c r="E36" s="330"/>
      <c r="F36" s="330"/>
      <c r="G36" s="330"/>
      <c r="H36" s="258">
        <f t="shared" si="0"/>
        <v>4856817</v>
      </c>
      <c r="I36" s="330">
        <f>112449375-20000000</f>
        <v>92449375</v>
      </c>
      <c r="J36" s="261"/>
      <c r="K36" s="261"/>
      <c r="L36" s="261"/>
      <c r="M36" s="258">
        <f t="shared" si="1"/>
        <v>92449375</v>
      </c>
      <c r="N36" s="258">
        <f aca="true" t="shared" si="9" ref="N36:N45">H36+M36</f>
        <v>97306192</v>
      </c>
      <c r="O36" s="271"/>
      <c r="P36" s="271">
        <v>97306192</v>
      </c>
      <c r="Q36" s="271"/>
      <c r="R36" s="258">
        <f aca="true" t="shared" si="10" ref="R36:R44">SUM(O36:Q36)</f>
        <v>97306192</v>
      </c>
    </row>
    <row r="37" spans="1:18" s="58" customFormat="1" ht="12.75">
      <c r="A37" s="270" t="s">
        <v>535</v>
      </c>
      <c r="B37" s="330"/>
      <c r="C37" s="330"/>
      <c r="D37" s="330">
        <v>651400</v>
      </c>
      <c r="E37" s="330"/>
      <c r="F37" s="330"/>
      <c r="G37" s="330"/>
      <c r="H37" s="258">
        <f t="shared" si="0"/>
        <v>651400</v>
      </c>
      <c r="I37" s="330"/>
      <c r="J37" s="261"/>
      <c r="K37" s="261"/>
      <c r="L37" s="261"/>
      <c r="M37" s="258">
        <f t="shared" si="1"/>
        <v>0</v>
      </c>
      <c r="N37" s="258">
        <f t="shared" si="9"/>
        <v>651400</v>
      </c>
      <c r="O37" s="271"/>
      <c r="P37" s="271"/>
      <c r="Q37" s="271">
        <v>651400</v>
      </c>
      <c r="R37" s="258">
        <f t="shared" si="10"/>
        <v>651400</v>
      </c>
    </row>
    <row r="38" spans="1:18" s="58" customFormat="1" ht="12.75">
      <c r="A38" s="270" t="s">
        <v>536</v>
      </c>
      <c r="B38" s="330">
        <f>840000+1560000</f>
        <v>2400000</v>
      </c>
      <c r="C38" s="330">
        <f>147000+273000</f>
        <v>420000</v>
      </c>
      <c r="D38" s="330">
        <v>3530435</v>
      </c>
      <c r="E38" s="330"/>
      <c r="F38" s="330"/>
      <c r="G38" s="330">
        <v>709395</v>
      </c>
      <c r="H38" s="258">
        <f t="shared" si="0"/>
        <v>7059830</v>
      </c>
      <c r="I38" s="330">
        <v>135436000</v>
      </c>
      <c r="J38" s="261"/>
      <c r="K38" s="261"/>
      <c r="L38" s="261"/>
      <c r="M38" s="258">
        <f t="shared" si="1"/>
        <v>135436000</v>
      </c>
      <c r="N38" s="258">
        <f t="shared" si="9"/>
        <v>142495830</v>
      </c>
      <c r="O38" s="271"/>
      <c r="P38" s="271"/>
      <c r="Q38" s="271">
        <f>141786435+709395</f>
        <v>142495830</v>
      </c>
      <c r="R38" s="258">
        <f t="shared" si="10"/>
        <v>142495830</v>
      </c>
    </row>
    <row r="39" spans="1:18" s="58" customFormat="1" ht="12.75">
      <c r="A39" s="270" t="s">
        <v>537</v>
      </c>
      <c r="B39" s="330"/>
      <c r="C39" s="330"/>
      <c r="D39" s="330"/>
      <c r="E39" s="330"/>
      <c r="F39" s="330"/>
      <c r="G39" s="330"/>
      <c r="H39" s="258">
        <f t="shared" si="0"/>
        <v>0</v>
      </c>
      <c r="I39" s="330">
        <v>271378625</v>
      </c>
      <c r="J39" s="261"/>
      <c r="K39" s="261"/>
      <c r="L39" s="261"/>
      <c r="M39" s="258">
        <f t="shared" si="1"/>
        <v>271378625</v>
      </c>
      <c r="N39" s="258">
        <f t="shared" si="9"/>
        <v>271378625</v>
      </c>
      <c r="O39" s="271"/>
      <c r="P39" s="271"/>
      <c r="Q39" s="271">
        <v>271378625</v>
      </c>
      <c r="R39" s="258">
        <f t="shared" si="10"/>
        <v>271378625</v>
      </c>
    </row>
    <row r="40" spans="1:18" s="58" customFormat="1" ht="12.75">
      <c r="A40" s="270" t="s">
        <v>538</v>
      </c>
      <c r="B40" s="330"/>
      <c r="C40" s="330"/>
      <c r="D40" s="330"/>
      <c r="E40" s="330"/>
      <c r="F40" s="330"/>
      <c r="G40" s="330"/>
      <c r="H40" s="258">
        <f t="shared" si="0"/>
        <v>0</v>
      </c>
      <c r="I40" s="330">
        <v>127000000</v>
      </c>
      <c r="J40" s="261"/>
      <c r="K40" s="261"/>
      <c r="L40" s="261"/>
      <c r="M40" s="258">
        <f t="shared" si="1"/>
        <v>127000000</v>
      </c>
      <c r="N40" s="258">
        <f t="shared" si="9"/>
        <v>127000000</v>
      </c>
      <c r="O40" s="271"/>
      <c r="P40" s="271"/>
      <c r="Q40" s="271">
        <v>127000000</v>
      </c>
      <c r="R40" s="258">
        <f t="shared" si="10"/>
        <v>127000000</v>
      </c>
    </row>
    <row r="41" spans="1:18" s="58" customFormat="1" ht="13.5" customHeight="1">
      <c r="A41" s="270" t="s">
        <v>539</v>
      </c>
      <c r="B41" s="330">
        <f>6480000+3240000</f>
        <v>9720000</v>
      </c>
      <c r="C41" s="330">
        <f>1134000+567000</f>
        <v>1701000</v>
      </c>
      <c r="D41" s="330">
        <v>15383741</v>
      </c>
      <c r="E41" s="330"/>
      <c r="F41" s="330"/>
      <c r="G41" s="330"/>
      <c r="H41" s="258">
        <f t="shared" si="0"/>
        <v>26804741</v>
      </c>
      <c r="I41" s="330"/>
      <c r="J41" s="261"/>
      <c r="K41" s="261"/>
      <c r="L41" s="261"/>
      <c r="M41" s="258">
        <f t="shared" si="1"/>
        <v>0</v>
      </c>
      <c r="N41" s="258">
        <f t="shared" si="9"/>
        <v>26804741</v>
      </c>
      <c r="O41" s="271"/>
      <c r="P41" s="271"/>
      <c r="Q41" s="271">
        <v>26804741</v>
      </c>
      <c r="R41" s="258">
        <f t="shared" si="10"/>
        <v>26804741</v>
      </c>
    </row>
    <row r="42" spans="1:18" s="58" customFormat="1" ht="12.75">
      <c r="A42" s="270" t="s">
        <v>540</v>
      </c>
      <c r="B42" s="330">
        <f>2040000+360000</f>
        <v>2400000</v>
      </c>
      <c r="C42" s="330">
        <f>357000+63000</f>
        <v>420000</v>
      </c>
      <c r="D42" s="330">
        <v>10094304</v>
      </c>
      <c r="E42" s="330"/>
      <c r="F42" s="330"/>
      <c r="G42" s="330"/>
      <c r="H42" s="258">
        <f t="shared" si="0"/>
        <v>12914304</v>
      </c>
      <c r="I42" s="330"/>
      <c r="J42" s="261"/>
      <c r="K42" s="261"/>
      <c r="L42" s="261"/>
      <c r="M42" s="258">
        <f t="shared" si="1"/>
        <v>0</v>
      </c>
      <c r="N42" s="258">
        <f t="shared" si="9"/>
        <v>12914304</v>
      </c>
      <c r="O42" s="271"/>
      <c r="P42" s="271"/>
      <c r="Q42" s="271">
        <v>12914304</v>
      </c>
      <c r="R42" s="258">
        <f t="shared" si="10"/>
        <v>12914304</v>
      </c>
    </row>
    <row r="43" spans="1:18" s="58" customFormat="1" ht="22.5">
      <c r="A43" s="270" t="s">
        <v>541</v>
      </c>
      <c r="B43" s="330">
        <v>1027200</v>
      </c>
      <c r="C43" s="330">
        <v>179760</v>
      </c>
      <c r="D43" s="330">
        <v>1500786</v>
      </c>
      <c r="E43" s="330"/>
      <c r="F43" s="330"/>
      <c r="G43" s="330">
        <v>2963053</v>
      </c>
      <c r="H43" s="258">
        <f t="shared" si="0"/>
        <v>5670799</v>
      </c>
      <c r="I43" s="330"/>
      <c r="J43" s="261"/>
      <c r="K43" s="261"/>
      <c r="L43" s="261"/>
      <c r="M43" s="258">
        <f t="shared" si="1"/>
        <v>0</v>
      </c>
      <c r="N43" s="258">
        <f t="shared" si="9"/>
        <v>5670799</v>
      </c>
      <c r="O43" s="271"/>
      <c r="P43" s="271"/>
      <c r="Q43" s="271">
        <v>5670799</v>
      </c>
      <c r="R43" s="258">
        <f t="shared" si="10"/>
        <v>5670799</v>
      </c>
    </row>
    <row r="44" spans="1:18" s="58" customFormat="1" ht="12.75">
      <c r="A44" s="272" t="s">
        <v>542</v>
      </c>
      <c r="B44" s="330">
        <v>14023925</v>
      </c>
      <c r="C44" s="330">
        <v>2454187</v>
      </c>
      <c r="D44" s="330">
        <v>11721074</v>
      </c>
      <c r="E44" s="330"/>
      <c r="F44" s="330"/>
      <c r="G44" s="330"/>
      <c r="H44" s="258">
        <f t="shared" si="0"/>
        <v>28199186</v>
      </c>
      <c r="I44" s="330"/>
      <c r="J44" s="261"/>
      <c r="K44" s="261"/>
      <c r="L44" s="261"/>
      <c r="M44" s="258">
        <f>SUM(I44:L44)</f>
        <v>0</v>
      </c>
      <c r="N44" s="258">
        <f>H44+M44</f>
        <v>28199186</v>
      </c>
      <c r="O44" s="271"/>
      <c r="P44" s="271"/>
      <c r="Q44" s="271">
        <v>28199186</v>
      </c>
      <c r="R44" s="258">
        <f t="shared" si="10"/>
        <v>28199186</v>
      </c>
    </row>
    <row r="45" spans="1:18" s="58" customFormat="1" ht="22.5">
      <c r="A45" s="272" t="s">
        <v>543</v>
      </c>
      <c r="B45" s="330">
        <v>2088000</v>
      </c>
      <c r="C45" s="330">
        <v>365400</v>
      </c>
      <c r="D45" s="330">
        <v>2910430</v>
      </c>
      <c r="E45" s="330"/>
      <c r="F45" s="330"/>
      <c r="G45" s="330"/>
      <c r="H45" s="258">
        <f>SUM(B45:G45)</f>
        <v>5363830</v>
      </c>
      <c r="I45" s="330">
        <v>11430000</v>
      </c>
      <c r="J45" s="261"/>
      <c r="K45" s="261"/>
      <c r="L45" s="261"/>
      <c r="M45" s="258">
        <f t="shared" si="1"/>
        <v>11430000</v>
      </c>
      <c r="N45" s="258">
        <f t="shared" si="9"/>
        <v>16793830</v>
      </c>
      <c r="O45" s="271"/>
      <c r="P45" s="271"/>
      <c r="Q45" s="271">
        <v>16793830</v>
      </c>
      <c r="R45" s="258">
        <f>SUM(O45:Q45)</f>
        <v>16793830</v>
      </c>
    </row>
    <row r="46" spans="1:18" s="58" customFormat="1" ht="24.75" customHeight="1">
      <c r="A46" s="267" t="s">
        <v>416</v>
      </c>
      <c r="B46" s="327">
        <f>SUM(B35:B45)</f>
        <v>31909625</v>
      </c>
      <c r="C46" s="327">
        <f aca="true" t="shared" si="11" ref="C46:Q46">SUM(C35:C45)</f>
        <v>5584185</v>
      </c>
      <c r="D46" s="327">
        <f t="shared" si="11"/>
        <v>57607729</v>
      </c>
      <c r="E46" s="327">
        <f t="shared" si="11"/>
        <v>0</v>
      </c>
      <c r="F46" s="327">
        <f t="shared" si="11"/>
        <v>0</v>
      </c>
      <c r="G46" s="327">
        <f t="shared" si="11"/>
        <v>3672448</v>
      </c>
      <c r="H46" s="327">
        <f>SUM(H35:H45)</f>
        <v>98773987</v>
      </c>
      <c r="I46" s="327">
        <f t="shared" si="11"/>
        <v>673405962</v>
      </c>
      <c r="J46" s="327">
        <f t="shared" si="11"/>
        <v>0</v>
      </c>
      <c r="K46" s="327">
        <f t="shared" si="11"/>
        <v>0</v>
      </c>
      <c r="L46" s="327">
        <f t="shared" si="11"/>
        <v>0</v>
      </c>
      <c r="M46" s="327">
        <f>SUM(M35:M45)</f>
        <v>673405962</v>
      </c>
      <c r="N46" s="327">
        <f t="shared" si="11"/>
        <v>772179949</v>
      </c>
      <c r="O46" s="327">
        <f t="shared" si="11"/>
        <v>0</v>
      </c>
      <c r="P46" s="327">
        <f t="shared" si="11"/>
        <v>140271234</v>
      </c>
      <c r="Q46" s="327">
        <f t="shared" si="11"/>
        <v>631908715</v>
      </c>
      <c r="R46" s="327">
        <f>SUM(R35:R45)</f>
        <v>772179949</v>
      </c>
    </row>
    <row r="47" spans="1:18" s="58" customFormat="1" ht="24.75" customHeight="1">
      <c r="A47" s="270" t="s">
        <v>544</v>
      </c>
      <c r="B47" s="327"/>
      <c r="C47" s="327"/>
      <c r="D47" s="330">
        <v>2999998</v>
      </c>
      <c r="E47" s="327"/>
      <c r="F47" s="327"/>
      <c r="G47" s="327"/>
      <c r="H47" s="327">
        <f>B47+C47+D47+E47+F47+G47</f>
        <v>2999998</v>
      </c>
      <c r="I47" s="327"/>
      <c r="J47" s="327"/>
      <c r="K47" s="327"/>
      <c r="L47" s="327"/>
      <c r="M47" s="327">
        <f>I47+J47+K47+L47</f>
        <v>0</v>
      </c>
      <c r="N47" s="327">
        <f>H47+M47</f>
        <v>2999998</v>
      </c>
      <c r="O47" s="327"/>
      <c r="P47" s="327"/>
      <c r="Q47" s="330">
        <v>2999998</v>
      </c>
      <c r="R47" s="327">
        <f>SUM(O47:Q47)</f>
        <v>2999998</v>
      </c>
    </row>
    <row r="48" spans="1:18" s="58" customFormat="1" ht="33.75">
      <c r="A48" s="270" t="s">
        <v>545</v>
      </c>
      <c r="B48" s="327"/>
      <c r="C48" s="327"/>
      <c r="D48" s="330">
        <v>348966</v>
      </c>
      <c r="E48" s="327"/>
      <c r="F48" s="327"/>
      <c r="G48" s="327"/>
      <c r="H48" s="327">
        <f>B48+C48+D48+E48+F48+G48</f>
        <v>348966</v>
      </c>
      <c r="I48" s="327"/>
      <c r="J48" s="327">
        <v>4651032</v>
      </c>
      <c r="K48" s="327"/>
      <c r="L48" s="327"/>
      <c r="M48" s="327">
        <f>I48+J48+K48+L48</f>
        <v>4651032</v>
      </c>
      <c r="N48" s="327">
        <f>H48+M48</f>
        <v>4999998</v>
      </c>
      <c r="O48" s="327"/>
      <c r="P48" s="327"/>
      <c r="Q48" s="330">
        <v>4999998</v>
      </c>
      <c r="R48" s="327">
        <f>SUM(O48:Q48)</f>
        <v>4999998</v>
      </c>
    </row>
    <row r="49" spans="1:18" s="58" customFormat="1" ht="22.5">
      <c r="A49" s="270" t="s">
        <v>546</v>
      </c>
      <c r="B49" s="327"/>
      <c r="C49" s="327"/>
      <c r="D49" s="330">
        <v>89192</v>
      </c>
      <c r="E49" s="327"/>
      <c r="F49" s="327"/>
      <c r="G49" s="327"/>
      <c r="H49" s="327">
        <f>B49+C49+D49+E49+F49+G49</f>
        <v>89192</v>
      </c>
      <c r="I49" s="327">
        <v>2883916</v>
      </c>
      <c r="J49" s="327"/>
      <c r="K49" s="327"/>
      <c r="L49" s="327"/>
      <c r="M49" s="327">
        <f>I49+J49+K49+L49</f>
        <v>2883916</v>
      </c>
      <c r="N49" s="327">
        <f>H49+M49</f>
        <v>2973108</v>
      </c>
      <c r="O49" s="327"/>
      <c r="P49" s="327"/>
      <c r="Q49" s="330">
        <v>2973108</v>
      </c>
      <c r="R49" s="327">
        <f>SUM(O49:Q49)</f>
        <v>2973108</v>
      </c>
    </row>
    <row r="50" spans="1:18" s="58" customFormat="1" ht="21">
      <c r="A50" s="267" t="s">
        <v>547</v>
      </c>
      <c r="B50" s="327">
        <f>B49+B48+B47</f>
        <v>0</v>
      </c>
      <c r="C50" s="327">
        <f>C49+C48+C47</f>
        <v>0</v>
      </c>
      <c r="D50" s="327">
        <f>D49+D48+D47</f>
        <v>3438156</v>
      </c>
      <c r="E50" s="327">
        <f>E49+E48+E47</f>
        <v>0</v>
      </c>
      <c r="F50" s="327">
        <f>F49+F48+F47</f>
        <v>0</v>
      </c>
      <c r="G50" s="327"/>
      <c r="H50" s="327">
        <f>B50+C50+D50+E50+F50+G50</f>
        <v>3438156</v>
      </c>
      <c r="I50" s="327">
        <f>I49+I48+I47</f>
        <v>2883916</v>
      </c>
      <c r="J50" s="327">
        <f>J49+J48+J47</f>
        <v>4651032</v>
      </c>
      <c r="K50" s="327">
        <f>K49+K48+K47</f>
        <v>0</v>
      </c>
      <c r="L50" s="327">
        <f>L49+L48+L47</f>
        <v>0</v>
      </c>
      <c r="M50" s="327">
        <f>M49+M48+M47</f>
        <v>7534948</v>
      </c>
      <c r="N50" s="327">
        <f>SUM(N47:N49)</f>
        <v>10973104</v>
      </c>
      <c r="O50" s="327"/>
      <c r="P50" s="327"/>
      <c r="Q50" s="327"/>
      <c r="R50" s="327">
        <f>SUM(R47:R49)</f>
        <v>10973104</v>
      </c>
    </row>
    <row r="51" spans="1:18" s="21" customFormat="1" ht="26.25" customHeight="1">
      <c r="A51" s="268" t="s">
        <v>113</v>
      </c>
      <c r="B51" s="263">
        <f aca="true" t="shared" si="12" ref="B51:R51">B6+B16+B21+B27+B31+B32+B33+B34+B46+B50</f>
        <v>94548631</v>
      </c>
      <c r="C51" s="263">
        <f t="shared" si="12"/>
        <v>16660298</v>
      </c>
      <c r="D51" s="263">
        <f t="shared" si="12"/>
        <v>99322076</v>
      </c>
      <c r="E51" s="263">
        <f t="shared" si="12"/>
        <v>7000000</v>
      </c>
      <c r="F51" s="263">
        <f t="shared" si="12"/>
        <v>7028142</v>
      </c>
      <c r="G51" s="263">
        <f t="shared" si="12"/>
        <v>3672448</v>
      </c>
      <c r="H51" s="263">
        <f t="shared" si="12"/>
        <v>228231595</v>
      </c>
      <c r="I51" s="263">
        <f t="shared" si="12"/>
        <v>706302694</v>
      </c>
      <c r="J51" s="263">
        <f t="shared" si="12"/>
        <v>4651032</v>
      </c>
      <c r="K51" s="263">
        <f t="shared" si="12"/>
        <v>1358080</v>
      </c>
      <c r="L51" s="263">
        <f t="shared" si="12"/>
        <v>0</v>
      </c>
      <c r="M51" s="263">
        <f t="shared" si="12"/>
        <v>712311806</v>
      </c>
      <c r="N51" s="263">
        <f t="shared" si="12"/>
        <v>940543401</v>
      </c>
      <c r="O51" s="263">
        <f t="shared" si="12"/>
        <v>0</v>
      </c>
      <c r="P51" s="263">
        <f t="shared" si="12"/>
        <v>251536766</v>
      </c>
      <c r="Q51" s="263">
        <f t="shared" si="12"/>
        <v>678483531</v>
      </c>
      <c r="R51" s="263">
        <f t="shared" si="12"/>
        <v>940543401</v>
      </c>
    </row>
    <row r="52" spans="1:18" ht="15.75" customHeight="1">
      <c r="A52" s="264" t="s">
        <v>332</v>
      </c>
      <c r="B52" s="330">
        <v>27506600</v>
      </c>
      <c r="C52" s="330">
        <v>5080355</v>
      </c>
      <c r="D52" s="260">
        <v>5556300</v>
      </c>
      <c r="E52" s="260"/>
      <c r="F52" s="260"/>
      <c r="G52" s="260"/>
      <c r="H52" s="259">
        <f>SUM(B52:F52)</f>
        <v>38143255</v>
      </c>
      <c r="I52" s="260">
        <v>1020000</v>
      </c>
      <c r="J52" s="260"/>
      <c r="K52" s="260"/>
      <c r="L52" s="260"/>
      <c r="M52" s="259">
        <f t="shared" si="1"/>
        <v>1020000</v>
      </c>
      <c r="N52" s="259">
        <f t="shared" si="2"/>
        <v>39163255</v>
      </c>
      <c r="O52" s="260">
        <v>39163255</v>
      </c>
      <c r="P52" s="260"/>
      <c r="Q52" s="260"/>
      <c r="R52" s="259">
        <f>SUM(O52:Q52)</f>
        <v>39163255</v>
      </c>
    </row>
    <row r="53" spans="1:18" ht="22.5">
      <c r="A53" s="270" t="s">
        <v>459</v>
      </c>
      <c r="B53" s="330">
        <v>880600</v>
      </c>
      <c r="C53" s="330">
        <v>167366</v>
      </c>
      <c r="D53" s="260">
        <v>83880</v>
      </c>
      <c r="E53" s="260"/>
      <c r="F53" s="260"/>
      <c r="G53" s="260"/>
      <c r="H53" s="259">
        <f>SUM(B53:F53)</f>
        <v>1131846</v>
      </c>
      <c r="I53" s="260"/>
      <c r="J53" s="260"/>
      <c r="K53" s="260"/>
      <c r="L53" s="260"/>
      <c r="M53" s="259">
        <f t="shared" si="1"/>
        <v>0</v>
      </c>
      <c r="N53" s="259">
        <f t="shared" si="2"/>
        <v>1131846</v>
      </c>
      <c r="O53" s="260">
        <v>1131846</v>
      </c>
      <c r="P53" s="260"/>
      <c r="Q53" s="260"/>
      <c r="R53" s="259">
        <f>SUM(O53:Q53)</f>
        <v>1131846</v>
      </c>
    </row>
    <row r="54" spans="1:18" ht="11.25" customHeight="1">
      <c r="A54" s="270"/>
      <c r="B54" s="323"/>
      <c r="C54" s="323"/>
      <c r="D54" s="260"/>
      <c r="E54" s="260"/>
      <c r="F54" s="260"/>
      <c r="G54" s="260"/>
      <c r="H54" s="259"/>
      <c r="I54" s="260"/>
      <c r="J54" s="260"/>
      <c r="K54" s="260"/>
      <c r="L54" s="260"/>
      <c r="M54" s="259"/>
      <c r="N54" s="259"/>
      <c r="O54" s="260"/>
      <c r="P54" s="260"/>
      <c r="Q54" s="260"/>
      <c r="R54" s="259"/>
    </row>
    <row r="55" spans="1:18" s="21" customFormat="1" ht="29.25" customHeight="1">
      <c r="A55" s="268" t="s">
        <v>333</v>
      </c>
      <c r="B55" s="263">
        <f>SUM(B52:B54)</f>
        <v>28387200</v>
      </c>
      <c r="C55" s="263">
        <f aca="true" t="shared" si="13" ref="C55:Q55">SUM(C52:C54)</f>
        <v>5247721</v>
      </c>
      <c r="D55" s="263">
        <f t="shared" si="13"/>
        <v>5640180</v>
      </c>
      <c r="E55" s="263">
        <f t="shared" si="13"/>
        <v>0</v>
      </c>
      <c r="F55" s="263">
        <f t="shared" si="13"/>
        <v>0</v>
      </c>
      <c r="G55" s="263">
        <f t="shared" si="13"/>
        <v>0</v>
      </c>
      <c r="H55" s="263">
        <f t="shared" si="13"/>
        <v>39275101</v>
      </c>
      <c r="I55" s="263">
        <f t="shared" si="13"/>
        <v>1020000</v>
      </c>
      <c r="J55" s="263">
        <f t="shared" si="13"/>
        <v>0</v>
      </c>
      <c r="K55" s="263">
        <f t="shared" si="13"/>
        <v>0</v>
      </c>
      <c r="L55" s="263">
        <f t="shared" si="13"/>
        <v>0</v>
      </c>
      <c r="M55" s="263">
        <f t="shared" si="13"/>
        <v>1020000</v>
      </c>
      <c r="N55" s="263">
        <f t="shared" si="13"/>
        <v>40295101</v>
      </c>
      <c r="O55" s="263">
        <f t="shared" si="13"/>
        <v>40295101</v>
      </c>
      <c r="P55" s="263">
        <f t="shared" si="13"/>
        <v>0</v>
      </c>
      <c r="Q55" s="263">
        <f t="shared" si="13"/>
        <v>0</v>
      </c>
      <c r="R55" s="263">
        <f>SUM(R52:R54)</f>
        <v>40295101</v>
      </c>
    </row>
    <row r="56" spans="1:18" ht="12.75">
      <c r="A56" s="264" t="s">
        <v>334</v>
      </c>
      <c r="B56" s="323">
        <v>52804160</v>
      </c>
      <c r="C56" s="323">
        <v>9496463</v>
      </c>
      <c r="D56" s="323">
        <v>5574502</v>
      </c>
      <c r="E56" s="323"/>
      <c r="F56" s="323">
        <v>150000</v>
      </c>
      <c r="G56" s="328"/>
      <c r="H56" s="259">
        <f>SUM(B56:F56)</f>
        <v>68025125</v>
      </c>
      <c r="I56" s="323"/>
      <c r="J56" s="260"/>
      <c r="K56" s="260"/>
      <c r="L56" s="260"/>
      <c r="M56" s="259">
        <f t="shared" si="1"/>
        <v>0</v>
      </c>
      <c r="N56" s="259">
        <f t="shared" si="2"/>
        <v>68025125</v>
      </c>
      <c r="O56" s="260"/>
      <c r="P56" s="260">
        <v>68025125</v>
      </c>
      <c r="Q56" s="260"/>
      <c r="R56" s="259">
        <f>SUM(O56:Q56)</f>
        <v>68025125</v>
      </c>
    </row>
    <row r="57" spans="1:18" ht="12.75">
      <c r="A57" s="264" t="s">
        <v>335</v>
      </c>
      <c r="B57" s="323">
        <f>15943200+900000</f>
        <v>16843200</v>
      </c>
      <c r="C57" s="323">
        <f>2790000+292500</f>
        <v>3082500</v>
      </c>
      <c r="D57" s="323">
        <v>34243371</v>
      </c>
      <c r="E57" s="323"/>
      <c r="F57" s="323"/>
      <c r="G57" s="260"/>
      <c r="H57" s="259">
        <f>SUM(B57:F57)</f>
        <v>54169071</v>
      </c>
      <c r="I57" s="323">
        <v>869432</v>
      </c>
      <c r="J57" s="260"/>
      <c r="K57" s="260"/>
      <c r="L57" s="260"/>
      <c r="M57" s="259">
        <f t="shared" si="1"/>
        <v>869432</v>
      </c>
      <c r="N57" s="259">
        <f t="shared" si="2"/>
        <v>55038503</v>
      </c>
      <c r="O57" s="260"/>
      <c r="P57" s="260">
        <v>55038503</v>
      </c>
      <c r="Q57" s="260"/>
      <c r="R57" s="259">
        <f>SUM(O57:Q57)</f>
        <v>55038503</v>
      </c>
    </row>
    <row r="58" spans="1:18" ht="12.75" customHeight="1">
      <c r="A58" s="264"/>
      <c r="B58" s="323"/>
      <c r="C58" s="323"/>
      <c r="D58" s="323"/>
      <c r="E58" s="323"/>
      <c r="F58" s="323"/>
      <c r="G58" s="260"/>
      <c r="H58" s="259"/>
      <c r="I58" s="260"/>
      <c r="J58" s="260"/>
      <c r="K58" s="260"/>
      <c r="L58" s="260"/>
      <c r="M58" s="259"/>
      <c r="N58" s="259"/>
      <c r="O58" s="260"/>
      <c r="P58" s="260"/>
      <c r="Q58" s="260"/>
      <c r="R58" s="259"/>
    </row>
    <row r="59" spans="1:18" s="21" customFormat="1" ht="25.5">
      <c r="A59" s="268" t="s">
        <v>584</v>
      </c>
      <c r="B59" s="263">
        <f>SUM(B56:B58)</f>
        <v>69647360</v>
      </c>
      <c r="C59" s="263">
        <f aca="true" t="shared" si="14" ref="C59:R59">SUM(C56:C58)</f>
        <v>12578963</v>
      </c>
      <c r="D59" s="263">
        <f t="shared" si="14"/>
        <v>39817873</v>
      </c>
      <c r="E59" s="263">
        <f t="shared" si="14"/>
        <v>0</v>
      </c>
      <c r="F59" s="263">
        <f t="shared" si="14"/>
        <v>150000</v>
      </c>
      <c r="G59" s="263">
        <f t="shared" si="14"/>
        <v>0</v>
      </c>
      <c r="H59" s="263">
        <f>SUM(H56:H58)</f>
        <v>122194196</v>
      </c>
      <c r="I59" s="263">
        <f t="shared" si="14"/>
        <v>869432</v>
      </c>
      <c r="J59" s="263">
        <f t="shared" si="14"/>
        <v>0</v>
      </c>
      <c r="K59" s="263">
        <f t="shared" si="14"/>
        <v>0</v>
      </c>
      <c r="L59" s="263">
        <f t="shared" si="14"/>
        <v>0</v>
      </c>
      <c r="M59" s="263">
        <f t="shared" si="14"/>
        <v>869432</v>
      </c>
      <c r="N59" s="263">
        <f>SUM(N56:N58)</f>
        <v>123063628</v>
      </c>
      <c r="O59" s="263"/>
      <c r="P59" s="263">
        <v>123063628</v>
      </c>
      <c r="Q59" s="263">
        <f t="shared" si="14"/>
        <v>0</v>
      </c>
      <c r="R59" s="263">
        <f t="shared" si="14"/>
        <v>123063628</v>
      </c>
    </row>
    <row r="60" spans="1:18" ht="12.75">
      <c r="A60" s="264"/>
      <c r="B60" s="260"/>
      <c r="C60" s="260"/>
      <c r="D60" s="260"/>
      <c r="E60" s="260"/>
      <c r="F60" s="260"/>
      <c r="G60" s="260"/>
      <c r="H60" s="259"/>
      <c r="I60" s="260"/>
      <c r="J60" s="260"/>
      <c r="K60" s="260"/>
      <c r="L60" s="260"/>
      <c r="M60" s="259"/>
      <c r="N60" s="259"/>
      <c r="O60" s="260"/>
      <c r="P60" s="260"/>
      <c r="Q60" s="260"/>
      <c r="R60" s="259"/>
    </row>
    <row r="61" spans="1:18" s="21" customFormat="1" ht="19.5" customHeight="1" thickBot="1">
      <c r="A61" s="273" t="s">
        <v>115</v>
      </c>
      <c r="B61" s="274">
        <f>B51+B55+B59</f>
        <v>192583191</v>
      </c>
      <c r="C61" s="274">
        <f aca="true" t="shared" si="15" ref="C61:Q61">C51+C55+C59</f>
        <v>34486982</v>
      </c>
      <c r="D61" s="274">
        <f>D51+D55+D59</f>
        <v>144780129</v>
      </c>
      <c r="E61" s="274">
        <f t="shared" si="15"/>
        <v>7000000</v>
      </c>
      <c r="F61" s="274">
        <f t="shared" si="15"/>
        <v>7178142</v>
      </c>
      <c r="G61" s="274">
        <f t="shared" si="15"/>
        <v>3672448</v>
      </c>
      <c r="H61" s="274">
        <f>H51+H55+H59</f>
        <v>389700892</v>
      </c>
      <c r="I61" s="274">
        <f t="shared" si="15"/>
        <v>708192126</v>
      </c>
      <c r="J61" s="274">
        <f t="shared" si="15"/>
        <v>4651032</v>
      </c>
      <c r="K61" s="274">
        <f t="shared" si="15"/>
        <v>1358080</v>
      </c>
      <c r="L61" s="274">
        <f t="shared" si="15"/>
        <v>0</v>
      </c>
      <c r="M61" s="274">
        <f t="shared" si="15"/>
        <v>714201238</v>
      </c>
      <c r="N61" s="274">
        <f>N51+N55+N59</f>
        <v>1103902130</v>
      </c>
      <c r="O61" s="274">
        <f t="shared" si="15"/>
        <v>40295101</v>
      </c>
      <c r="P61" s="274">
        <f t="shared" si="15"/>
        <v>374600394</v>
      </c>
      <c r="Q61" s="274">
        <f t="shared" si="15"/>
        <v>678483531</v>
      </c>
      <c r="R61" s="274">
        <f>R51+R55+R59</f>
        <v>1103902130</v>
      </c>
    </row>
    <row r="62" spans="2:18" ht="12.75">
      <c r="B62" s="23"/>
      <c r="C62" s="23"/>
      <c r="D62" s="23"/>
      <c r="E62" s="23"/>
      <c r="F62" s="23"/>
      <c r="G62" s="23"/>
      <c r="H62" s="24"/>
      <c r="I62" s="23"/>
      <c r="J62" s="23"/>
      <c r="K62" s="23"/>
      <c r="L62" s="23"/>
      <c r="M62" s="24"/>
      <c r="N62" s="24"/>
      <c r="O62" s="23"/>
      <c r="P62" s="23"/>
      <c r="Q62" s="23"/>
      <c r="R62" s="24"/>
    </row>
    <row r="63" spans="2:18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</row>
    <row r="64" spans="1:18" s="26" customFormat="1" ht="12" customHeight="1">
      <c r="A64" s="443"/>
      <c r="B64" s="443"/>
      <c r="C64" s="443"/>
      <c r="D64" s="443"/>
      <c r="E64" s="443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ht="12.75">
      <c r="N65" s="24"/>
    </row>
  </sheetData>
  <sheetProtection selectLockedCells="1" selectUnlockedCells="1"/>
  <mergeCells count="4">
    <mergeCell ref="A1:E1"/>
    <mergeCell ref="Q1:R1"/>
    <mergeCell ref="D3:R3"/>
    <mergeCell ref="A64:E64"/>
  </mergeCells>
  <printOptions/>
  <pageMargins left="0.8267716535433072" right="0.5118110236220472" top="0.5118110236220472" bottom="0.984251968503937" header="0.31496062992125984" footer="0.5118110236220472"/>
  <pageSetup horizontalDpi="300" verticalDpi="300" orientation="landscape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8.00390625" style="0" customWidth="1"/>
    <col min="2" max="2" width="21.25390625" style="0" customWidth="1"/>
    <col min="3" max="3" width="10.00390625" style="0" bestFit="1" customWidth="1"/>
  </cols>
  <sheetData>
    <row r="1" spans="1:5" ht="12.75" customHeight="1">
      <c r="A1" s="435" t="s">
        <v>595</v>
      </c>
      <c r="B1" s="435"/>
      <c r="C1" s="435"/>
      <c r="D1" s="435"/>
      <c r="E1" s="435"/>
    </row>
    <row r="2" spans="1:5" ht="21" customHeight="1">
      <c r="A2" s="445" t="s">
        <v>553</v>
      </c>
      <c r="B2" s="445"/>
      <c r="C2" s="37"/>
      <c r="D2" s="37"/>
      <c r="E2" s="37"/>
    </row>
    <row r="3" spans="1:5" ht="11.25" customHeight="1">
      <c r="A3" s="422" t="s">
        <v>150</v>
      </c>
      <c r="B3" s="422"/>
      <c r="C3" s="37"/>
      <c r="D3" s="37"/>
      <c r="E3" s="37"/>
    </row>
    <row r="4" spans="1:5" ht="12.75">
      <c r="A4" s="439" t="s">
        <v>423</v>
      </c>
      <c r="B4" s="439"/>
      <c r="C4" s="37"/>
      <c r="D4" s="37"/>
      <c r="E4" s="37"/>
    </row>
    <row r="5" spans="1:5" ht="15" customHeight="1">
      <c r="A5" s="121" t="s">
        <v>151</v>
      </c>
      <c r="B5" s="121" t="s">
        <v>152</v>
      </c>
      <c r="C5" s="37"/>
      <c r="D5" s="37"/>
      <c r="E5" s="37"/>
    </row>
    <row r="6" spans="1:5" ht="15" customHeight="1">
      <c r="A6" s="31" t="s">
        <v>153</v>
      </c>
      <c r="B6" s="32"/>
      <c r="C6" s="37"/>
      <c r="D6" s="37"/>
      <c r="E6" s="37"/>
    </row>
    <row r="7" spans="1:5" ht="28.5" customHeight="1">
      <c r="A7" s="33" t="s">
        <v>466</v>
      </c>
      <c r="B7" s="34">
        <v>4062000</v>
      </c>
      <c r="C7" s="37"/>
      <c r="D7" s="37"/>
      <c r="E7" s="37"/>
    </row>
    <row r="8" spans="1:5" ht="15" customHeight="1">
      <c r="A8" s="33" t="s">
        <v>523</v>
      </c>
      <c r="B8" s="34">
        <v>11430000</v>
      </c>
      <c r="C8" s="37"/>
      <c r="D8" s="37"/>
      <c r="E8" s="37"/>
    </row>
    <row r="9" spans="1:5" ht="15" customHeight="1">
      <c r="A9" s="32" t="s">
        <v>420</v>
      </c>
      <c r="B9" s="34">
        <v>35711962</v>
      </c>
      <c r="C9" s="37"/>
      <c r="D9" s="37"/>
      <c r="E9" s="37"/>
    </row>
    <row r="10" spans="1:5" ht="15" customHeight="1">
      <c r="A10" s="32" t="s">
        <v>467</v>
      </c>
      <c r="B10" s="34">
        <v>92449375</v>
      </c>
      <c r="C10" s="37"/>
      <c r="D10" s="37"/>
      <c r="E10" s="37"/>
    </row>
    <row r="11" spans="1:5" ht="15" customHeight="1">
      <c r="A11" s="32" t="s">
        <v>467</v>
      </c>
      <c r="B11" s="34">
        <v>20000000</v>
      </c>
      <c r="C11" s="37"/>
      <c r="D11" s="37"/>
      <c r="E11" s="37"/>
    </row>
    <row r="12" spans="1:5" ht="15" customHeight="1">
      <c r="A12" s="32" t="s">
        <v>468</v>
      </c>
      <c r="B12" s="34">
        <v>135436000</v>
      </c>
      <c r="C12" s="37"/>
      <c r="D12" s="37"/>
      <c r="E12" s="37"/>
    </row>
    <row r="13" spans="1:5" ht="15" customHeight="1">
      <c r="A13" s="32" t="s">
        <v>469</v>
      </c>
      <c r="B13" s="34">
        <v>271378625</v>
      </c>
      <c r="C13" s="37"/>
      <c r="D13" s="37"/>
      <c r="E13" s="37"/>
    </row>
    <row r="14" spans="1:5" ht="15" customHeight="1">
      <c r="A14" s="32" t="s">
        <v>524</v>
      </c>
      <c r="B14" s="34">
        <v>127000000</v>
      </c>
      <c r="C14" s="37"/>
      <c r="D14" s="37"/>
      <c r="E14" s="37"/>
    </row>
    <row r="15" spans="1:5" ht="15" customHeight="1">
      <c r="A15" s="32" t="s">
        <v>525</v>
      </c>
      <c r="B15" s="34">
        <v>5950816</v>
      </c>
      <c r="C15" s="37"/>
      <c r="D15" s="37"/>
      <c r="E15" s="37"/>
    </row>
    <row r="16" spans="1:5" ht="15" customHeight="1">
      <c r="A16" s="32" t="s">
        <v>585</v>
      </c>
      <c r="B16" s="34">
        <v>2883916</v>
      </c>
      <c r="C16" s="37"/>
      <c r="D16" s="37"/>
      <c r="E16" s="37"/>
    </row>
    <row r="17" spans="1:5" ht="15" customHeight="1" thickBot="1">
      <c r="A17" s="333"/>
      <c r="B17" s="211"/>
      <c r="C17" s="37"/>
      <c r="D17" s="37"/>
      <c r="E17" s="37"/>
    </row>
    <row r="18" spans="1:5" ht="15" customHeight="1" thickBot="1">
      <c r="A18" s="344" t="s">
        <v>567</v>
      </c>
      <c r="B18" s="345">
        <f>SUM(B7:B17)</f>
        <v>706302694</v>
      </c>
      <c r="C18" s="37"/>
      <c r="D18" s="37"/>
      <c r="E18" s="37"/>
    </row>
    <row r="19" spans="1:5" ht="15" customHeight="1">
      <c r="A19" s="334"/>
      <c r="B19" s="335"/>
      <c r="C19" s="37"/>
      <c r="D19" s="37"/>
      <c r="E19" s="37"/>
    </row>
    <row r="20" spans="1:5" s="21" customFormat="1" ht="15" customHeight="1">
      <c r="A20" s="35" t="s">
        <v>586</v>
      </c>
      <c r="B20" s="36"/>
      <c r="C20" s="127"/>
      <c r="D20" s="127"/>
      <c r="E20" s="127"/>
    </row>
    <row r="21" spans="1:5" ht="15" customHeight="1">
      <c r="A21" s="32" t="s">
        <v>465</v>
      </c>
      <c r="B21" s="34">
        <v>869432</v>
      </c>
      <c r="C21" s="37"/>
      <c r="D21" s="37"/>
      <c r="E21" s="37"/>
    </row>
    <row r="22" spans="1:5" ht="15" customHeight="1" thickBot="1">
      <c r="A22" s="333"/>
      <c r="B22" s="211"/>
      <c r="C22" s="37"/>
      <c r="D22" s="37"/>
      <c r="E22" s="37"/>
    </row>
    <row r="23" spans="1:5" ht="15" customHeight="1" thickBot="1">
      <c r="A23" s="344" t="s">
        <v>587</v>
      </c>
      <c r="B23" s="345">
        <f>SUM(B21:B22)</f>
        <v>869432</v>
      </c>
      <c r="C23" s="37"/>
      <c r="D23" s="37"/>
      <c r="E23" s="37"/>
    </row>
    <row r="24" spans="1:5" ht="15" customHeight="1">
      <c r="A24" s="334"/>
      <c r="B24" s="335"/>
      <c r="C24" s="37"/>
      <c r="D24" s="37"/>
      <c r="E24" s="37"/>
    </row>
    <row r="25" spans="1:5" ht="15" customHeight="1">
      <c r="A25" s="35" t="s">
        <v>45</v>
      </c>
      <c r="B25" s="36"/>
      <c r="C25" s="37"/>
      <c r="D25" s="37"/>
      <c r="E25" s="37"/>
    </row>
    <row r="26" spans="1:5" ht="15" customHeight="1">
      <c r="A26" s="32" t="s">
        <v>447</v>
      </c>
      <c r="B26" s="34">
        <v>1020000</v>
      </c>
      <c r="C26" s="37"/>
      <c r="D26" s="37"/>
      <c r="E26" s="37"/>
    </row>
    <row r="27" spans="1:5" ht="15" customHeight="1" thickBot="1">
      <c r="A27" s="333"/>
      <c r="B27" s="211"/>
      <c r="C27" s="37"/>
      <c r="D27" s="37"/>
      <c r="E27" s="37"/>
    </row>
    <row r="28" spans="1:5" ht="15" customHeight="1" thickBot="1">
      <c r="A28" s="344" t="s">
        <v>568</v>
      </c>
      <c r="B28" s="345">
        <f>SUM(B26)</f>
        <v>1020000</v>
      </c>
      <c r="C28" s="37"/>
      <c r="D28" s="37"/>
      <c r="E28" s="37"/>
    </row>
    <row r="29" spans="1:5" ht="15" customHeight="1" thickBot="1">
      <c r="A29" s="336"/>
      <c r="B29" s="337"/>
      <c r="C29" s="37"/>
      <c r="D29" s="37"/>
      <c r="E29" s="37"/>
    </row>
    <row r="30" spans="1:5" ht="20.25" customHeight="1" thickBot="1">
      <c r="A30" s="338" t="s">
        <v>569</v>
      </c>
      <c r="B30" s="339">
        <f>B18+B23+B28</f>
        <v>708192126</v>
      </c>
      <c r="C30" s="40"/>
      <c r="D30" s="37"/>
      <c r="E30" s="37"/>
    </row>
    <row r="31" spans="1:5" ht="15" customHeight="1">
      <c r="A31" s="37"/>
      <c r="B31" s="37"/>
      <c r="C31" s="37"/>
      <c r="D31" s="37"/>
      <c r="E31" s="37"/>
    </row>
    <row r="32" spans="1:5" ht="12.75">
      <c r="A32" s="422" t="s">
        <v>154</v>
      </c>
      <c r="B32" s="422"/>
      <c r="C32" s="37"/>
      <c r="D32" s="37"/>
      <c r="E32" s="37"/>
    </row>
    <row r="33" spans="1:5" ht="12.75">
      <c r="A33" s="444" t="s">
        <v>423</v>
      </c>
      <c r="B33" s="444"/>
      <c r="C33" s="37"/>
      <c r="D33" s="37"/>
      <c r="E33" s="37"/>
    </row>
    <row r="34" spans="1:5" ht="12.75">
      <c r="A34" s="41" t="s">
        <v>155</v>
      </c>
      <c r="B34" s="41" t="s">
        <v>152</v>
      </c>
      <c r="C34" s="37"/>
      <c r="D34" s="37"/>
      <c r="E34" s="37"/>
    </row>
    <row r="35" spans="1:5" ht="12.75">
      <c r="A35" s="31"/>
      <c r="B35" s="32"/>
      <c r="C35" s="37"/>
      <c r="D35" s="37"/>
      <c r="E35" s="37"/>
    </row>
    <row r="36" spans="1:5" ht="12.75">
      <c r="A36" s="33" t="s">
        <v>526</v>
      </c>
      <c r="B36" s="34">
        <v>4651032</v>
      </c>
      <c r="C36" s="37"/>
      <c r="D36" s="37"/>
      <c r="E36" s="37"/>
    </row>
    <row r="37" spans="1:5" ht="13.5" thickBot="1">
      <c r="A37" s="333"/>
      <c r="B37" s="211"/>
      <c r="C37" s="37"/>
      <c r="D37" s="37"/>
      <c r="E37" s="37"/>
    </row>
    <row r="38" spans="1:5" ht="13.5" thickBot="1">
      <c r="A38" s="340" t="s">
        <v>570</v>
      </c>
      <c r="B38" s="341">
        <f>SUM(B36:B37)</f>
        <v>4651032</v>
      </c>
      <c r="C38" s="37"/>
      <c r="D38" s="37"/>
      <c r="E38" s="37"/>
    </row>
    <row r="39" spans="1:5" ht="12.75">
      <c r="A39" s="37"/>
      <c r="B39" s="37"/>
      <c r="C39" s="37"/>
      <c r="D39" s="37"/>
      <c r="E39" s="37"/>
    </row>
    <row r="40" spans="1:5" ht="12.75">
      <c r="A40" s="422" t="s">
        <v>156</v>
      </c>
      <c r="B40" s="422"/>
      <c r="C40" s="37"/>
      <c r="D40" s="37"/>
      <c r="E40" s="37"/>
    </row>
    <row r="41" spans="1:5" ht="12.75">
      <c r="A41" s="444" t="s">
        <v>423</v>
      </c>
      <c r="B41" s="444"/>
      <c r="C41" s="37"/>
      <c r="D41" s="37"/>
      <c r="E41" s="37"/>
    </row>
    <row r="42" spans="1:5" ht="12.75">
      <c r="A42" s="41"/>
      <c r="B42" s="41" t="s">
        <v>152</v>
      </c>
      <c r="C42" s="37"/>
      <c r="D42" s="37"/>
      <c r="E42" s="37"/>
    </row>
    <row r="43" spans="1:5" ht="12.75">
      <c r="A43" s="32"/>
      <c r="B43" s="32"/>
      <c r="C43" s="37"/>
      <c r="D43" s="37"/>
      <c r="E43" s="37"/>
    </row>
    <row r="44" spans="1:5" ht="12.75">
      <c r="A44" s="42" t="s">
        <v>571</v>
      </c>
      <c r="B44" s="34">
        <v>1358080</v>
      </c>
      <c r="C44" s="37"/>
      <c r="D44" s="37"/>
      <c r="E44" s="37"/>
    </row>
    <row r="45" spans="1:5" ht="13.5" thickBot="1">
      <c r="A45" s="37"/>
      <c r="B45" s="37"/>
      <c r="C45" s="37"/>
      <c r="D45" s="37"/>
      <c r="E45" s="37"/>
    </row>
    <row r="46" spans="1:5" s="21" customFormat="1" ht="14.25" thickBot="1" thickTop="1">
      <c r="A46" s="342" t="s">
        <v>572</v>
      </c>
      <c r="B46" s="343">
        <f>B30+B38+B44</f>
        <v>714201238</v>
      </c>
      <c r="C46" s="127"/>
      <c r="D46" s="127"/>
      <c r="E46" s="127"/>
    </row>
    <row r="47" spans="1:5" ht="13.5" thickTop="1">
      <c r="A47" s="37"/>
      <c r="B47" s="37"/>
      <c r="C47" s="37"/>
      <c r="D47" s="37"/>
      <c r="E47" s="37"/>
    </row>
  </sheetData>
  <sheetProtection selectLockedCells="1" selectUnlockedCells="1"/>
  <mergeCells count="8">
    <mergeCell ref="A32:B32"/>
    <mergeCell ref="A33:B33"/>
    <mergeCell ref="A40:B40"/>
    <mergeCell ref="A41:B41"/>
    <mergeCell ref="A1:E1"/>
    <mergeCell ref="A2:B2"/>
    <mergeCell ref="A3:B3"/>
    <mergeCell ref="A4:B4"/>
  </mergeCells>
  <printOptions horizontalCentered="1" verticalCentered="1"/>
  <pageMargins left="0.7875" right="0.7875" top="0.3798611111111111" bottom="0.5097222222222222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7.75390625" style="38" customWidth="1"/>
    <col min="2" max="2" width="37.00390625" style="0" customWidth="1"/>
    <col min="3" max="3" width="14.375" style="0" customWidth="1"/>
    <col min="4" max="4" width="12.625" style="0" customWidth="1"/>
    <col min="5" max="6" width="13.375" style="0" customWidth="1"/>
    <col min="7" max="7" width="16.375" style="0" customWidth="1"/>
  </cols>
  <sheetData>
    <row r="1" spans="1:7" ht="12.75">
      <c r="A1" s="40"/>
      <c r="B1" s="37" t="s">
        <v>596</v>
      </c>
      <c r="C1" s="37"/>
      <c r="D1" s="37"/>
      <c r="E1" s="37"/>
      <c r="F1" s="37"/>
      <c r="G1" s="91"/>
    </row>
    <row r="2" spans="1:7" ht="15.75">
      <c r="A2" s="40"/>
      <c r="B2" s="37"/>
      <c r="C2" s="37"/>
      <c r="D2" s="37"/>
      <c r="E2" s="346"/>
      <c r="F2" s="346"/>
      <c r="G2" s="37"/>
    </row>
    <row r="3" spans="1:7" ht="12.75">
      <c r="A3" s="40"/>
      <c r="B3" s="37"/>
      <c r="C3" s="37"/>
      <c r="D3" s="37"/>
      <c r="E3" s="37"/>
      <c r="F3" s="37"/>
      <c r="G3" s="37"/>
    </row>
    <row r="4" spans="1:7" ht="12.75" customHeight="1">
      <c r="A4" s="40"/>
      <c r="B4" s="422" t="s">
        <v>157</v>
      </c>
      <c r="C4" s="422"/>
      <c r="D4" s="422"/>
      <c r="E4" s="422"/>
      <c r="F4" s="422"/>
      <c r="G4" s="422"/>
    </row>
    <row r="5" spans="1:7" ht="12.75" customHeight="1">
      <c r="A5" s="40"/>
      <c r="B5" s="422"/>
      <c r="C5" s="422"/>
      <c r="D5" s="422"/>
      <c r="E5" s="422"/>
      <c r="F5" s="422"/>
      <c r="G5" s="422"/>
    </row>
    <row r="6" spans="1:7" ht="12.75">
      <c r="A6" s="40"/>
      <c r="B6" s="37"/>
      <c r="C6" s="37"/>
      <c r="D6" s="37"/>
      <c r="E6" s="37"/>
      <c r="F6" s="37"/>
      <c r="G6" s="77"/>
    </row>
    <row r="7" spans="1:7" ht="9.75" customHeight="1">
      <c r="A7" s="40"/>
      <c r="B7" s="37"/>
      <c r="C7" s="37"/>
      <c r="D7" s="37"/>
      <c r="E7" s="37"/>
      <c r="F7" s="37"/>
      <c r="G7" s="93" t="s">
        <v>158</v>
      </c>
    </row>
    <row r="8" spans="1:7" ht="24" customHeight="1">
      <c r="A8" s="143" t="s">
        <v>159</v>
      </c>
      <c r="B8" s="121" t="s">
        <v>3</v>
      </c>
      <c r="C8" s="122" t="s">
        <v>556</v>
      </c>
      <c r="D8" s="121">
        <v>2020</v>
      </c>
      <c r="E8" s="121">
        <v>2021</v>
      </c>
      <c r="F8" s="121">
        <v>2022</v>
      </c>
      <c r="G8" s="121" t="s">
        <v>160</v>
      </c>
    </row>
    <row r="9" spans="1:7" ht="12.75">
      <c r="A9" s="74">
        <v>1</v>
      </c>
      <c r="B9" s="33" t="s">
        <v>425</v>
      </c>
      <c r="C9" s="260">
        <f>45497432+12037252</f>
        <v>57534684</v>
      </c>
      <c r="D9" s="260"/>
      <c r="E9" s="260"/>
      <c r="F9" s="260"/>
      <c r="G9" s="260">
        <f aca="true" t="shared" si="0" ref="G9:G19">SUM(C9:F9)</f>
        <v>57534684</v>
      </c>
    </row>
    <row r="10" spans="1:7" ht="12.75">
      <c r="A10" s="74">
        <v>2</v>
      </c>
      <c r="B10" s="33" t="s">
        <v>439</v>
      </c>
      <c r="C10" s="260">
        <v>97306192</v>
      </c>
      <c r="D10" s="260">
        <v>366552</v>
      </c>
      <c r="E10" s="260"/>
      <c r="F10" s="260"/>
      <c r="G10" s="260">
        <f t="shared" si="0"/>
        <v>97672744</v>
      </c>
    </row>
    <row r="11" spans="1:7" ht="12.75">
      <c r="A11" s="74">
        <v>3</v>
      </c>
      <c r="B11" s="33" t="s">
        <v>440</v>
      </c>
      <c r="C11" s="260">
        <v>24348600</v>
      </c>
      <c r="D11" s="260">
        <v>651400</v>
      </c>
      <c r="E11" s="260"/>
      <c r="F11" s="260"/>
      <c r="G11" s="260">
        <f t="shared" si="0"/>
        <v>25000000</v>
      </c>
    </row>
    <row r="12" spans="1:7" ht="25.5">
      <c r="A12" s="74">
        <v>4</v>
      </c>
      <c r="B12" s="33" t="s">
        <v>441</v>
      </c>
      <c r="C12" s="260">
        <f>140195598+7128185</f>
        <v>147323783</v>
      </c>
      <c r="D12" s="260">
        <v>3732322</v>
      </c>
      <c r="E12" s="260">
        <v>709395</v>
      </c>
      <c r="F12" s="260"/>
      <c r="G12" s="260">
        <f t="shared" si="0"/>
        <v>151765500</v>
      </c>
    </row>
    <row r="13" spans="1:7" ht="25.5">
      <c r="A13" s="74">
        <v>5</v>
      </c>
      <c r="B13" s="33" t="s">
        <v>442</v>
      </c>
      <c r="C13" s="260">
        <v>271378625</v>
      </c>
      <c r="D13" s="260"/>
      <c r="E13" s="260"/>
      <c r="F13" s="260"/>
      <c r="G13" s="260">
        <f t="shared" si="0"/>
        <v>271378625</v>
      </c>
    </row>
    <row r="14" spans="1:7" ht="25.5">
      <c r="A14" s="74">
        <v>6</v>
      </c>
      <c r="B14" s="33" t="s">
        <v>555</v>
      </c>
      <c r="C14" s="260">
        <v>127000000</v>
      </c>
      <c r="D14" s="260"/>
      <c r="E14" s="260"/>
      <c r="F14" s="260"/>
      <c r="G14" s="260">
        <f t="shared" si="0"/>
        <v>127000000</v>
      </c>
    </row>
    <row r="15" spans="1:7" ht="12.75">
      <c r="A15" s="74">
        <v>7</v>
      </c>
      <c r="B15" s="33" t="s">
        <v>435</v>
      </c>
      <c r="C15" s="260">
        <f>22471868+13442739</f>
        <v>35914607</v>
      </c>
      <c r="D15" s="260">
        <v>18101169</v>
      </c>
      <c r="E15" s="260">
        <v>13841876</v>
      </c>
      <c r="F15" s="260"/>
      <c r="G15" s="260">
        <f t="shared" si="0"/>
        <v>67857652</v>
      </c>
    </row>
    <row r="16" spans="1:7" ht="25.5">
      <c r="A16" s="74">
        <v>8</v>
      </c>
      <c r="B16" s="33" t="s">
        <v>437</v>
      </c>
      <c r="C16" s="260">
        <v>5769039</v>
      </c>
      <c r="D16" s="260">
        <v>12914304</v>
      </c>
      <c r="E16" s="260"/>
      <c r="F16" s="260"/>
      <c r="G16" s="260">
        <f t="shared" si="0"/>
        <v>18683343</v>
      </c>
    </row>
    <row r="17" spans="1:7" ht="12.75">
      <c r="A17" s="74">
        <v>9</v>
      </c>
      <c r="B17" s="33" t="s">
        <v>455</v>
      </c>
      <c r="C17" s="260">
        <f>2858476+1235605</f>
        <v>4094081</v>
      </c>
      <c r="D17" s="260">
        <v>2707746</v>
      </c>
      <c r="E17" s="260">
        <v>2661184</v>
      </c>
      <c r="F17" s="260">
        <v>301869</v>
      </c>
      <c r="G17" s="260">
        <f t="shared" si="0"/>
        <v>9764880</v>
      </c>
    </row>
    <row r="18" spans="1:7" ht="12.75">
      <c r="A18" s="74">
        <v>10</v>
      </c>
      <c r="B18" s="33" t="s">
        <v>517</v>
      </c>
      <c r="C18" s="260">
        <f>64561932+8310568</f>
        <v>72872500</v>
      </c>
      <c r="D18" s="260">
        <v>27421402</v>
      </c>
      <c r="E18" s="260"/>
      <c r="F18" s="260"/>
      <c r="G18" s="260">
        <f t="shared" si="0"/>
        <v>100293902</v>
      </c>
    </row>
    <row r="19" spans="1:7" ht="15" customHeight="1">
      <c r="A19" s="74">
        <v>11</v>
      </c>
      <c r="B19" s="75" t="s">
        <v>528</v>
      </c>
      <c r="C19" s="260">
        <v>17816680</v>
      </c>
      <c r="D19" s="260"/>
      <c r="E19" s="260"/>
      <c r="F19" s="260"/>
      <c r="G19" s="260">
        <f t="shared" si="0"/>
        <v>17816680</v>
      </c>
    </row>
    <row r="20" spans="1:7" s="54" customFormat="1" ht="12.75">
      <c r="A20" s="41"/>
      <c r="B20" s="76" t="s">
        <v>52</v>
      </c>
      <c r="C20" s="262">
        <f>SUM(C9:C18)</f>
        <v>843542111</v>
      </c>
      <c r="D20" s="262">
        <f>SUM(D9:D18)</f>
        <v>65894895</v>
      </c>
      <c r="E20" s="262">
        <f>SUM(E9:E18)</f>
        <v>17212455</v>
      </c>
      <c r="F20" s="262">
        <f>SUM(F9:F18)</f>
        <v>301869</v>
      </c>
      <c r="G20" s="262">
        <f>SUM(G9:G18)</f>
        <v>926951330</v>
      </c>
    </row>
    <row r="21" spans="1:7" ht="12.75">
      <c r="A21" s="40"/>
      <c r="B21" s="37"/>
      <c r="C21" s="37"/>
      <c r="D21" s="37"/>
      <c r="E21" s="37"/>
      <c r="F21" s="37"/>
      <c r="G21" s="37"/>
    </row>
    <row r="22" spans="1:7" ht="12.75">
      <c r="A22" s="40"/>
      <c r="B22" s="37" t="s">
        <v>518</v>
      </c>
      <c r="C22" s="37"/>
      <c r="D22" s="37"/>
      <c r="E22" s="37"/>
      <c r="F22" s="37"/>
      <c r="G22" s="252"/>
    </row>
    <row r="23" spans="1:7" ht="12.75">
      <c r="A23" s="40"/>
      <c r="B23" s="37" t="s">
        <v>519</v>
      </c>
      <c r="C23" s="37"/>
      <c r="D23" s="37"/>
      <c r="E23" s="37"/>
      <c r="F23" s="37"/>
      <c r="G23" s="37"/>
    </row>
    <row r="24" spans="1:7" ht="12.75">
      <c r="A24" s="40"/>
      <c r="B24" s="37" t="s">
        <v>520</v>
      </c>
      <c r="C24" s="37"/>
      <c r="D24" s="37"/>
      <c r="E24" s="37"/>
      <c r="F24" s="37"/>
      <c r="G24" s="37"/>
    </row>
  </sheetData>
  <sheetProtection selectLockedCells="1" selectUnlockedCells="1"/>
  <mergeCells count="2">
    <mergeCell ref="B4:G4"/>
    <mergeCell ref="B5:G5"/>
  </mergeCells>
  <printOptions/>
  <pageMargins left="0.7875" right="0.43333333333333335" top="0.5118055555555555" bottom="0.51180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1032540</dc:creator>
  <cp:keywords/>
  <dc:description/>
  <cp:lastModifiedBy>iktato</cp:lastModifiedBy>
  <cp:lastPrinted>2020-02-21T07:43:07Z</cp:lastPrinted>
  <dcterms:created xsi:type="dcterms:W3CDTF">2014-03-14T06:45:59Z</dcterms:created>
  <dcterms:modified xsi:type="dcterms:W3CDTF">2020-02-21T07:43:40Z</dcterms:modified>
  <cp:category/>
  <cp:version/>
  <cp:contentType/>
  <cp:contentStatus/>
</cp:coreProperties>
</file>