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4665" yWindow="525" windowWidth="12660" windowHeight="11640" tabRatio="816"/>
  </bookViews>
  <sheets>
    <sheet name="1.2.sz.mell. " sheetId="1375" r:id="rId1"/>
  </sheets>
  <definedNames>
    <definedName name="_xlnm.Print_Area" localSheetId="0">'1.2.sz.mell. '!$A$1:$C$159</definedName>
  </definedNames>
  <calcPr calcId="145621"/>
</workbook>
</file>

<file path=xl/calcChain.xml><?xml version="1.0" encoding="utf-8"?>
<calcChain xmlns="http://schemas.openxmlformats.org/spreadsheetml/2006/main">
  <c r="F95" i="1375" l="1"/>
  <c r="F94" i="1375"/>
  <c r="C152" i="1375" l="1"/>
  <c r="C151" i="1375"/>
  <c r="C150" i="1375"/>
  <c r="C149" i="1375"/>
  <c r="C148" i="1375"/>
  <c r="C147" i="1375"/>
  <c r="C146" i="1375"/>
  <c r="F145" i="1375"/>
  <c r="E145" i="1375"/>
  <c r="D145" i="1375"/>
  <c r="C145" i="1375" s="1"/>
  <c r="C144" i="1375"/>
  <c r="C143" i="1375"/>
  <c r="C142" i="1375"/>
  <c r="C141" i="1375"/>
  <c r="F140" i="1375"/>
  <c r="E140" i="1375"/>
  <c r="D140" i="1375"/>
  <c r="C140" i="1375" s="1"/>
  <c r="C139" i="1375"/>
  <c r="C138" i="1375"/>
  <c r="C137" i="1375"/>
  <c r="C136" i="1375"/>
  <c r="C135" i="1375"/>
  <c r="C134" i="1375"/>
  <c r="F133" i="1375"/>
  <c r="E133" i="1375"/>
  <c r="D133" i="1375"/>
  <c r="C133" i="1375" s="1"/>
  <c r="C132" i="1375"/>
  <c r="C131" i="1375"/>
  <c r="C130" i="1375"/>
  <c r="F129" i="1375"/>
  <c r="F153" i="1375" s="1"/>
  <c r="E129" i="1375"/>
  <c r="E153" i="1375" s="1"/>
  <c r="D129" i="1375"/>
  <c r="D153" i="1375" s="1"/>
  <c r="C153" i="1375" s="1"/>
  <c r="C129" i="1375"/>
  <c r="D127" i="1375"/>
  <c r="C127" i="1375"/>
  <c r="C126" i="1375"/>
  <c r="C125" i="1375"/>
  <c r="C124" i="1375"/>
  <c r="C123" i="1375"/>
  <c r="C122" i="1375"/>
  <c r="C121" i="1375"/>
  <c r="C120" i="1375"/>
  <c r="D119" i="1375"/>
  <c r="C119" i="1375" s="1"/>
  <c r="D118" i="1375"/>
  <c r="C118" i="1375" s="1"/>
  <c r="D117" i="1375"/>
  <c r="C117" i="1375" s="1"/>
  <c r="D116" i="1375"/>
  <c r="C116" i="1375" s="1"/>
  <c r="F115" i="1375"/>
  <c r="F114" i="1375" s="1"/>
  <c r="C114" i="1375" s="1"/>
  <c r="D115" i="1375"/>
  <c r="C115" i="1375"/>
  <c r="E114" i="1375"/>
  <c r="D114" i="1375"/>
  <c r="D113" i="1375"/>
  <c r="C113" i="1375"/>
  <c r="D112" i="1375"/>
  <c r="C112" i="1375"/>
  <c r="F111" i="1375"/>
  <c r="D111" i="1375"/>
  <c r="C111" i="1375" s="1"/>
  <c r="D110" i="1375"/>
  <c r="C110" i="1375" s="1"/>
  <c r="C109" i="1375"/>
  <c r="C108" i="1375"/>
  <c r="C107" i="1375"/>
  <c r="C106" i="1375"/>
  <c r="C105" i="1375"/>
  <c r="C104" i="1375"/>
  <c r="C103" i="1375"/>
  <c r="C102" i="1375"/>
  <c r="C101" i="1375"/>
  <c r="C100" i="1375"/>
  <c r="D99" i="1375"/>
  <c r="C99" i="1375" s="1"/>
  <c r="D98" i="1375"/>
  <c r="C98" i="1375" s="1"/>
  <c r="D97" i="1375"/>
  <c r="C97" i="1375" s="1"/>
  <c r="F96" i="1375"/>
  <c r="E96" i="1375"/>
  <c r="D96" i="1375"/>
  <c r="C96" i="1375" s="1"/>
  <c r="E95" i="1375"/>
  <c r="D95" i="1375"/>
  <c r="C95" i="1375" s="1"/>
  <c r="E94" i="1375"/>
  <c r="D94" i="1375"/>
  <c r="C94" i="1375" s="1"/>
  <c r="F93" i="1375"/>
  <c r="F128" i="1375" s="1"/>
  <c r="F154" i="1375" s="1"/>
  <c r="E93" i="1375"/>
  <c r="E128" i="1375" s="1"/>
  <c r="E154" i="1375" s="1"/>
  <c r="D93" i="1375"/>
  <c r="D128" i="1375" s="1"/>
  <c r="C91" i="1375"/>
  <c r="C85" i="1375"/>
  <c r="C84" i="1375"/>
  <c r="C83" i="1375"/>
  <c r="C82" i="1375"/>
  <c r="C81" i="1375"/>
  <c r="C80" i="1375"/>
  <c r="F79" i="1375"/>
  <c r="E79" i="1375"/>
  <c r="E86" i="1375" s="1"/>
  <c r="D79" i="1375"/>
  <c r="C79" i="1375"/>
  <c r="C78" i="1375"/>
  <c r="C77" i="1375"/>
  <c r="C76" i="1375"/>
  <c r="F75" i="1375"/>
  <c r="E75" i="1375"/>
  <c r="D75" i="1375"/>
  <c r="C75" i="1375" s="1"/>
  <c r="C74" i="1375"/>
  <c r="E73" i="1375"/>
  <c r="D73" i="1375"/>
  <c r="C73" i="1375" s="1"/>
  <c r="F72" i="1375"/>
  <c r="E72" i="1375"/>
  <c r="D72" i="1375"/>
  <c r="C72" i="1375" s="1"/>
  <c r="C71" i="1375"/>
  <c r="C70" i="1375"/>
  <c r="C69" i="1375"/>
  <c r="C68" i="1375"/>
  <c r="F67" i="1375"/>
  <c r="E67" i="1375"/>
  <c r="D67" i="1375"/>
  <c r="C67" i="1375" s="1"/>
  <c r="C66" i="1375"/>
  <c r="C65" i="1375"/>
  <c r="D64" i="1375"/>
  <c r="C64" i="1375" s="1"/>
  <c r="F63" i="1375"/>
  <c r="F86" i="1375" s="1"/>
  <c r="E63" i="1375"/>
  <c r="D63" i="1375"/>
  <c r="D86" i="1375" s="1"/>
  <c r="C86" i="1375" s="1"/>
  <c r="C159" i="1375" s="1"/>
  <c r="C61" i="1375"/>
  <c r="C60" i="1375"/>
  <c r="C59" i="1375"/>
  <c r="C58" i="1375"/>
  <c r="F57" i="1375"/>
  <c r="E57" i="1375"/>
  <c r="D57" i="1375"/>
  <c r="C57" i="1375" s="1"/>
  <c r="C56" i="1375"/>
  <c r="D55" i="1375"/>
  <c r="C55" i="1375"/>
  <c r="C54" i="1375"/>
  <c r="C53" i="1375"/>
  <c r="F52" i="1375"/>
  <c r="E52" i="1375"/>
  <c r="D52" i="1375"/>
  <c r="C52" i="1375"/>
  <c r="C51" i="1375"/>
  <c r="C50" i="1375"/>
  <c r="C49" i="1375"/>
  <c r="C48" i="1375"/>
  <c r="C47" i="1375"/>
  <c r="F46" i="1375"/>
  <c r="E46" i="1375"/>
  <c r="D46" i="1375"/>
  <c r="C46" i="1375" s="1"/>
  <c r="D45" i="1375"/>
  <c r="C45" i="1375" s="1"/>
  <c r="D44" i="1375"/>
  <c r="C44" i="1375" s="1"/>
  <c r="C43" i="1375"/>
  <c r="C42" i="1375"/>
  <c r="C41" i="1375"/>
  <c r="F40" i="1375"/>
  <c r="E40" i="1375"/>
  <c r="D40" i="1375"/>
  <c r="C40" i="1375"/>
  <c r="F39" i="1375"/>
  <c r="C39" i="1375"/>
  <c r="C38" i="1375"/>
  <c r="D37" i="1375"/>
  <c r="C37" i="1375" s="1"/>
  <c r="E36" i="1375"/>
  <c r="D36" i="1375"/>
  <c r="C36" i="1375"/>
  <c r="F35" i="1375"/>
  <c r="C35" i="1375"/>
  <c r="F34" i="1375"/>
  <c r="E34" i="1375"/>
  <c r="D33" i="1375"/>
  <c r="C33" i="1375"/>
  <c r="D32" i="1375"/>
  <c r="C32" i="1375"/>
  <c r="D31" i="1375"/>
  <c r="C31" i="1375"/>
  <c r="C30" i="1375"/>
  <c r="D29" i="1375"/>
  <c r="C29" i="1375" s="1"/>
  <c r="D28" i="1375"/>
  <c r="C28" i="1375" s="1"/>
  <c r="D27" i="1375"/>
  <c r="C27" i="1375" s="1"/>
  <c r="F26" i="1375"/>
  <c r="E26" i="1375"/>
  <c r="D26" i="1375"/>
  <c r="C26" i="1375" s="1"/>
  <c r="D25" i="1375"/>
  <c r="C25" i="1375" s="1"/>
  <c r="D24" i="1375"/>
  <c r="C24" i="1375" s="1"/>
  <c r="C23" i="1375"/>
  <c r="C22" i="1375"/>
  <c r="C21" i="1375"/>
  <c r="D20" i="1375"/>
  <c r="C20" i="1375"/>
  <c r="F19" i="1375"/>
  <c r="E19" i="1375"/>
  <c r="C18" i="1375"/>
  <c r="E17" i="1375"/>
  <c r="D17" i="1375"/>
  <c r="C17" i="1375"/>
  <c r="C16" i="1375"/>
  <c r="C15" i="1375"/>
  <c r="C14" i="1375"/>
  <c r="C13" i="1375"/>
  <c r="F12" i="1375"/>
  <c r="E12" i="1375"/>
  <c r="D12" i="1375"/>
  <c r="C12" i="1375"/>
  <c r="C11" i="1375"/>
  <c r="D10" i="1375"/>
  <c r="C10" i="1375" s="1"/>
  <c r="D9" i="1375"/>
  <c r="C9" i="1375" s="1"/>
  <c r="D8" i="1375"/>
  <c r="C8" i="1375" s="1"/>
  <c r="D7" i="1375"/>
  <c r="C7" i="1375" s="1"/>
  <c r="D6" i="1375"/>
  <c r="C6" i="1375" s="1"/>
  <c r="F5" i="1375"/>
  <c r="F62" i="1375" s="1"/>
  <c r="F87" i="1375" s="1"/>
  <c r="E5" i="1375"/>
  <c r="E62" i="1375" s="1"/>
  <c r="E87" i="1375" s="1"/>
  <c r="D5" i="1375"/>
  <c r="C5" i="1375" s="1"/>
  <c r="D154" i="1375" l="1"/>
  <c r="C154" i="1375" s="1"/>
  <c r="C128" i="1375"/>
  <c r="D19" i="1375"/>
  <c r="C19" i="1375" s="1"/>
  <c r="D34" i="1375"/>
  <c r="C34" i="1375" s="1"/>
  <c r="C63" i="1375"/>
  <c r="C93" i="1375"/>
  <c r="D62" i="1375" l="1"/>
  <c r="D87" i="1375" l="1"/>
  <c r="C87" i="1375" s="1"/>
  <c r="C62" i="1375"/>
  <c r="C158" i="1375" s="1"/>
</calcChain>
</file>

<file path=xl/sharedStrings.xml><?xml version="1.0" encoding="utf-8"?>
<sst xmlns="http://schemas.openxmlformats.org/spreadsheetml/2006/main" count="316" uniqueCount="273">
  <si>
    <t>B E V É T E L E K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</si>
  <si>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</si>
  <si>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</si>
  <si>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</si>
  <si>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</si>
  <si>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</si>
  <si>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</si>
  <si>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</si>
  <si>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</si>
  <si>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</si>
  <si>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</si>
  <si>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</si>
  <si>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</si>
  <si>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K I A D Á S O K</t>
  </si>
  <si>
    <t>Kiadási jogcímek</t>
  </si>
  <si>
    <t>Személyi  juttatások</t>
  </si>
  <si>
    <t>Sor-
szám</t>
  </si>
  <si>
    <t>5.1.</t>
  </si>
  <si>
    <t>5.2.</t>
  </si>
  <si>
    <t>5.3.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</si>
  <si>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</si>
  <si>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</si>
  <si>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</si>
  <si>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</si>
  <si>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</si>
  <si>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</si>
  <si>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</si>
  <si>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</si>
  <si>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</si>
  <si>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</si>
  <si>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1.8.</t>
  </si>
  <si>
    <t>1.9.</t>
  </si>
  <si>
    <t>1.10.</t>
  </si>
  <si>
    <t>1.11.</t>
  </si>
  <si>
    <t>Dologi  kiadások</t>
  </si>
  <si>
    <t>1.5.</t>
  </si>
  <si>
    <t>1. sz. táblázat</t>
  </si>
  <si>
    <t>2. sz. táblázat</t>
  </si>
  <si>
    <t xml:space="preserve">4. </t>
  </si>
  <si>
    <t xml:space="preserve">7. </t>
  </si>
  <si>
    <t>Munkaadókat terhelő járulékok és szociális hozzájárulási adó</t>
  </si>
  <si>
    <t>Ellátottak pénzbeli juttatásai</t>
  </si>
  <si>
    <t>Egyéb működési célú kiadások</t>
  </si>
  <si>
    <t>Felújítások</t>
  </si>
  <si>
    <t>Beruházások</t>
  </si>
  <si>
    <t>Egyéb felhalmozási kiadások</t>
  </si>
  <si>
    <t>Elvonások és befizetések bevételei</t>
  </si>
  <si>
    <t>Felhalmozási célú önkormányzati támogatások</t>
  </si>
  <si>
    <t>Közhatalmi bevételek (4.1.+4.2.+4.3.+4.4.)</t>
  </si>
  <si>
    <t>4.1.</t>
  </si>
  <si>
    <t>4.2.</t>
  </si>
  <si>
    <t>4.3.</t>
  </si>
  <si>
    <t>4.4.</t>
  </si>
  <si>
    <t>- Vagyoni típusú adók</t>
  </si>
  <si>
    <t>Gépjárműadó</t>
  </si>
  <si>
    <t>Egyéb áruhasználati és szolgáltatási adók</t>
  </si>
  <si>
    <t>Egyéb közhatalmi bevételek</t>
  </si>
  <si>
    <t>Készletértékesítés ellenértéke</t>
  </si>
  <si>
    <t>Szolgáltatások ellenértéke</t>
  </si>
  <si>
    <t>Közvetített szolgáltatások értéke</t>
  </si>
  <si>
    <t>Tulajdonosi bevételek</t>
  </si>
  <si>
    <t>Ellátási díjak</t>
  </si>
  <si>
    <t>Egyéb pénzügyi műveletek bevételei</t>
  </si>
  <si>
    <t>Egyéb működési bevételek</t>
  </si>
  <si>
    <t>Immateriális javak értékesítése</t>
  </si>
  <si>
    <t>Ingatlanok értékesítése</t>
  </si>
  <si>
    <t>Egyéb tárgyi eszközök értékesítése</t>
  </si>
  <si>
    <t>KÖLTSÉGVETÉSI BEVÉTELEK ÖSSZESEN: (1+…+8)</t>
  </si>
  <si>
    <t>A</t>
  </si>
  <si>
    <t>B</t>
  </si>
  <si>
    <t>C</t>
  </si>
  <si>
    <t>Helyi adók  (4.1.1.+...+4.1.3.)</t>
  </si>
  <si>
    <t>Biztosító által fizetett kártérítés</t>
  </si>
  <si>
    <t>KÖLTSÉGVETÉSI KIADÁSOK ÖSSZESEN (1+2)</t>
  </si>
  <si>
    <t>Jövedelemadó</t>
  </si>
  <si>
    <t>2018. évi előirányzat</t>
  </si>
  <si>
    <t>Forintban</t>
  </si>
  <si>
    <t>Önk</t>
  </si>
  <si>
    <t>PH</t>
  </si>
  <si>
    <t>INT</t>
  </si>
  <si>
    <t>Önkormányzat működési támogatásai (1.1.+…+.1.6.)</t>
  </si>
  <si>
    <t>Helyi önkormányzatok működésének általános támogatása</t>
  </si>
  <si>
    <t>Önkormányzatok egyes köznevelési feladatainak támogatása</t>
  </si>
  <si>
    <t>Önkormányzatok kulturális feladatainak támogatása</t>
  </si>
  <si>
    <t xml:space="preserve">Működési célú kvi támogatások és kiegészítő támogatások </t>
  </si>
  <si>
    <t>Elszámolásból származó bevételek</t>
  </si>
  <si>
    <t>Működési célú támogatások államháztartáson belülről (2.1.+…+.2.5.)</t>
  </si>
  <si>
    <t xml:space="preserve">Működési célú garancia- és kezességvállalásból megtérülések </t>
  </si>
  <si>
    <t xml:space="preserve">Működési célú visszatérítendő támogatások, kölcsönök visszatérülése 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</si>
  <si>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</si>
  <si>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</si>
  <si>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</si>
  <si>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</si>
  <si>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</si>
  <si>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Felhalmozási célú támogatások államháztartáson belülről (3.1.+…+3.5.)</t>
  </si>
  <si>
    <t>3.1.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</si>
  <si>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</si>
  <si>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</si>
  <si>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</si>
  <si>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</si>
  <si>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</si>
  <si>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</si>
  <si>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</si>
  <si>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</si>
  <si>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</si>
  <si>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</si>
  <si>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>4.1.1.</t>
  </si>
  <si>
    <t>4.1.2.</t>
  </si>
  <si>
    <t>Működési bevételek (5.1.+…+ 5.11.)</t>
  </si>
  <si>
    <t>5.4.</t>
  </si>
  <si>
    <t>5.5.</t>
  </si>
  <si>
    <t>5.6.</t>
  </si>
  <si>
    <t xml:space="preserve">Kiszámlázott általános forgalmi adó </t>
  </si>
  <si>
    <t>5.7.</t>
  </si>
  <si>
    <t>Általános forgalmi adó visszatérítése</t>
  </si>
  <si>
    <t>5.8.</t>
  </si>
  <si>
    <t>5.9.</t>
  </si>
  <si>
    <t>5.10.</t>
  </si>
  <si>
    <t>5.11.</t>
  </si>
  <si>
    <t>Felhalmozási bevételek (6.1.+…+6.5.)</t>
  </si>
  <si>
    <t>6.1.</t>
  </si>
  <si>
    <t>6.2.</t>
  </si>
  <si>
    <t>6.3.</t>
  </si>
  <si>
    <t>6.4.</t>
  </si>
  <si>
    <t>Részesedések értékesítése</t>
  </si>
  <si>
    <t>6.5.</t>
  </si>
  <si>
    <t>Részesedések megszűnéséhez kapcsolódó bevételek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</si>
  <si>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</si>
  <si>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</si>
  <si>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</si>
  <si>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</si>
  <si>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</si>
  <si>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</si>
  <si>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</si>
  <si>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</si>
  <si>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</si>
  <si>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</si>
  <si>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</si>
  <si>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</si>
  <si>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</si>
  <si>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</si>
  <si>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</si>
  <si>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</si>
  <si>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</si>
  <si>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</si>
  <si>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 xml:space="preserve">   9.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</si>
  <si>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</si>
  <si>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</si>
  <si>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</si>
  <si>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</si>
  <si>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</si>
  <si>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</si>
  <si>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</si>
  <si>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</si>
  <si>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</si>
  <si>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</si>
  <si>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</si>
  <si>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</si>
  <si>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</si>
  <si>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</si>
  <si>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</si>
  <si>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</si>
  <si>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</si>
  <si>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</si>
  <si>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</si>
  <si>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</si>
  <si>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</si>
  <si>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</si>
  <si>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</si>
  <si>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</si>
  <si>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</si>
  <si>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</si>
  <si>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</si>
  <si>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</si>
  <si>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</si>
  <si>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</si>
  <si>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</si>
  <si>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</si>
  <si>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</si>
  <si>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</si>
  <si>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</si>
  <si>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</si>
  <si>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</si>
  <si>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</si>
  <si>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</si>
  <si>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</si>
  <si>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</si>
  <si>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</si>
  <si>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</si>
  <si>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</si>
  <si>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 16.</t>
  </si>
  <si>
    <t>Adóssághoz nem kapcsolódó származékos ügyletek bevételei</t>
  </si>
  <si>
    <t xml:space="preserve">    17.</t>
  </si>
  <si>
    <t>FINANSZÍROZÁSI BEVÉTELEK ÖSSZESEN: (10. + … +16.)</t>
  </si>
  <si>
    <t xml:space="preserve">    18.</t>
  </si>
  <si>
    <t>KÖLTSÉGVETÉSI ÉS FINANSZÍROZÁSI BEVÉTELEK ÖSSZESEN: (9+17)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</si>
  <si>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</si>
  <si>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1.5</t>
  </si>
  <si>
    <t xml:space="preserve"> - az 1.5-ből: - Előző évi elszámolásból származó befizetések</t>
  </si>
  <si>
    <t xml:space="preserve">   - Törvényi előíráson alapuló befizetések</t>
  </si>
  <si>
    <t xml:space="preserve">   - Elvonások és befizetések</t>
  </si>
  <si>
    <t xml:space="preserve">   - Garancia- és kezességvállalásból kifizetés ÁH-n belülre</t>
  </si>
  <si>
    <t xml:space="preserve">   -Visszatérítendő támogatások, kölcsönök nyújtása ÁH-n belülre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</si>
  <si>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</si>
  <si>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</si>
  <si>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</si>
  <si>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</si>
  <si>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</si>
  <si>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</si>
  <si>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</si>
  <si>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</si>
  <si>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</si>
  <si>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</si>
  <si>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</si>
  <si>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</si>
  <si>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</si>
  <si>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</si>
  <si>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</si>
  <si>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</si>
  <si>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- az 1.18-ból: - Általános tartalék</t>
  </si>
  <si>
    <t>1.20.</t>
  </si>
  <si>
    <t xml:space="preserve">   - Céltartalék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</si>
  <si>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</si>
  <si>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2.1.-ből EU-s forrásból megvalósuló beruházás</t>
  </si>
  <si>
    <t>2.3.-ból EU-s forrásból megvalósuló felújítás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</si>
  <si>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</si>
  <si>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</si>
  <si>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</si>
  <si>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</si>
  <si>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</si>
  <si>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</si>
  <si>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</si>
  <si>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</si>
  <si>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</si>
  <si>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</si>
  <si>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</si>
  <si>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</si>
  <si>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</si>
  <si>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Hitel-, kölcsöntörlesztés államháztartáson kívülre (4.1. + … + 4.3.)</t>
  </si>
  <si>
    <t>Hosszú lejáratú hitelek, kölcsönök törlesztése pénzügyi vállalkozásnak</t>
  </si>
  <si>
    <t>Likviditási célú hitelek, kölcsönök törlesztése pénzügyi vállalkozásnak</t>
  </si>
  <si>
    <t>Rövid lejáratú hitelek, kölcsönök törlesztése pénzügyi vállalkozásnak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</si>
  <si>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</si>
  <si>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</si>
  <si>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</si>
  <si>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</si>
  <si>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</si>
  <si>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</si>
  <si>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</si>
  <si>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Belföldi finanszírozás kiadásai (6.1. + … + 6.4.)</t>
  </si>
  <si>
    <t>Államháztartáson belüli megelőlegezések folyósítása</t>
  </si>
  <si>
    <t>Államháztartáson belüli megelőlegezések visszafizetése</t>
  </si>
  <si>
    <t>Pénzeszközök lekötött betétként elhelyezése</t>
  </si>
  <si>
    <t>Pénzügyi lízing kiadásai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</si>
  <si>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</si>
  <si>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</si>
  <si>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</si>
  <si>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</si>
  <si>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</si>
  <si>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</si>
  <si>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</si>
  <si>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</si>
  <si>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Váltókiadások</t>
  </si>
  <si>
    <t>FINANSZÍROZÁSI KIADÁSOK ÖSSZESEN: (4.+…+9.)</t>
  </si>
  <si>
    <t>KIADÁSOK ÖSSZESEN: (3.+10.)</t>
  </si>
  <si>
    <t>KÖLTSÉGVETÉSI, FINANSZÍROZÁSI BEVÉTELEK ÉS KIADÁSOK EGYENLEGE</t>
  </si>
  <si>
    <t>3. sz. táblázat</t>
  </si>
  <si>
    <t>Költségvetési hiány, többlet ( költségvetési bevételek 9. sor - költségvetési kiadások 3. sor) (+/-)</t>
  </si>
  <si>
    <t>Finanszírozási bevételek, kiadások egyenlege (finanszírozási bevételek 17. sor - finanszírozási kiadások 10. sor)
 (+/-)</t>
  </si>
  <si>
    <t>Önkormányzatok szociális, gyermekjóléti és étkeztetési  feladatainak támogatása</t>
  </si>
  <si>
    <t>Értékesítési és forgalmi adók</t>
  </si>
  <si>
    <t>4.1.3.</t>
  </si>
  <si>
    <t>Kamatbevételek és nyereség jellegű bevételek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</si>
</sst>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F_t_-;\-* #,##0.00\ _F_t_-;_-* &quot;-&quot;??\ _F_t_-;_-@_-"/>
    <numFmt numFmtId="164" formatCode="#,###"/>
  </numFmts>
  <fonts count="28" x14ac:knownFonts="1">
    <font>
      <sz val="10"/>
      <name val="Times New Roman CE"/>
      <charset val="238"/>
    </font>
    <font>
      <sz val="10"/>
      <name val="Times New Roman CE"/>
      <charset val="238"/>
    </font>
    <font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sz val="10"/>
      <name val="Times New Roman CE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i/>
      <sz val="9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Arial"/>
      <family val="2"/>
      <charset val="238"/>
    </font>
    <font>
      <sz val="10"/>
      <name val="MS Sans Serif"/>
      <family val="2"/>
      <charset val="238"/>
    </font>
    <font>
      <b/>
      <sz val="8"/>
      <color indexed="10"/>
      <name val="Times New Roman CE"/>
      <charset val="238"/>
    </font>
    <font>
      <sz val="10"/>
      <name val="MS Sans Serif"/>
      <family val="2"/>
      <charset val="238"/>
    </font>
    <font>
      <b/>
      <sz val="8"/>
      <color rgb="FFFF0000"/>
      <name val="Times New Roman CE"/>
      <charset val="238"/>
    </font>
    <font>
      <sz val="8"/>
      <color indexed="8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2">
    <xf numFmtId="0" fontId="0" fillId="0" borderId="0"/>
    <xf numFmtId="0" fontId="20" fillId="2" borderId="0" applyNumberFormat="0" applyBorder="0" applyAlignment="0" applyProtection="0"/>
    <xf numFmtId="0" fontId="20" fillId="3" borderId="0" applyNumberFormat="0" applyBorder="0" applyAlignment="0" applyProtection="0"/>
    <xf numFmtId="0" fontId="20" fillId="4" borderId="0" applyNumberFormat="0" applyBorder="0" applyAlignment="0" applyProtection="0"/>
    <xf numFmtId="0" fontId="20" fillId="5" borderId="0" applyNumberFormat="0" applyBorder="0" applyAlignment="0" applyProtection="0"/>
    <xf numFmtId="0" fontId="20" fillId="2" borderId="0" applyNumberFormat="0" applyBorder="0" applyAlignment="0" applyProtection="0"/>
    <xf numFmtId="0" fontId="20" fillId="6" borderId="0" applyNumberFormat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21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24" fillId="0" borderId="0"/>
    <xf numFmtId="0" fontId="22" fillId="0" borderId="0"/>
    <xf numFmtId="0" fontId="24" fillId="0" borderId="0"/>
    <xf numFmtId="0" fontId="22" fillId="0" borderId="0"/>
    <xf numFmtId="0" fontId="6" fillId="0" borderId="0"/>
    <xf numFmtId="43" fontId="1" fillId="0" borderId="0" applyFont="0" applyFill="0" applyBorder="0" applyAlignment="0" applyProtection="0"/>
    <xf numFmtId="0" fontId="22" fillId="0" borderId="0"/>
    <xf numFmtId="0" fontId="1" fillId="0" borderId="0"/>
  </cellStyleXfs>
  <cellXfs count="116">
    <xf numFmtId="0" fontId="0" fillId="0" borderId="0" xfId="0"/>
    <xf numFmtId="0" fontId="12" fillId="0" borderId="1" xfId="18" applyFont="1" applyFill="1" applyBorder="1" applyAlignment="1" applyProtection="1">
      <alignment horizontal="left" vertical="center" wrapText="1" indent="1"/>
    </xf>
    <xf numFmtId="0" fontId="12" fillId="0" borderId="2" xfId="18" applyFont="1" applyFill="1" applyBorder="1" applyAlignment="1" applyProtection="1">
      <alignment horizontal="left" vertical="center" wrapText="1" indent="1"/>
    </xf>
    <xf numFmtId="0" fontId="12" fillId="0" borderId="3" xfId="18" applyFont="1" applyFill="1" applyBorder="1" applyAlignment="1" applyProtection="1">
      <alignment horizontal="left" vertical="center" wrapText="1" indent="1"/>
    </xf>
    <xf numFmtId="0" fontId="12" fillId="0" borderId="4" xfId="18" applyFont="1" applyFill="1" applyBorder="1" applyAlignment="1" applyProtection="1">
      <alignment horizontal="left" vertical="center" wrapText="1" indent="1"/>
    </xf>
    <xf numFmtId="0" fontId="12" fillId="0" borderId="5" xfId="18" applyFont="1" applyFill="1" applyBorder="1" applyAlignment="1" applyProtection="1">
      <alignment horizontal="left" vertical="center" wrapText="1" indent="1"/>
    </xf>
    <xf numFmtId="49" fontId="12" fillId="0" borderId="7" xfId="18" applyNumberFormat="1" applyFont="1" applyFill="1" applyBorder="1" applyAlignment="1" applyProtection="1">
      <alignment horizontal="left" vertical="center" wrapText="1" indent="1"/>
    </xf>
    <xf numFmtId="49" fontId="12" fillId="0" borderId="8" xfId="18" applyNumberFormat="1" applyFont="1" applyFill="1" applyBorder="1" applyAlignment="1" applyProtection="1">
      <alignment horizontal="left" vertical="center" wrapText="1" indent="1"/>
    </xf>
    <xf numFmtId="49" fontId="12" fillId="0" borderId="9" xfId="18" applyNumberFormat="1" applyFont="1" applyFill="1" applyBorder="1" applyAlignment="1" applyProtection="1">
      <alignment horizontal="left" vertical="center" wrapText="1" indent="1"/>
    </xf>
    <xf numFmtId="0" fontId="11" fillId="0" borderId="12" xfId="18" applyFont="1" applyFill="1" applyBorder="1" applyAlignment="1" applyProtection="1">
      <alignment horizontal="left" vertical="center" wrapText="1" indent="1"/>
    </xf>
    <xf numFmtId="0" fontId="5" fillId="0" borderId="12" xfId="18" applyFont="1" applyFill="1" applyBorder="1" applyAlignment="1" applyProtection="1">
      <alignment horizontal="center" vertical="center" wrapText="1"/>
    </xf>
    <xf numFmtId="0" fontId="5" fillId="0" borderId="13" xfId="18" applyFont="1" applyFill="1" applyBorder="1" applyAlignment="1" applyProtection="1">
      <alignment horizontal="center" vertical="center" wrapText="1"/>
    </xf>
    <xf numFmtId="0" fontId="11" fillId="0" borderId="13" xfId="18" applyFont="1" applyFill="1" applyBorder="1" applyAlignment="1" applyProtection="1">
      <alignment vertical="center" wrapText="1"/>
    </xf>
    <xf numFmtId="0" fontId="11" fillId="0" borderId="12" xfId="18" applyFont="1" applyFill="1" applyBorder="1" applyAlignment="1" applyProtection="1">
      <alignment horizontal="center" vertical="center" wrapText="1"/>
    </xf>
    <xf numFmtId="0" fontId="17" fillId="0" borderId="13" xfId="18" applyFont="1" applyFill="1" applyBorder="1" applyAlignment="1" applyProtection="1">
      <alignment horizontal="left" vertical="center" wrapText="1" indent="1"/>
    </xf>
    <xf numFmtId="164" fontId="12" fillId="0" borderId="29" xfId="18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5" xfId="0" applyFont="1" applyBorder="1" applyAlignment="1" applyProtection="1">
      <alignment horizontal="left" vertical="center" wrapText="1" indent="1"/>
    </xf>
    <xf numFmtId="0" fontId="16" fillId="0" borderId="30" xfId="0" applyFont="1" applyBorder="1" applyAlignment="1" applyProtection="1">
      <alignment horizontal="left" vertical="center" wrapText="1" indent="1"/>
    </xf>
    <xf numFmtId="0" fontId="3" fillId="0" borderId="23" xfId="0" applyFont="1" applyFill="1" applyBorder="1" applyAlignment="1" applyProtection="1">
      <alignment horizontal="right" vertical="center"/>
    </xf>
    <xf numFmtId="0" fontId="14" fillId="0" borderId="24" xfId="0" applyFont="1" applyBorder="1" applyAlignment="1" applyProtection="1">
      <alignment horizontal="left" vertical="center" wrapText="1" indent="1"/>
    </xf>
    <xf numFmtId="0" fontId="6" fillId="0" borderId="0" xfId="18" applyFont="1" applyFill="1" applyProtection="1"/>
    <xf numFmtId="0" fontId="11" fillId="0" borderId="14" xfId="18" applyFont="1" applyFill="1" applyBorder="1" applyAlignment="1" applyProtection="1">
      <alignment horizontal="center" vertical="center" wrapText="1"/>
    </xf>
    <xf numFmtId="0" fontId="11" fillId="0" borderId="15" xfId="18" applyFont="1" applyFill="1" applyBorder="1" applyAlignment="1" applyProtection="1">
      <alignment horizontal="center" vertical="center" wrapText="1"/>
    </xf>
    <xf numFmtId="0" fontId="6" fillId="0" borderId="0" xfId="18" applyFill="1" applyProtection="1"/>
    <xf numFmtId="0" fontId="12" fillId="0" borderId="0" xfId="18" applyFont="1" applyFill="1" applyProtection="1"/>
    <xf numFmtId="0" fontId="9" fillId="0" borderId="0" xfId="18" applyFont="1" applyFill="1" applyProtection="1"/>
    <xf numFmtId="0" fontId="13" fillId="0" borderId="0" xfId="18" applyFont="1" applyFill="1" applyProtection="1"/>
    <xf numFmtId="164" fontId="11" fillId="0" borderId="18" xfId="18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30" xfId="18" applyFont="1" applyFill="1" applyBorder="1" applyAlignment="1" applyProtection="1">
      <alignment horizontal="left" vertical="center" wrapText="1" indent="1"/>
    </xf>
    <xf numFmtId="164" fontId="11" fillId="0" borderId="31" xfId="18" applyNumberFormat="1" applyFont="1" applyFill="1" applyBorder="1" applyAlignment="1" applyProtection="1">
      <alignment horizontal="right" vertical="center" wrapText="1" indent="1"/>
    </xf>
    <xf numFmtId="164" fontId="12" fillId="0" borderId="32" xfId="18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31" xfId="0" quotePrefix="1" applyNumberFormat="1" applyFont="1" applyBorder="1" applyAlignment="1" applyProtection="1">
      <alignment horizontal="right" vertical="center" wrapText="1" indent="1"/>
    </xf>
    <xf numFmtId="0" fontId="5" fillId="0" borderId="18" xfId="18" applyFont="1" applyFill="1" applyBorder="1" applyAlignment="1" applyProtection="1">
      <alignment horizontal="center" vertical="center" wrapText="1"/>
    </xf>
    <xf numFmtId="0" fontId="11" fillId="0" borderId="27" xfId="18" applyFont="1" applyFill="1" applyBorder="1" applyAlignment="1" applyProtection="1">
      <alignment horizontal="center" vertical="center" wrapText="1"/>
    </xf>
    <xf numFmtId="0" fontId="11" fillId="0" borderId="13" xfId="18" applyFont="1" applyFill="1" applyBorder="1" applyAlignment="1" applyProtection="1">
      <alignment horizontal="left" vertical="center" wrapText="1" indent="1"/>
    </xf>
    <xf numFmtId="164" fontId="11" fillId="0" borderId="18" xfId="18" applyNumberFormat="1" applyFont="1" applyFill="1" applyBorder="1" applyAlignment="1" applyProtection="1">
      <alignment horizontal="right" vertical="center" wrapText="1" indent="1"/>
    </xf>
    <xf numFmtId="0" fontId="15" fillId="0" borderId="3" xfId="0" applyFont="1" applyBorder="1" applyAlignment="1" applyProtection="1">
      <alignment horizontal="left" wrapText="1" indent="1"/>
    </xf>
    <xf numFmtId="164" fontId="18" fillId="0" borderId="19" xfId="18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2" xfId="0" applyFont="1" applyBorder="1" applyAlignment="1" applyProtection="1">
      <alignment horizontal="left" wrapText="1" indent="1"/>
    </xf>
    <xf numFmtId="164" fontId="25" fillId="0" borderId="17" xfId="18" applyNumberFormat="1" applyFont="1" applyFill="1" applyBorder="1" applyAlignment="1" applyProtection="1">
      <alignment horizontal="right" vertical="center" wrapText="1" indent="1"/>
    </xf>
    <xf numFmtId="164" fontId="18" fillId="0" borderId="17" xfId="18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2" xfId="0" applyFont="1" applyBorder="1" applyAlignment="1" applyProtection="1">
      <alignment horizontal="left" vertical="center" wrapText="1" indent="1"/>
    </xf>
    <xf numFmtId="164" fontId="12" fillId="0" borderId="17" xfId="18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13" xfId="0" applyFont="1" applyBorder="1" applyAlignment="1" applyProtection="1">
      <alignment horizontal="left" vertical="center" wrapText="1" indent="1"/>
    </xf>
    <xf numFmtId="164" fontId="12" fillId="0" borderId="19" xfId="18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17" xfId="18" applyNumberFormat="1" applyFont="1" applyFill="1" applyBorder="1" applyAlignment="1" applyProtection="1">
      <alignment horizontal="right" vertical="center" wrapText="1" indent="1"/>
    </xf>
    <xf numFmtId="164" fontId="26" fillId="0" borderId="17" xfId="18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8" xfId="18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2" xfId="18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32" xfId="18" applyNumberFormat="1" applyFont="1" applyFill="1" applyBorder="1" applyAlignment="1" applyProtection="1">
      <alignment horizontal="right" vertical="center" wrapText="1" indent="1"/>
      <protection locked="0"/>
    </xf>
    <xf numFmtId="164" fontId="23" fillId="0" borderId="19" xfId="18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9" xfId="18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5" xfId="0" applyFont="1" applyBorder="1" applyAlignment="1" applyProtection="1">
      <alignment horizontal="left" wrapText="1" indent="1"/>
    </xf>
    <xf numFmtId="164" fontId="17" fillId="0" borderId="31" xfId="18" applyNumberFormat="1" applyFont="1" applyFill="1" applyBorder="1" applyAlignment="1" applyProtection="1">
      <alignment horizontal="right" vertical="center" wrapText="1" indent="1"/>
    </xf>
    <xf numFmtId="164" fontId="17" fillId="0" borderId="18" xfId="18" applyNumberFormat="1" applyFont="1" applyFill="1" applyBorder="1" applyAlignment="1" applyProtection="1">
      <alignment horizontal="right" vertical="center" wrapText="1" indent="1"/>
    </xf>
    <xf numFmtId="164" fontId="12" fillId="0" borderId="32" xfId="18" applyNumberFormat="1" applyFont="1" applyFill="1" applyBorder="1" applyAlignment="1" applyProtection="1">
      <alignment horizontal="right" vertical="center" wrapText="1" indent="1"/>
    </xf>
    <xf numFmtId="164" fontId="12" fillId="0" borderId="19" xfId="18" applyNumberFormat="1" applyFont="1" applyFill="1" applyBorder="1" applyAlignment="1" applyProtection="1">
      <alignment horizontal="right" vertical="center" wrapText="1" indent="1"/>
    </xf>
    <xf numFmtId="164" fontId="11" fillId="0" borderId="26" xfId="18" applyNumberFormat="1" applyFont="1" applyFill="1" applyBorder="1" applyAlignment="1" applyProtection="1">
      <alignment horizontal="right" vertical="center" wrapText="1" indent="1"/>
    </xf>
    <xf numFmtId="164" fontId="12" fillId="0" borderId="28" xfId="18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22" xfId="18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12" xfId="18" applyFont="1" applyFill="1" applyBorder="1" applyAlignment="1" applyProtection="1">
      <alignment horizontal="left" vertical="center" wrapText="1"/>
    </xf>
    <xf numFmtId="0" fontId="16" fillId="0" borderId="12" xfId="0" applyFont="1" applyBorder="1" applyAlignment="1" applyProtection="1">
      <alignment vertical="center" wrapText="1"/>
    </xf>
    <xf numFmtId="0" fontId="15" fillId="0" borderId="5" xfId="0" applyFont="1" applyBorder="1" applyAlignment="1" applyProtection="1">
      <alignment vertical="center" wrapText="1"/>
    </xf>
    <xf numFmtId="0" fontId="15" fillId="0" borderId="8" xfId="0" applyFont="1" applyBorder="1" applyAlignment="1" applyProtection="1">
      <alignment wrapText="1"/>
    </xf>
    <xf numFmtId="0" fontId="15" fillId="0" borderId="7" xfId="0" applyFont="1" applyBorder="1" applyAlignment="1" applyProtection="1">
      <alignment wrapText="1"/>
    </xf>
    <xf numFmtId="0" fontId="15" fillId="0" borderId="9" xfId="0" applyFont="1" applyBorder="1" applyAlignment="1" applyProtection="1">
      <alignment wrapText="1"/>
    </xf>
    <xf numFmtId="164" fontId="11" fillId="0" borderId="31" xfId="18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13" xfId="0" applyFont="1" applyBorder="1" applyAlignment="1" applyProtection="1">
      <alignment wrapText="1"/>
    </xf>
    <xf numFmtId="0" fontId="16" fillId="0" borderId="30" xfId="0" applyFont="1" applyBorder="1" applyAlignment="1" applyProtection="1">
      <alignment vertical="center" wrapText="1"/>
    </xf>
    <xf numFmtId="0" fontId="16" fillId="0" borderId="24" xfId="0" applyFont="1" applyBorder="1" applyAlignment="1" applyProtection="1">
      <alignment wrapText="1"/>
    </xf>
    <xf numFmtId="0" fontId="4" fillId="0" borderId="0" xfId="18" applyFont="1" applyFill="1" applyBorder="1" applyAlignment="1" applyProtection="1">
      <alignment horizontal="center" vertical="center" wrapText="1"/>
    </xf>
    <xf numFmtId="0" fontId="4" fillId="0" borderId="0" xfId="18" applyFont="1" applyFill="1" applyBorder="1" applyAlignment="1" applyProtection="1">
      <alignment vertical="center" wrapText="1"/>
    </xf>
    <xf numFmtId="164" fontId="4" fillId="0" borderId="0" xfId="18" applyNumberFormat="1" applyFont="1" applyFill="1" applyBorder="1" applyAlignment="1" applyProtection="1">
      <alignment horizontal="right" vertical="center" wrapText="1" indent="1"/>
    </xf>
    <xf numFmtId="0" fontId="3" fillId="0" borderId="23" xfId="0" applyFont="1" applyFill="1" applyBorder="1" applyAlignment="1" applyProtection="1">
      <alignment horizontal="right"/>
    </xf>
    <xf numFmtId="0" fontId="6" fillId="0" borderId="0" xfId="18" applyFill="1" applyAlignment="1" applyProtection="1"/>
    <xf numFmtId="0" fontId="11" fillId="0" borderId="13" xfId="18" applyFont="1" applyFill="1" applyBorder="1" applyAlignment="1" applyProtection="1">
      <alignment horizontal="center" vertical="center" wrapText="1"/>
    </xf>
    <xf numFmtId="0" fontId="11" fillId="0" borderId="14" xfId="18" applyFont="1" applyFill="1" applyBorder="1" applyAlignment="1" applyProtection="1">
      <alignment horizontal="left" vertical="center" wrapText="1" indent="1"/>
    </xf>
    <xf numFmtId="0" fontId="11" fillId="0" borderId="15" xfId="18" applyFont="1" applyFill="1" applyBorder="1" applyAlignment="1" applyProtection="1">
      <alignment vertical="center" wrapText="1"/>
    </xf>
    <xf numFmtId="164" fontId="11" fillId="0" borderId="33" xfId="18" applyNumberFormat="1" applyFont="1" applyFill="1" applyBorder="1" applyAlignment="1" applyProtection="1">
      <alignment horizontal="right" vertical="center" wrapText="1" indent="1"/>
    </xf>
    <xf numFmtId="164" fontId="11" fillId="0" borderId="27" xfId="18" applyNumberFormat="1" applyFont="1" applyFill="1" applyBorder="1" applyAlignment="1" applyProtection="1">
      <alignment horizontal="right" vertical="center" wrapText="1" indent="1"/>
    </xf>
    <xf numFmtId="49" fontId="12" fillId="0" borderId="10" xfId="18" applyNumberFormat="1" applyFont="1" applyFill="1" applyBorder="1" applyAlignment="1" applyProtection="1">
      <alignment horizontal="left" vertical="center" wrapText="1" indent="1"/>
    </xf>
    <xf numFmtId="164" fontId="18" fillId="0" borderId="34" xfId="18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16" xfId="18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22" xfId="18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5" xfId="18" applyFont="1" applyFill="1" applyBorder="1" applyAlignment="1" applyProtection="1">
      <alignment horizontal="left" vertical="center" wrapText="1" indent="6"/>
    </xf>
    <xf numFmtId="0" fontId="12" fillId="0" borderId="2" xfId="18" applyFont="1" applyFill="1" applyBorder="1" applyAlignment="1" applyProtection="1">
      <alignment horizontal="left" indent="6"/>
    </xf>
    <xf numFmtId="0" fontId="12" fillId="0" borderId="2" xfId="18" applyFont="1" applyFill="1" applyBorder="1" applyAlignment="1" applyProtection="1">
      <alignment horizontal="left" vertical="center" wrapText="1" indent="6"/>
    </xf>
    <xf numFmtId="49" fontId="12" fillId="0" borderId="6" xfId="18" applyNumberFormat="1" applyFont="1" applyFill="1" applyBorder="1" applyAlignment="1" applyProtection="1">
      <alignment horizontal="left" vertical="center" wrapText="1" indent="1"/>
    </xf>
    <xf numFmtId="49" fontId="12" fillId="0" borderId="11" xfId="18" applyNumberFormat="1" applyFont="1" applyFill="1" applyBorder="1" applyAlignment="1" applyProtection="1">
      <alignment horizontal="left" vertical="center" wrapText="1" indent="1"/>
    </xf>
    <xf numFmtId="0" fontId="12" fillId="0" borderId="20" xfId="18" applyFont="1" applyFill="1" applyBorder="1" applyAlignment="1" applyProtection="1">
      <alignment horizontal="left" vertical="center" wrapText="1" indent="7"/>
    </xf>
    <xf numFmtId="164" fontId="18" fillId="0" borderId="35" xfId="18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1" xfId="18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25" xfId="18" applyNumberFormat="1" applyFont="1" applyFill="1" applyBorder="1" applyAlignment="1" applyProtection="1">
      <alignment horizontal="right" vertical="center" wrapText="1" indent="1"/>
    </xf>
    <xf numFmtId="164" fontId="23" fillId="0" borderId="29" xfId="18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3" xfId="18" applyFont="1" applyFill="1" applyBorder="1" applyAlignment="1" applyProtection="1">
      <alignment horizontal="left" vertical="center" wrapText="1" indent="6"/>
    </xf>
    <xf numFmtId="164" fontId="16" fillId="0" borderId="31" xfId="0" applyNumberFormat="1" applyFont="1" applyBorder="1" applyAlignment="1" applyProtection="1">
      <alignment horizontal="right" vertical="center" wrapText="1" indent="1"/>
    </xf>
    <xf numFmtId="164" fontId="16" fillId="0" borderId="18" xfId="0" applyNumberFormat="1" applyFont="1" applyBorder="1" applyAlignment="1" applyProtection="1">
      <alignment horizontal="right" vertical="center" wrapText="1" indent="1"/>
    </xf>
    <xf numFmtId="164" fontId="16" fillId="0" borderId="18" xfId="0" applyNumberFormat="1" applyFont="1" applyBorder="1" applyAlignment="1" applyProtection="1">
      <alignment horizontal="right" vertical="center" wrapText="1" indent="1"/>
      <protection locked="0"/>
    </xf>
    <xf numFmtId="164" fontId="14" fillId="0" borderId="18" xfId="0" quotePrefix="1" applyNumberFormat="1" applyFont="1" applyBorder="1" applyAlignment="1" applyProtection="1">
      <alignment horizontal="right" vertical="center" wrapText="1" indent="1"/>
    </xf>
    <xf numFmtId="0" fontId="2" fillId="0" borderId="0" xfId="18" applyFont="1" applyFill="1" applyAlignment="1" applyProtection="1">
      <alignment horizontal="right" vertical="center" indent="1"/>
    </xf>
    <xf numFmtId="164" fontId="25" fillId="0" borderId="19" xfId="18" applyNumberFormat="1" applyFont="1" applyFill="1" applyBorder="1" applyAlignment="1" applyProtection="1">
      <alignment horizontal="right" vertical="center" wrapText="1" indent="1"/>
    </xf>
    <xf numFmtId="164" fontId="18" fillId="0" borderId="22" xfId="18" applyNumberFormat="1" applyFont="1" applyFill="1" applyBorder="1" applyAlignment="1" applyProtection="1">
      <alignment horizontal="right" vertical="center" wrapText="1" indent="1"/>
    </xf>
    <xf numFmtId="164" fontId="12" fillId="0" borderId="17" xfId="18" applyNumberFormat="1" applyFont="1" applyFill="1" applyBorder="1" applyAlignment="1" applyProtection="1">
      <alignment horizontal="right" vertical="center" wrapText="1" indent="1"/>
    </xf>
    <xf numFmtId="164" fontId="18" fillId="0" borderId="19" xfId="18" applyNumberFormat="1" applyFont="1" applyFill="1" applyBorder="1" applyAlignment="1" applyProtection="1">
      <alignment horizontal="right" vertical="center" wrapText="1" indent="1"/>
    </xf>
    <xf numFmtId="164" fontId="12" fillId="0" borderId="22" xfId="18" applyNumberFormat="1" applyFont="1" applyFill="1" applyBorder="1" applyAlignment="1" applyProtection="1">
      <alignment horizontal="right" vertical="center" wrapText="1" indent="1"/>
    </xf>
    <xf numFmtId="164" fontId="12" fillId="0" borderId="18" xfId="18" applyNumberFormat="1" applyFont="1" applyFill="1" applyBorder="1" applyAlignment="1" applyProtection="1">
      <alignment horizontal="right" vertical="center" wrapText="1" indent="1"/>
    </xf>
    <xf numFmtId="164" fontId="12" fillId="0" borderId="27" xfId="18" applyNumberFormat="1" applyFont="1" applyFill="1" applyBorder="1" applyAlignment="1" applyProtection="1">
      <alignment horizontal="right" vertical="center" wrapText="1" indent="1"/>
    </xf>
    <xf numFmtId="164" fontId="18" fillId="0" borderId="3" xfId="18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" xfId="18" applyNumberFormat="1" applyFont="1" applyFill="1" applyBorder="1" applyAlignment="1" applyProtection="1">
      <alignment horizontal="right" vertical="center" wrapText="1" indent="1"/>
      <protection locked="0"/>
    </xf>
    <xf numFmtId="164" fontId="23" fillId="0" borderId="28" xfId="18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24" xfId="18" applyFont="1" applyFill="1" applyBorder="1" applyAlignment="1" applyProtection="1">
      <alignment vertical="center" wrapText="1"/>
    </xf>
    <xf numFmtId="164" fontId="6" fillId="0" borderId="0" xfId="18" applyNumberFormat="1" applyFill="1" applyProtection="1"/>
    <xf numFmtId="164" fontId="19" fillId="0" borderId="23" xfId="18" applyNumberFormat="1" applyFont="1" applyFill="1" applyBorder="1" applyAlignment="1" applyProtection="1">
      <alignment horizontal="left" vertical="center"/>
    </xf>
    <xf numFmtId="164" fontId="4" fillId="0" borderId="0" xfId="18" applyNumberFormat="1" applyFont="1" applyFill="1" applyBorder="1" applyAlignment="1" applyProtection="1">
      <alignment horizontal="center" vertical="center"/>
    </xf>
    <xf numFmtId="164" fontId="19" fillId="0" borderId="23" xfId="18" applyNumberFormat="1" applyFont="1" applyFill="1" applyBorder="1" applyAlignment="1" applyProtection="1">
      <alignment horizontal="left"/>
    </xf>
    <xf numFmtId="0" fontId="13" fillId="0" borderId="0" xfId="18" applyFont="1" applyFill="1" applyAlignment="1" applyProtection="1">
      <alignment horizontal="center"/>
    </xf>
  </cellXfs>
  <cellStyles count="22">
    <cellStyle name="1. jelölőszín" xfId="1"/>
    <cellStyle name="2. jelölőszín" xfId="2"/>
    <cellStyle name="3. jelölőszín" xfId="3"/>
    <cellStyle name="4. jelölőszín" xfId="4"/>
    <cellStyle name="5. jelölőszín" xfId="5"/>
    <cellStyle name="6. jelölőszín" xfId="6"/>
    <cellStyle name="Ezres 2" xfId="7"/>
    <cellStyle name="Ezres 3" xfId="8"/>
    <cellStyle name="Ezres 4" xfId="9"/>
    <cellStyle name="Ezres 4 2" xfId="10"/>
    <cellStyle name="Ezres 4 2 2" xfId="19"/>
    <cellStyle name="hetmál kút" xfId="11"/>
    <cellStyle name="Hiperhivatkozás" xfId="12"/>
    <cellStyle name="Már látott hiperhivatkozás" xfId="13"/>
    <cellStyle name="Normál" xfId="0" builtinId="0"/>
    <cellStyle name="Normál 2" xfId="14"/>
    <cellStyle name="Normál 2 2" xfId="20"/>
    <cellStyle name="Normál 2 3" xfId="21"/>
    <cellStyle name="Normál 3" xfId="15"/>
    <cellStyle name="Normál 3 2" xfId="16"/>
    <cellStyle name="Normál 3 2 2" xfId="17"/>
    <cellStyle name="Normál_KVRENMUNKA" xfId="18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I160"/>
  <sheetViews>
    <sheetView tabSelected="1" view="pageLayout" topLeftCell="A89" zoomScale="85" zoomScaleNormal="115" zoomScaleSheetLayoutView="100" zoomScalePageLayoutView="85" workbookViewId="0">
      <selection activeCell="H93" sqref="H93"/>
    </sheetView>
  </sheetViews>
  <sheetFormatPr defaultRowHeight="15.75" x14ac:dyDescent="0.25"/>
  <cols>
    <col min="1" max="1" width="9.5" style="20" customWidth="1"/>
    <col min="2" max="2" width="79" style="20" customWidth="1"/>
    <col min="3" max="3" width="21.6640625" style="99" customWidth="1"/>
    <col min="4" max="4" width="19.33203125" style="23" hidden="1" customWidth="1"/>
    <col min="5" max="5" width="15.83203125" style="23" hidden="1" customWidth="1"/>
    <col min="6" max="6" width="21.83203125" style="23" hidden="1" customWidth="1"/>
    <col min="7" max="16384" width="9.33203125" style="23"/>
  </cols>
  <sheetData>
    <row r="1" spans="1:6" ht="15.95" customHeight="1" x14ac:dyDescent="0.25">
      <c r="A1" s="113" t="s">
        <v>0</v>
      </c>
      <c r="B1" s="113"/>
      <c r="C1" s="113"/>
    </row>
    <row r="2" spans="1:6" ht="15.95" customHeight="1" thickBot="1" x14ac:dyDescent="0.3">
      <c r="A2" s="112" t="s">
        <v>36</v>
      </c>
      <c r="B2" s="112"/>
      <c r="C2" s="18" t="s">
        <v>76</v>
      </c>
    </row>
    <row r="3" spans="1:6" ht="38.1" customHeight="1" thickBot="1" x14ac:dyDescent="0.3">
      <c r="A3" s="10" t="s">
        <v>16</v>
      </c>
      <c r="B3" s="11" t="s">
        <v>1</v>
      </c>
      <c r="C3" s="32" t="s">
        <v>75</v>
      </c>
      <c r="D3" s="20" t="s">
        <v>77</v>
      </c>
      <c r="E3" s="20" t="s">
        <v>78</v>
      </c>
      <c r="F3" s="20" t="s">
        <v>79</v>
      </c>
    </row>
    <row r="4" spans="1:6" s="24" customFormat="1" ht="12" customHeight="1" thickBot="1" x14ac:dyDescent="0.25">
      <c r="A4" s="21" t="s">
        <v>68</v>
      </c>
      <c r="B4" s="22" t="s">
        <v>69</v>
      </c>
      <c r="C4" s="33" t="s">
        <v>70</v>
      </c>
    </row>
    <row r="5" spans="1:6" s="25" customFormat="1" ht="12" customHeight="1" thickBot="1" x14ac:dyDescent="0.25">
      <c r="A5" s="9" t="s">
        <v>2</v>
      </c>
      <c r="B5" s="34" t="s">
        <v>80</v>
      </c>
      <c r="C5" s="35">
        <f t="shared" ref="C5:C68" si="0">SUM(D5:F5)</f>
        <v>955758885</v>
      </c>
      <c r="D5" s="29">
        <f>+D6+D7+D8+D9+D10+D11</f>
        <v>955758885</v>
      </c>
      <c r="E5" s="35">
        <f>+E6+E7+E8+E9+E10+E11</f>
        <v>0</v>
      </c>
      <c r="F5" s="35">
        <f>+F6+F7+F8+F9+F10+F11</f>
        <v>0</v>
      </c>
    </row>
    <row r="6" spans="1:6" s="25" customFormat="1" ht="12" customHeight="1" x14ac:dyDescent="0.2">
      <c r="A6" s="7" t="s">
        <v>20</v>
      </c>
      <c r="B6" s="36" t="s">
        <v>81</v>
      </c>
      <c r="C6" s="103">
        <f t="shared" si="0"/>
        <v>228389971</v>
      </c>
      <c r="D6" s="49">
        <f>227855923+534048</f>
        <v>228389971</v>
      </c>
      <c r="E6" s="37"/>
      <c r="F6" s="37"/>
    </row>
    <row r="7" spans="1:6" s="25" customFormat="1" ht="12" customHeight="1" x14ac:dyDescent="0.2">
      <c r="A7" s="6" t="s">
        <v>21</v>
      </c>
      <c r="B7" s="38" t="s">
        <v>82</v>
      </c>
      <c r="C7" s="45">
        <f t="shared" si="0"/>
        <v>227307468</v>
      </c>
      <c r="D7" s="51">
        <f>224734134+735168+2268933-430767</f>
        <v>227307468</v>
      </c>
      <c r="E7" s="40"/>
      <c r="F7" s="40"/>
    </row>
    <row r="8" spans="1:6" s="25" customFormat="1" ht="12" customHeight="1" x14ac:dyDescent="0.2">
      <c r="A8" s="6" t="s">
        <v>22</v>
      </c>
      <c r="B8" s="38" t="s">
        <v>269</v>
      </c>
      <c r="C8" s="45">
        <f t="shared" si="0"/>
        <v>458722106</v>
      </c>
      <c r="D8" s="51">
        <f>126991000+65060600+192410145+62092600+7543000-2426400+8618094-5657410+4090477</f>
        <v>458722106</v>
      </c>
      <c r="E8" s="40"/>
      <c r="F8" s="40"/>
    </row>
    <row r="9" spans="1:6" s="25" customFormat="1" ht="12" customHeight="1" x14ac:dyDescent="0.2">
      <c r="A9" s="6" t="s">
        <v>23</v>
      </c>
      <c r="B9" s="38" t="s">
        <v>83</v>
      </c>
      <c r="C9" s="45">
        <f t="shared" si="0"/>
        <v>21974226</v>
      </c>
      <c r="D9" s="51">
        <f>16122040+1398336+4545780+305691-397621</f>
        <v>21974226</v>
      </c>
      <c r="E9" s="40"/>
      <c r="F9" s="40"/>
    </row>
    <row r="10" spans="1:6" s="25" customFormat="1" ht="12" customHeight="1" x14ac:dyDescent="0.2">
      <c r="A10" s="6" t="s">
        <v>35</v>
      </c>
      <c r="B10" s="41" t="s">
        <v>84</v>
      </c>
      <c r="C10" s="45">
        <f t="shared" si="0"/>
        <v>19365114</v>
      </c>
      <c r="D10" s="51">
        <f>16254886+190231327+1309600+298022-4545780-8453447-1002120-15000000+7332000-58000000+6500000-1330167-114229207</f>
        <v>19365114</v>
      </c>
      <c r="E10" s="40"/>
      <c r="F10" s="40"/>
    </row>
    <row r="11" spans="1:6" s="25" customFormat="1" ht="12" customHeight="1" thickBot="1" x14ac:dyDescent="0.25">
      <c r="A11" s="8" t="s">
        <v>24</v>
      </c>
      <c r="B11" s="16" t="s">
        <v>85</v>
      </c>
      <c r="C11" s="101">
        <f t="shared" si="0"/>
        <v>0</v>
      </c>
      <c r="D11" s="15"/>
      <c r="E11" s="42"/>
      <c r="F11" s="42"/>
    </row>
    <row r="12" spans="1:6" s="25" customFormat="1" ht="12" customHeight="1" thickBot="1" x14ac:dyDescent="0.25">
      <c r="A12" s="9" t="s">
        <v>3</v>
      </c>
      <c r="B12" s="43" t="s">
        <v>86</v>
      </c>
      <c r="C12" s="35">
        <f t="shared" si="0"/>
        <v>119005816</v>
      </c>
      <c r="D12" s="29">
        <f>+D13+D14+D15+D16+D17</f>
        <v>115888959</v>
      </c>
      <c r="E12" s="35">
        <f>+E13+E14+E15+E16+E17</f>
        <v>3116857</v>
      </c>
      <c r="F12" s="35">
        <f>+F13+F14+F15+F16+F17</f>
        <v>0</v>
      </c>
    </row>
    <row r="13" spans="1:6" s="25" customFormat="1" ht="12" customHeight="1" x14ac:dyDescent="0.2">
      <c r="A13" s="7" t="s">
        <v>26</v>
      </c>
      <c r="B13" s="36" t="s">
        <v>46</v>
      </c>
      <c r="C13" s="56">
        <f t="shared" si="0"/>
        <v>0</v>
      </c>
      <c r="D13" s="30"/>
      <c r="E13" s="44"/>
      <c r="F13" s="44"/>
    </row>
    <row r="14" spans="1:6" s="25" customFormat="1" ht="12" customHeight="1" x14ac:dyDescent="0.2">
      <c r="A14" s="6" t="s">
        <v>27</v>
      </c>
      <c r="B14" s="38" t="s">
        <v>87</v>
      </c>
      <c r="C14" s="102">
        <f t="shared" si="0"/>
        <v>0</v>
      </c>
      <c r="D14" s="15"/>
      <c r="E14" s="42"/>
      <c r="F14" s="42"/>
    </row>
    <row r="15" spans="1:6" s="25" customFormat="1" ht="12" customHeight="1" x14ac:dyDescent="0.2">
      <c r="A15" s="6" t="s">
        <v>28</v>
      </c>
      <c r="B15" s="38" t="s">
        <v>88</v>
      </c>
      <c r="C15" s="45">
        <f t="shared" si="0"/>
        <v>0</v>
      </c>
      <c r="D15" s="15"/>
      <c r="E15" s="42"/>
      <c r="F15" s="42"/>
    </row>
    <row r="16" spans="1:6" s="25" customFormat="1" ht="12" customHeight="1" x14ac:dyDescent="0.2">
      <c r="A16" s="6" t="s">
        <v>29</v>
      </c>
      <c r="B16" s="38" t="s">
        <v>89</v>
      </c>
      <c r="C16" s="45">
        <f t="shared" si="0"/>
        <v>0</v>
      </c>
      <c r="D16" s="15"/>
      <c r="E16" s="42"/>
      <c r="F16" s="42"/>
    </row>
    <row r="17" spans="1:6" s="25" customFormat="1" ht="12" customHeight="1" x14ac:dyDescent="0.2">
      <c r="A17" s="6" t="s">
        <v>90</v>
      </c>
      <c r="B17" s="38" t="s">
        <v>91</v>
      </c>
      <c r="C17" s="45">
        <f t="shared" si="0"/>
        <v>119005816</v>
      </c>
      <c r="D17" s="51">
        <f>4320000+24250000-344442+85531256+1831815+11367000+1154934-11367000+145396-1000000</f>
        <v>115888959</v>
      </c>
      <c r="E17" s="46">
        <f>3096237+20620</f>
        <v>3116857</v>
      </c>
      <c r="F17" s="40"/>
    </row>
    <row r="18" spans="1:6" s="25" customFormat="1" ht="12" customHeight="1" thickBot="1" x14ac:dyDescent="0.25">
      <c r="A18" s="8" t="s">
        <v>92</v>
      </c>
      <c r="B18" s="16" t="s">
        <v>93</v>
      </c>
      <c r="C18" s="101">
        <f t="shared" si="0"/>
        <v>85531256</v>
      </c>
      <c r="D18" s="58">
        <v>85531256</v>
      </c>
      <c r="E18" s="48"/>
      <c r="F18" s="48"/>
    </row>
    <row r="19" spans="1:6" s="25" customFormat="1" ht="12" customHeight="1" thickBot="1" x14ac:dyDescent="0.25">
      <c r="A19" s="9" t="s">
        <v>4</v>
      </c>
      <c r="B19" s="34" t="s">
        <v>94</v>
      </c>
      <c r="C19" s="35">
        <f t="shared" si="0"/>
        <v>78557723</v>
      </c>
      <c r="D19" s="29">
        <f>+D20+D21+D22+D23+D24</f>
        <v>78557723</v>
      </c>
      <c r="E19" s="35">
        <f>+E20+E21+E22+E23+E24</f>
        <v>0</v>
      </c>
      <c r="F19" s="35">
        <f>+F20+F21+F22+F23+F24</f>
        <v>0</v>
      </c>
    </row>
    <row r="20" spans="1:6" s="25" customFormat="1" ht="12" customHeight="1" x14ac:dyDescent="0.2">
      <c r="A20" s="7" t="s">
        <v>95</v>
      </c>
      <c r="B20" s="36" t="s">
        <v>47</v>
      </c>
      <c r="C20" s="103">
        <f t="shared" si="0"/>
        <v>19753000</v>
      </c>
      <c r="D20" s="49">
        <f>322000+19431000</f>
        <v>19753000</v>
      </c>
      <c r="E20" s="50"/>
      <c r="F20" s="50"/>
    </row>
    <row r="21" spans="1:6" s="25" customFormat="1" ht="12" customHeight="1" x14ac:dyDescent="0.2">
      <c r="A21" s="6" t="s">
        <v>96</v>
      </c>
      <c r="B21" s="38" t="s">
        <v>97</v>
      </c>
      <c r="C21" s="102">
        <f t="shared" si="0"/>
        <v>0</v>
      </c>
      <c r="D21" s="51"/>
      <c r="E21" s="40"/>
      <c r="F21" s="40"/>
    </row>
    <row r="22" spans="1:6" s="25" customFormat="1" ht="12" customHeight="1" x14ac:dyDescent="0.2">
      <c r="A22" s="6" t="s">
        <v>98</v>
      </c>
      <c r="B22" s="38" t="s">
        <v>99</v>
      </c>
      <c r="C22" s="45">
        <f t="shared" si="0"/>
        <v>0</v>
      </c>
      <c r="D22" s="51"/>
      <c r="E22" s="40"/>
      <c r="F22" s="40"/>
    </row>
    <row r="23" spans="1:6" s="25" customFormat="1" ht="12" customHeight="1" x14ac:dyDescent="0.2">
      <c r="A23" s="6" t="s">
        <v>100</v>
      </c>
      <c r="B23" s="38" t="s">
        <v>101</v>
      </c>
      <c r="C23" s="45">
        <f t="shared" si="0"/>
        <v>0</v>
      </c>
      <c r="D23" s="51"/>
      <c r="E23" s="40"/>
      <c r="F23" s="40"/>
    </row>
    <row r="24" spans="1:6" s="25" customFormat="1" ht="12" customHeight="1" x14ac:dyDescent="0.2">
      <c r="A24" s="6" t="s">
        <v>102</v>
      </c>
      <c r="B24" s="38" t="s">
        <v>103</v>
      </c>
      <c r="C24" s="45">
        <f t="shared" si="0"/>
        <v>58804723</v>
      </c>
      <c r="D24" s="51">
        <f>5866130+3779393+3796748+55505576+136269-10279393</f>
        <v>58804723</v>
      </c>
      <c r="E24" s="40"/>
      <c r="F24" s="40"/>
    </row>
    <row r="25" spans="1:6" s="25" customFormat="1" ht="12" customHeight="1" thickBot="1" x14ac:dyDescent="0.25">
      <c r="A25" s="8" t="s">
        <v>104</v>
      </c>
      <c r="B25" s="52" t="s">
        <v>105</v>
      </c>
      <c r="C25" s="101">
        <f t="shared" si="0"/>
        <v>58668454</v>
      </c>
      <c r="D25" s="47">
        <f>9645523+3796748+55505576-10279393</f>
        <v>58668454</v>
      </c>
      <c r="E25" s="48"/>
      <c r="F25" s="59"/>
    </row>
    <row r="26" spans="1:6" s="25" customFormat="1" ht="12" customHeight="1" thickBot="1" x14ac:dyDescent="0.25">
      <c r="A26" s="9" t="s">
        <v>38</v>
      </c>
      <c r="B26" s="34" t="s">
        <v>48</v>
      </c>
      <c r="C26" s="35">
        <f t="shared" si="0"/>
        <v>402108000</v>
      </c>
      <c r="D26" s="53">
        <f>+D27+D31+D32+D33</f>
        <v>402108000</v>
      </c>
      <c r="E26" s="54">
        <f>+E27+E31+E32+E33</f>
        <v>0</v>
      </c>
      <c r="F26" s="54">
        <f>+F27+F31+F32+F33</f>
        <v>0</v>
      </c>
    </row>
    <row r="27" spans="1:6" s="25" customFormat="1" ht="12" customHeight="1" x14ac:dyDescent="0.2">
      <c r="A27" s="7" t="s">
        <v>49</v>
      </c>
      <c r="B27" s="36" t="s">
        <v>71</v>
      </c>
      <c r="C27" s="56">
        <f t="shared" si="0"/>
        <v>361554000</v>
      </c>
      <c r="D27" s="55">
        <f>SUM(D28:D30)</f>
        <v>361554000</v>
      </c>
      <c r="E27" s="56"/>
      <c r="F27" s="56"/>
    </row>
    <row r="28" spans="1:6" s="25" customFormat="1" ht="12" customHeight="1" x14ac:dyDescent="0.2">
      <c r="A28" s="6" t="s">
        <v>106</v>
      </c>
      <c r="B28" s="38" t="s">
        <v>53</v>
      </c>
      <c r="C28" s="45">
        <f t="shared" si="0"/>
        <v>76900000</v>
      </c>
      <c r="D28" s="15">
        <f>77500000+5000000-5600000</f>
        <v>76900000</v>
      </c>
      <c r="E28" s="42"/>
      <c r="F28" s="42"/>
    </row>
    <row r="29" spans="1:6" s="25" customFormat="1" ht="12" customHeight="1" x14ac:dyDescent="0.2">
      <c r="A29" s="6" t="s">
        <v>107</v>
      </c>
      <c r="B29" s="38" t="s">
        <v>270</v>
      </c>
      <c r="C29" s="45">
        <f t="shared" si="0"/>
        <v>284654000</v>
      </c>
      <c r="D29" s="15">
        <f>231154000+52000000+50000000-48500000</f>
        <v>284654000</v>
      </c>
      <c r="E29" s="42"/>
      <c r="F29" s="42"/>
    </row>
    <row r="30" spans="1:6" s="25" customFormat="1" ht="12" customHeight="1" x14ac:dyDescent="0.2">
      <c r="A30" s="6" t="s">
        <v>271</v>
      </c>
      <c r="B30" s="38" t="s">
        <v>74</v>
      </c>
      <c r="C30" s="45">
        <f t="shared" si="0"/>
        <v>0</v>
      </c>
      <c r="D30" s="51"/>
      <c r="E30" s="40"/>
      <c r="F30" s="40"/>
    </row>
    <row r="31" spans="1:6" s="25" customFormat="1" ht="12" customHeight="1" x14ac:dyDescent="0.2">
      <c r="A31" s="6" t="s">
        <v>50</v>
      </c>
      <c r="B31" s="38" t="s">
        <v>54</v>
      </c>
      <c r="C31" s="45">
        <f t="shared" si="0"/>
        <v>30050000</v>
      </c>
      <c r="D31" s="15">
        <f>28000000+3000000-950000</f>
        <v>30050000</v>
      </c>
      <c r="E31" s="42"/>
      <c r="F31" s="40"/>
    </row>
    <row r="32" spans="1:6" s="25" customFormat="1" ht="12" customHeight="1" x14ac:dyDescent="0.2">
      <c r="A32" s="6" t="s">
        <v>51</v>
      </c>
      <c r="B32" s="38" t="s">
        <v>55</v>
      </c>
      <c r="C32" s="45">
        <f t="shared" si="0"/>
        <v>4000</v>
      </c>
      <c r="D32" s="15">
        <f>4504000-4500000</f>
        <v>4000</v>
      </c>
      <c r="E32" s="42"/>
      <c r="F32" s="40"/>
    </row>
    <row r="33" spans="1:6" s="25" customFormat="1" ht="12" customHeight="1" thickBot="1" x14ac:dyDescent="0.25">
      <c r="A33" s="8" t="s">
        <v>52</v>
      </c>
      <c r="B33" s="52" t="s">
        <v>56</v>
      </c>
      <c r="C33" s="101">
        <f t="shared" si="0"/>
        <v>10500000</v>
      </c>
      <c r="D33" s="47">
        <f>11500000+4500000-5500000</f>
        <v>10500000</v>
      </c>
      <c r="E33" s="48"/>
      <c r="F33" s="48"/>
    </row>
    <row r="34" spans="1:6" s="25" customFormat="1" ht="12" customHeight="1" thickBot="1" x14ac:dyDescent="0.25">
      <c r="A34" s="9" t="s">
        <v>6</v>
      </c>
      <c r="B34" s="34" t="s">
        <v>108</v>
      </c>
      <c r="C34" s="35">
        <f t="shared" si="0"/>
        <v>211521039</v>
      </c>
      <c r="D34" s="29">
        <f>SUM(D35:D45)</f>
        <v>8430527</v>
      </c>
      <c r="E34" s="35">
        <f>SUM(E35:E45)</f>
        <v>2005440</v>
      </c>
      <c r="F34" s="35">
        <f>SUM(F35:F45)</f>
        <v>201085072</v>
      </c>
    </row>
    <row r="35" spans="1:6" s="25" customFormat="1" ht="12" customHeight="1" x14ac:dyDescent="0.2">
      <c r="A35" s="7" t="s">
        <v>17</v>
      </c>
      <c r="B35" s="36" t="s">
        <v>57</v>
      </c>
      <c r="C35" s="103">
        <f t="shared" si="0"/>
        <v>89845</v>
      </c>
      <c r="D35" s="49"/>
      <c r="E35" s="37"/>
      <c r="F35" s="37">
        <f>20000+69845</f>
        <v>89845</v>
      </c>
    </row>
    <row r="36" spans="1:6" s="25" customFormat="1" ht="12" customHeight="1" x14ac:dyDescent="0.2">
      <c r="A36" s="6" t="s">
        <v>18</v>
      </c>
      <c r="B36" s="38" t="s">
        <v>58</v>
      </c>
      <c r="C36" s="45">
        <f t="shared" si="0"/>
        <v>67194397</v>
      </c>
      <c r="D36" s="51">
        <f>13910169+100000+7239600-5170400+70000+3200000</f>
        <v>19349369</v>
      </c>
      <c r="E36" s="40">
        <f>1198440+380000</f>
        <v>1578440</v>
      </c>
      <c r="F36" s="37">
        <v>46266588</v>
      </c>
    </row>
    <row r="37" spans="1:6" s="25" customFormat="1" ht="12" customHeight="1" x14ac:dyDescent="0.2">
      <c r="A37" s="6" t="s">
        <v>19</v>
      </c>
      <c r="B37" s="38" t="s">
        <v>59</v>
      </c>
      <c r="C37" s="45">
        <f t="shared" si="0"/>
        <v>65574504</v>
      </c>
      <c r="D37" s="51">
        <f>500000+300000+50000+1400000+947000+300000+52200+2500000+114855-26795615+400000+723064-1437000</f>
        <v>-20945496</v>
      </c>
      <c r="E37" s="40"/>
      <c r="F37" s="37">
        <v>86520000</v>
      </c>
    </row>
    <row r="38" spans="1:6" s="25" customFormat="1" ht="12" customHeight="1" x14ac:dyDescent="0.2">
      <c r="A38" s="6" t="s">
        <v>109</v>
      </c>
      <c r="B38" s="38" t="s">
        <v>60</v>
      </c>
      <c r="C38" s="45">
        <f t="shared" si="0"/>
        <v>430000</v>
      </c>
      <c r="D38" s="51">
        <v>430000</v>
      </c>
      <c r="E38" s="40"/>
      <c r="F38" s="37"/>
    </row>
    <row r="39" spans="1:6" s="25" customFormat="1" ht="12" customHeight="1" x14ac:dyDescent="0.2">
      <c r="A39" s="6" t="s">
        <v>110</v>
      </c>
      <c r="B39" s="38" t="s">
        <v>61</v>
      </c>
      <c r="C39" s="45">
        <f t="shared" si="0"/>
        <v>18466618</v>
      </c>
      <c r="D39" s="51"/>
      <c r="E39" s="40"/>
      <c r="F39" s="37">
        <f>21166618-2700000</f>
        <v>18466618</v>
      </c>
    </row>
    <row r="40" spans="1:6" s="25" customFormat="1" ht="12" customHeight="1" x14ac:dyDescent="0.2">
      <c r="A40" s="6" t="s">
        <v>111</v>
      </c>
      <c r="B40" s="38" t="s">
        <v>112</v>
      </c>
      <c r="C40" s="45">
        <f t="shared" si="0"/>
        <v>33157629</v>
      </c>
      <c r="D40" s="51">
        <f>5162000+81000+13500+378000+81000+14094+682000+1954692+675000+31010-7234816+18900+108000+195228-590000-370000</f>
        <v>1199608</v>
      </c>
      <c r="E40" s="40">
        <f>324000+103000</f>
        <v>427000</v>
      </c>
      <c r="F40" s="37">
        <f>31512166+18855</f>
        <v>31531021</v>
      </c>
    </row>
    <row r="41" spans="1:6" s="25" customFormat="1" ht="12" customHeight="1" x14ac:dyDescent="0.2">
      <c r="A41" s="6" t="s">
        <v>113</v>
      </c>
      <c r="B41" s="38" t="s">
        <v>114</v>
      </c>
      <c r="C41" s="45">
        <f t="shared" si="0"/>
        <v>18210000</v>
      </c>
      <c r="D41" s="51"/>
      <c r="E41" s="40"/>
      <c r="F41" s="37">
        <v>18210000</v>
      </c>
    </row>
    <row r="42" spans="1:6" s="25" customFormat="1" ht="12" customHeight="1" x14ac:dyDescent="0.2">
      <c r="A42" s="6" t="s">
        <v>115</v>
      </c>
      <c r="B42" s="38" t="s">
        <v>272</v>
      </c>
      <c r="C42" s="45">
        <f t="shared" si="0"/>
        <v>31000</v>
      </c>
      <c r="D42" s="51">
        <v>30000</v>
      </c>
      <c r="E42" s="40"/>
      <c r="F42" s="37">
        <v>1000</v>
      </c>
    </row>
    <row r="43" spans="1:6" s="25" customFormat="1" ht="12" customHeight="1" x14ac:dyDescent="0.2">
      <c r="A43" s="6" t="s">
        <v>116</v>
      </c>
      <c r="B43" s="38" t="s">
        <v>62</v>
      </c>
      <c r="C43" s="45">
        <f t="shared" si="0"/>
        <v>0</v>
      </c>
      <c r="D43" s="51"/>
      <c r="E43" s="40"/>
      <c r="F43" s="37"/>
    </row>
    <row r="44" spans="1:6" s="25" customFormat="1" ht="12" customHeight="1" x14ac:dyDescent="0.2">
      <c r="A44" s="8" t="s">
        <v>117</v>
      </c>
      <c r="B44" s="52" t="s">
        <v>72</v>
      </c>
      <c r="C44" s="45">
        <f t="shared" si="0"/>
        <v>200000</v>
      </c>
      <c r="D44" s="47">
        <f>500000-300000</f>
        <v>200000</v>
      </c>
      <c r="E44" s="48"/>
      <c r="F44" s="48"/>
    </row>
    <row r="45" spans="1:6" s="25" customFormat="1" ht="12" customHeight="1" thickBot="1" x14ac:dyDescent="0.25">
      <c r="A45" s="8" t="s">
        <v>118</v>
      </c>
      <c r="B45" s="16" t="s">
        <v>63</v>
      </c>
      <c r="C45" s="101">
        <f t="shared" si="0"/>
        <v>8167046</v>
      </c>
      <c r="D45" s="47">
        <f>600000+1577143+3223528+1452268+1003094+130141+180000-1534128+1535000</f>
        <v>8167046</v>
      </c>
      <c r="E45" s="48"/>
      <c r="F45" s="83"/>
    </row>
    <row r="46" spans="1:6" s="25" customFormat="1" ht="12" customHeight="1" thickBot="1" x14ac:dyDescent="0.25">
      <c r="A46" s="9" t="s">
        <v>7</v>
      </c>
      <c r="B46" s="34" t="s">
        <v>119</v>
      </c>
      <c r="C46" s="35">
        <f t="shared" si="0"/>
        <v>30332500</v>
      </c>
      <c r="D46" s="29">
        <f>SUM(D47:D51)</f>
        <v>30332500</v>
      </c>
      <c r="E46" s="35">
        <f>SUM(E47:E51)</f>
        <v>0</v>
      </c>
      <c r="F46" s="35">
        <f>SUM(F47:F51)</f>
        <v>0</v>
      </c>
    </row>
    <row r="47" spans="1:6" s="25" customFormat="1" ht="12" customHeight="1" x14ac:dyDescent="0.2">
      <c r="A47" s="7" t="s">
        <v>120</v>
      </c>
      <c r="B47" s="36" t="s">
        <v>64</v>
      </c>
      <c r="C47" s="56">
        <f t="shared" si="0"/>
        <v>0</v>
      </c>
      <c r="D47" s="49"/>
      <c r="E47" s="37"/>
      <c r="F47" s="37"/>
    </row>
    <row r="48" spans="1:6" s="25" customFormat="1" ht="12" customHeight="1" x14ac:dyDescent="0.2">
      <c r="A48" s="6" t="s">
        <v>121</v>
      </c>
      <c r="B48" s="38" t="s">
        <v>65</v>
      </c>
      <c r="C48" s="102">
        <f>SUM(D48:F48)</f>
        <v>30332500</v>
      </c>
      <c r="D48" s="51">
        <v>30332500</v>
      </c>
      <c r="E48" s="40"/>
      <c r="F48" s="40"/>
    </row>
    <row r="49" spans="1:6" s="25" customFormat="1" ht="12" customHeight="1" x14ac:dyDescent="0.2">
      <c r="A49" s="6" t="s">
        <v>122</v>
      </c>
      <c r="B49" s="38" t="s">
        <v>66</v>
      </c>
      <c r="C49" s="102">
        <f t="shared" si="0"/>
        <v>0</v>
      </c>
      <c r="D49" s="51"/>
      <c r="E49" s="40"/>
      <c r="F49" s="40"/>
    </row>
    <row r="50" spans="1:6" s="25" customFormat="1" ht="12" customHeight="1" x14ac:dyDescent="0.2">
      <c r="A50" s="6" t="s">
        <v>123</v>
      </c>
      <c r="B50" s="38" t="s">
        <v>124</v>
      </c>
      <c r="C50" s="102">
        <f t="shared" si="0"/>
        <v>0</v>
      </c>
      <c r="D50" s="51"/>
      <c r="E50" s="40"/>
      <c r="F50" s="40"/>
    </row>
    <row r="51" spans="1:6" s="25" customFormat="1" ht="12" customHeight="1" thickBot="1" x14ac:dyDescent="0.25">
      <c r="A51" s="8" t="s">
        <v>125</v>
      </c>
      <c r="B51" s="16" t="s">
        <v>126</v>
      </c>
      <c r="C51" s="104">
        <f t="shared" si="0"/>
        <v>0</v>
      </c>
      <c r="D51" s="47"/>
      <c r="E51" s="48"/>
      <c r="F51" s="48"/>
    </row>
    <row r="52" spans="1:6" s="25" customFormat="1" ht="12" customHeight="1" thickBot="1" x14ac:dyDescent="0.25">
      <c r="A52" s="9" t="s">
        <v>39</v>
      </c>
      <c r="B52" s="34" t="s">
        <v>127</v>
      </c>
      <c r="C52" s="35">
        <f t="shared" si="0"/>
        <v>1950000</v>
      </c>
      <c r="D52" s="29">
        <f>SUM(D53:D55)</f>
        <v>1950000</v>
      </c>
      <c r="E52" s="35">
        <f>SUM(E53:E55)</f>
        <v>0</v>
      </c>
      <c r="F52" s="35">
        <f>SUM(F53:F55)</f>
        <v>0</v>
      </c>
    </row>
    <row r="53" spans="1:6" s="25" customFormat="1" ht="12" customHeight="1" x14ac:dyDescent="0.2">
      <c r="A53" s="7" t="s">
        <v>128</v>
      </c>
      <c r="B53" s="36" t="s">
        <v>129</v>
      </c>
      <c r="C53" s="56">
        <f t="shared" si="0"/>
        <v>0</v>
      </c>
      <c r="D53" s="30"/>
      <c r="E53" s="44"/>
      <c r="F53" s="44"/>
    </row>
    <row r="54" spans="1:6" s="25" customFormat="1" ht="12" customHeight="1" x14ac:dyDescent="0.2">
      <c r="A54" s="6" t="s">
        <v>130</v>
      </c>
      <c r="B54" s="38" t="s">
        <v>131</v>
      </c>
      <c r="C54" s="45">
        <f t="shared" si="0"/>
        <v>0</v>
      </c>
      <c r="D54" s="51"/>
      <c r="E54" s="40"/>
      <c r="F54" s="40"/>
    </row>
    <row r="55" spans="1:6" s="25" customFormat="1" ht="12" customHeight="1" x14ac:dyDescent="0.2">
      <c r="A55" s="6" t="s">
        <v>132</v>
      </c>
      <c r="B55" s="38" t="s">
        <v>133</v>
      </c>
      <c r="C55" s="45">
        <f t="shared" si="0"/>
        <v>1950000</v>
      </c>
      <c r="D55" s="51">
        <f>2900000+20000+30000-1000000</f>
        <v>1950000</v>
      </c>
      <c r="E55" s="40"/>
      <c r="F55" s="40"/>
    </row>
    <row r="56" spans="1:6" s="25" customFormat="1" ht="12" customHeight="1" thickBot="1" x14ac:dyDescent="0.25">
      <c r="A56" s="8" t="s">
        <v>134</v>
      </c>
      <c r="B56" s="16" t="s">
        <v>135</v>
      </c>
      <c r="C56" s="101">
        <f t="shared" si="0"/>
        <v>0</v>
      </c>
      <c r="D56" s="58"/>
      <c r="E56" s="59"/>
      <c r="F56" s="59"/>
    </row>
    <row r="57" spans="1:6" s="25" customFormat="1" ht="12" customHeight="1" thickBot="1" x14ac:dyDescent="0.25">
      <c r="A57" s="9" t="s">
        <v>9</v>
      </c>
      <c r="B57" s="43" t="s">
        <v>136</v>
      </c>
      <c r="C57" s="105">
        <f t="shared" si="0"/>
        <v>0</v>
      </c>
      <c r="D57" s="29">
        <f>SUM(D58:D60)</f>
        <v>0</v>
      </c>
      <c r="E57" s="35">
        <f>SUM(E58:E60)</f>
        <v>0</v>
      </c>
      <c r="F57" s="35">
        <f>SUM(F58:F60)</f>
        <v>0</v>
      </c>
    </row>
    <row r="58" spans="1:6" s="25" customFormat="1" ht="12" customHeight="1" x14ac:dyDescent="0.2">
      <c r="A58" s="7" t="s">
        <v>137</v>
      </c>
      <c r="B58" s="36" t="s">
        <v>138</v>
      </c>
      <c r="C58" s="56">
        <f t="shared" si="0"/>
        <v>0</v>
      </c>
      <c r="D58" s="51"/>
      <c r="E58" s="40"/>
      <c r="F58" s="40"/>
    </row>
    <row r="59" spans="1:6" s="25" customFormat="1" ht="12" customHeight="1" x14ac:dyDescent="0.2">
      <c r="A59" s="6" t="s">
        <v>139</v>
      </c>
      <c r="B59" s="38" t="s">
        <v>140</v>
      </c>
      <c r="C59" s="45">
        <f t="shared" si="0"/>
        <v>0</v>
      </c>
      <c r="D59" s="51"/>
      <c r="E59" s="40"/>
      <c r="F59" s="40"/>
    </row>
    <row r="60" spans="1:6" s="25" customFormat="1" ht="12" customHeight="1" x14ac:dyDescent="0.2">
      <c r="A60" s="6" t="s">
        <v>141</v>
      </c>
      <c r="B60" s="38" t="s">
        <v>142</v>
      </c>
      <c r="C60" s="45">
        <f t="shared" si="0"/>
        <v>0</v>
      </c>
      <c r="D60" s="51"/>
      <c r="E60" s="40"/>
      <c r="F60" s="40"/>
    </row>
    <row r="61" spans="1:6" s="25" customFormat="1" ht="12" customHeight="1" thickBot="1" x14ac:dyDescent="0.25">
      <c r="A61" s="8" t="s">
        <v>143</v>
      </c>
      <c r="B61" s="16" t="s">
        <v>144</v>
      </c>
      <c r="C61" s="104">
        <f t="shared" si="0"/>
        <v>0</v>
      </c>
      <c r="D61" s="51"/>
      <c r="E61" s="40"/>
      <c r="F61" s="40"/>
    </row>
    <row r="62" spans="1:6" s="25" customFormat="1" ht="12" customHeight="1" thickBot="1" x14ac:dyDescent="0.25">
      <c r="A62" s="60" t="s">
        <v>145</v>
      </c>
      <c r="B62" s="34" t="s">
        <v>67</v>
      </c>
      <c r="C62" s="35">
        <f t="shared" si="0"/>
        <v>1799233963</v>
      </c>
      <c r="D62" s="53">
        <f>+D5+D12+D19+D26+D34+D46+D52+D57</f>
        <v>1593026594</v>
      </c>
      <c r="E62" s="54">
        <f>+E5+E12+E19+E26+E34+E46+E52+E57</f>
        <v>5122297</v>
      </c>
      <c r="F62" s="54">
        <f>+F5+F12+F19+F26+F34+F46+F52+F57</f>
        <v>201085072</v>
      </c>
    </row>
    <row r="63" spans="1:6" s="25" customFormat="1" ht="12" customHeight="1" thickBot="1" x14ac:dyDescent="0.25">
      <c r="A63" s="61" t="s">
        <v>146</v>
      </c>
      <c r="B63" s="43" t="s">
        <v>147</v>
      </c>
      <c r="C63" s="105">
        <f t="shared" si="0"/>
        <v>212343590</v>
      </c>
      <c r="D63" s="29">
        <f>SUM(D64:D66)</f>
        <v>212343590</v>
      </c>
      <c r="E63" s="35">
        <f>SUM(E64:E66)</f>
        <v>0</v>
      </c>
      <c r="F63" s="35">
        <f>SUM(F64:F66)</f>
        <v>0</v>
      </c>
    </row>
    <row r="64" spans="1:6" s="25" customFormat="1" ht="12" customHeight="1" x14ac:dyDescent="0.2">
      <c r="A64" s="7" t="s">
        <v>148</v>
      </c>
      <c r="B64" s="36" t="s">
        <v>149</v>
      </c>
      <c r="C64" s="103">
        <f t="shared" si="0"/>
        <v>112343590</v>
      </c>
      <c r="D64" s="51">
        <f>93478462+25000000-315732-5819140</f>
        <v>112343590</v>
      </c>
      <c r="E64" s="40"/>
      <c r="F64" s="40"/>
    </row>
    <row r="65" spans="1:6" s="25" customFormat="1" ht="12" customHeight="1" x14ac:dyDescent="0.2">
      <c r="A65" s="6" t="s">
        <v>150</v>
      </c>
      <c r="B65" s="38" t="s">
        <v>151</v>
      </c>
      <c r="C65" s="45">
        <f t="shared" si="0"/>
        <v>100000000</v>
      </c>
      <c r="D65" s="51">
        <v>100000000</v>
      </c>
      <c r="E65" s="40"/>
      <c r="F65" s="40"/>
    </row>
    <row r="66" spans="1:6" s="25" customFormat="1" ht="12" customHeight="1" thickBot="1" x14ac:dyDescent="0.25">
      <c r="A66" s="8" t="s">
        <v>152</v>
      </c>
      <c r="B66" s="62" t="s">
        <v>153</v>
      </c>
      <c r="C66" s="104">
        <f t="shared" si="0"/>
        <v>0</v>
      </c>
      <c r="D66" s="51"/>
      <c r="E66" s="40"/>
      <c r="F66" s="40"/>
    </row>
    <row r="67" spans="1:6" s="25" customFormat="1" ht="12" customHeight="1" thickBot="1" x14ac:dyDescent="0.25">
      <c r="A67" s="61" t="s">
        <v>154</v>
      </c>
      <c r="B67" s="43" t="s">
        <v>155</v>
      </c>
      <c r="C67" s="105">
        <f t="shared" si="0"/>
        <v>0</v>
      </c>
      <c r="D67" s="29">
        <f>SUM(D68:D71)</f>
        <v>0</v>
      </c>
      <c r="E67" s="35">
        <f>SUM(E68:E71)</f>
        <v>0</v>
      </c>
      <c r="F67" s="35">
        <f>SUM(F68:F71)</f>
        <v>0</v>
      </c>
    </row>
    <row r="68" spans="1:6" s="25" customFormat="1" ht="12" customHeight="1" x14ac:dyDescent="0.2">
      <c r="A68" s="7" t="s">
        <v>156</v>
      </c>
      <c r="B68" s="36" t="s">
        <v>157</v>
      </c>
      <c r="C68" s="56">
        <f t="shared" si="0"/>
        <v>0</v>
      </c>
      <c r="D68" s="51"/>
      <c r="E68" s="40"/>
      <c r="F68" s="40"/>
    </row>
    <row r="69" spans="1:6" s="25" customFormat="1" ht="12" customHeight="1" x14ac:dyDescent="0.2">
      <c r="A69" s="6" t="s">
        <v>158</v>
      </c>
      <c r="B69" s="38" t="s">
        <v>159</v>
      </c>
      <c r="C69" s="102">
        <f t="shared" ref="C69:C87" si="1">SUM(D69:F69)</f>
        <v>0</v>
      </c>
      <c r="D69" s="51"/>
      <c r="E69" s="40"/>
      <c r="F69" s="40"/>
    </row>
    <row r="70" spans="1:6" s="25" customFormat="1" ht="12" customHeight="1" x14ac:dyDescent="0.2">
      <c r="A70" s="6" t="s">
        <v>160</v>
      </c>
      <c r="B70" s="38" t="s">
        <v>161</v>
      </c>
      <c r="C70" s="102">
        <f t="shared" si="1"/>
        <v>0</v>
      </c>
      <c r="D70" s="51"/>
      <c r="E70" s="40"/>
      <c r="F70" s="40"/>
    </row>
    <row r="71" spans="1:6" s="25" customFormat="1" ht="12" customHeight="1" thickBot="1" x14ac:dyDescent="0.25">
      <c r="A71" s="8" t="s">
        <v>162</v>
      </c>
      <c r="B71" s="16" t="s">
        <v>163</v>
      </c>
      <c r="C71" s="104">
        <f t="shared" si="1"/>
        <v>0</v>
      </c>
      <c r="D71" s="51"/>
      <c r="E71" s="40"/>
      <c r="F71" s="40"/>
    </row>
    <row r="72" spans="1:6" s="25" customFormat="1" ht="12" customHeight="1" thickBot="1" x14ac:dyDescent="0.25">
      <c r="A72" s="61" t="s">
        <v>164</v>
      </c>
      <c r="B72" s="43" t="s">
        <v>165</v>
      </c>
      <c r="C72" s="35">
        <f t="shared" si="1"/>
        <v>602650240</v>
      </c>
      <c r="D72" s="29">
        <f>SUM(D73:D74)</f>
        <v>594503730</v>
      </c>
      <c r="E72" s="35">
        <f>SUM(E73:E74)</f>
        <v>3212174</v>
      </c>
      <c r="F72" s="35">
        <f>SUM(F73:F74)</f>
        <v>4934336</v>
      </c>
    </row>
    <row r="73" spans="1:6" s="25" customFormat="1" ht="12" customHeight="1" x14ac:dyDescent="0.2">
      <c r="A73" s="7" t="s">
        <v>166</v>
      </c>
      <c r="B73" s="36" t="s">
        <v>167</v>
      </c>
      <c r="C73" s="103">
        <f t="shared" si="1"/>
        <v>602650240</v>
      </c>
      <c r="D73" s="51">
        <f>569119704-28+25384054</f>
        <v>594503730</v>
      </c>
      <c r="E73" s="40">
        <f>3148853+63321</f>
        <v>3212174</v>
      </c>
      <c r="F73" s="40">
        <v>4934336</v>
      </c>
    </row>
    <row r="74" spans="1:6" s="25" customFormat="1" ht="12" customHeight="1" thickBot="1" x14ac:dyDescent="0.25">
      <c r="A74" s="8" t="s">
        <v>168</v>
      </c>
      <c r="B74" s="16" t="s">
        <v>169</v>
      </c>
      <c r="C74" s="104">
        <f t="shared" si="1"/>
        <v>0</v>
      </c>
      <c r="D74" s="51"/>
      <c r="E74" s="40"/>
      <c r="F74" s="40"/>
    </row>
    <row r="75" spans="1:6" s="25" customFormat="1" ht="12" customHeight="1" thickBot="1" x14ac:dyDescent="0.25">
      <c r="A75" s="61" t="s">
        <v>170</v>
      </c>
      <c r="B75" s="43" t="s">
        <v>171</v>
      </c>
      <c r="C75" s="105">
        <f t="shared" si="1"/>
        <v>41904332</v>
      </c>
      <c r="D75" s="29">
        <f>SUM(D76:D78)</f>
        <v>41904332</v>
      </c>
      <c r="E75" s="35">
        <f>SUM(E76:E78)</f>
        <v>0</v>
      </c>
      <c r="F75" s="35">
        <f>SUM(F76:F78)</f>
        <v>0</v>
      </c>
    </row>
    <row r="76" spans="1:6" s="25" customFormat="1" ht="12" customHeight="1" x14ac:dyDescent="0.2">
      <c r="A76" s="7" t="s">
        <v>172</v>
      </c>
      <c r="B76" s="36" t="s">
        <v>173</v>
      </c>
      <c r="C76" s="103">
        <f t="shared" si="1"/>
        <v>41904332</v>
      </c>
      <c r="D76" s="51">
        <v>41904332</v>
      </c>
      <c r="E76" s="40"/>
      <c r="F76" s="40"/>
    </row>
    <row r="77" spans="1:6" s="25" customFormat="1" ht="12" customHeight="1" x14ac:dyDescent="0.2">
      <c r="A77" s="6" t="s">
        <v>174</v>
      </c>
      <c r="B77" s="38" t="s">
        <v>175</v>
      </c>
      <c r="C77" s="102">
        <f t="shared" si="1"/>
        <v>0</v>
      </c>
      <c r="D77" s="51"/>
      <c r="E77" s="40"/>
      <c r="F77" s="40"/>
    </row>
    <row r="78" spans="1:6" s="25" customFormat="1" ht="12" customHeight="1" thickBot="1" x14ac:dyDescent="0.25">
      <c r="A78" s="8" t="s">
        <v>176</v>
      </c>
      <c r="B78" s="16" t="s">
        <v>177</v>
      </c>
      <c r="C78" s="104">
        <f t="shared" si="1"/>
        <v>0</v>
      </c>
      <c r="D78" s="51"/>
      <c r="E78" s="40"/>
      <c r="F78" s="40"/>
    </row>
    <row r="79" spans="1:6" s="25" customFormat="1" ht="12" customHeight="1" thickBot="1" x14ac:dyDescent="0.25">
      <c r="A79" s="61" t="s">
        <v>178</v>
      </c>
      <c r="B79" s="43" t="s">
        <v>179</v>
      </c>
      <c r="C79" s="105">
        <f t="shared" si="1"/>
        <v>0</v>
      </c>
      <c r="D79" s="29">
        <f>SUM(D80:D83)</f>
        <v>0</v>
      </c>
      <c r="E79" s="35">
        <f>SUM(E80:E83)</f>
        <v>0</v>
      </c>
      <c r="F79" s="35">
        <f>SUM(F80:F83)</f>
        <v>0</v>
      </c>
    </row>
    <row r="80" spans="1:6" s="25" customFormat="1" ht="12" customHeight="1" x14ac:dyDescent="0.2">
      <c r="A80" s="63" t="s">
        <v>180</v>
      </c>
      <c r="B80" s="36" t="s">
        <v>181</v>
      </c>
      <c r="C80" s="56">
        <f t="shared" si="1"/>
        <v>0</v>
      </c>
      <c r="D80" s="51"/>
      <c r="E80" s="40"/>
      <c r="F80" s="40"/>
    </row>
    <row r="81" spans="1:6" s="25" customFormat="1" ht="12" customHeight="1" x14ac:dyDescent="0.2">
      <c r="A81" s="64" t="s">
        <v>182</v>
      </c>
      <c r="B81" s="38" t="s">
        <v>183</v>
      </c>
      <c r="C81" s="102">
        <f t="shared" si="1"/>
        <v>0</v>
      </c>
      <c r="D81" s="51"/>
      <c r="E81" s="40"/>
      <c r="F81" s="40"/>
    </row>
    <row r="82" spans="1:6" s="25" customFormat="1" ht="12" customHeight="1" x14ac:dyDescent="0.2">
      <c r="A82" s="64" t="s">
        <v>184</v>
      </c>
      <c r="B82" s="38" t="s">
        <v>185</v>
      </c>
      <c r="C82" s="102">
        <f t="shared" si="1"/>
        <v>0</v>
      </c>
      <c r="D82" s="51"/>
      <c r="E82" s="40"/>
      <c r="F82" s="40"/>
    </row>
    <row r="83" spans="1:6" s="25" customFormat="1" ht="12" customHeight="1" thickBot="1" x14ac:dyDescent="0.25">
      <c r="A83" s="65" t="s">
        <v>186</v>
      </c>
      <c r="B83" s="16" t="s">
        <v>187</v>
      </c>
      <c r="C83" s="104">
        <f t="shared" si="1"/>
        <v>0</v>
      </c>
      <c r="D83" s="51"/>
      <c r="E83" s="40"/>
      <c r="F83" s="40"/>
    </row>
    <row r="84" spans="1:6" s="25" customFormat="1" ht="12" customHeight="1" thickBot="1" x14ac:dyDescent="0.25">
      <c r="A84" s="61" t="s">
        <v>188</v>
      </c>
      <c r="B84" s="43" t="s">
        <v>189</v>
      </c>
      <c r="C84" s="106">
        <f t="shared" si="1"/>
        <v>0</v>
      </c>
      <c r="D84" s="66"/>
      <c r="E84" s="27"/>
      <c r="F84" s="27"/>
    </row>
    <row r="85" spans="1:6" s="25" customFormat="1" ht="13.5" customHeight="1" thickBot="1" x14ac:dyDescent="0.25">
      <c r="A85" s="61" t="s">
        <v>190</v>
      </c>
      <c r="B85" s="43" t="s">
        <v>191</v>
      </c>
      <c r="C85" s="105">
        <f t="shared" si="1"/>
        <v>0</v>
      </c>
      <c r="D85" s="66"/>
      <c r="E85" s="27"/>
      <c r="F85" s="27"/>
    </row>
    <row r="86" spans="1:6" s="25" customFormat="1" ht="15.75" customHeight="1" thickBot="1" x14ac:dyDescent="0.25">
      <c r="A86" s="61" t="s">
        <v>192</v>
      </c>
      <c r="B86" s="67" t="s">
        <v>193</v>
      </c>
      <c r="C86" s="35">
        <f t="shared" si="1"/>
        <v>856898162</v>
      </c>
      <c r="D86" s="53">
        <f>+D63+D67+D72+D75+D79+D85+D84</f>
        <v>848751652</v>
      </c>
      <c r="E86" s="54">
        <f>+E63+E67+E72+E75+E79+E85+E84</f>
        <v>3212174</v>
      </c>
      <c r="F86" s="54">
        <f>+F63+F67+F72+F75+F79+F85+F84</f>
        <v>4934336</v>
      </c>
    </row>
    <row r="87" spans="1:6" s="25" customFormat="1" ht="16.5" customHeight="1" thickBot="1" x14ac:dyDescent="0.25">
      <c r="A87" s="68" t="s">
        <v>194</v>
      </c>
      <c r="B87" s="69" t="s">
        <v>195</v>
      </c>
      <c r="C87" s="92">
        <f t="shared" si="1"/>
        <v>2656132125</v>
      </c>
      <c r="D87" s="53">
        <f>+D62+D86</f>
        <v>2441778246</v>
      </c>
      <c r="E87" s="54">
        <f>+E62+E86</f>
        <v>8334471</v>
      </c>
      <c r="F87" s="54">
        <f>+F62+F86</f>
        <v>206019408</v>
      </c>
    </row>
    <row r="88" spans="1:6" s="25" customFormat="1" ht="83.25" customHeight="1" x14ac:dyDescent="0.2">
      <c r="A88" s="70"/>
      <c r="B88" s="71"/>
      <c r="C88" s="72"/>
    </row>
    <row r="89" spans="1:6" ht="16.5" customHeight="1" x14ac:dyDescent="0.25">
      <c r="A89" s="113" t="s">
        <v>13</v>
      </c>
      <c r="B89" s="113"/>
      <c r="C89" s="113"/>
    </row>
    <row r="90" spans="1:6" s="74" customFormat="1" ht="16.5" customHeight="1" thickBot="1" x14ac:dyDescent="0.3">
      <c r="A90" s="114" t="s">
        <v>37</v>
      </c>
      <c r="B90" s="114"/>
      <c r="C90" s="73" t="s">
        <v>76</v>
      </c>
    </row>
    <row r="91" spans="1:6" ht="38.1" customHeight="1" thickBot="1" x14ac:dyDescent="0.3">
      <c r="A91" s="10" t="s">
        <v>16</v>
      </c>
      <c r="B91" s="11" t="s">
        <v>14</v>
      </c>
      <c r="C91" s="32" t="str">
        <f>+C3</f>
        <v>2018. évi előirányzat</v>
      </c>
    </row>
    <row r="92" spans="1:6" s="24" customFormat="1" ht="12" customHeight="1" thickBot="1" x14ac:dyDescent="0.25">
      <c r="A92" s="13" t="s">
        <v>68</v>
      </c>
      <c r="B92" s="75" t="s">
        <v>69</v>
      </c>
      <c r="C92" s="33" t="s">
        <v>70</v>
      </c>
    </row>
    <row r="93" spans="1:6" ht="12" customHeight="1" thickBot="1" x14ac:dyDescent="0.3">
      <c r="A93" s="76" t="s">
        <v>2</v>
      </c>
      <c r="B93" s="77" t="s">
        <v>196</v>
      </c>
      <c r="C93" s="35">
        <f t="shared" ref="C93:C154" si="2">SUM(D93:F93)</f>
        <v>1524404582</v>
      </c>
      <c r="D93" s="78">
        <f>+D94+D95+D96+D97+D98+D111</f>
        <v>566790063</v>
      </c>
      <c r="E93" s="79">
        <f>+E94+E95+E96+E97+E98+E111</f>
        <v>28774983</v>
      </c>
      <c r="F93" s="57">
        <f>F94+F95+F96+F97+F98+F111</f>
        <v>928839536</v>
      </c>
    </row>
    <row r="94" spans="1:6" ht="12" customHeight="1" x14ac:dyDescent="0.25">
      <c r="A94" s="80" t="s">
        <v>20</v>
      </c>
      <c r="B94" s="4" t="s">
        <v>15</v>
      </c>
      <c r="C94" s="100">
        <f t="shared" si="2"/>
        <v>501977572</v>
      </c>
      <c r="D94" s="81">
        <f>2854500+25097896+11111000+584100+20000+1182990+1095900-175365+408000-198000+58577+6274800+23800+450000-1077738+237552+1313740+277000-198000+10136586+100000+1757125+1407675+12000+972-277000+1167404-493314-198000+70000-27206+120000+25000+810212-10136586-24904-1472000-1390000-800000-1500000-4500000</f>
        <v>44128716</v>
      </c>
      <c r="E94" s="82">
        <f>481000+2215000</f>
        <v>2696000</v>
      </c>
      <c r="F94" s="107">
        <f>454281366-811000+1852490+80000-250000</f>
        <v>455152856</v>
      </c>
    </row>
    <row r="95" spans="1:6" ht="12" customHeight="1" x14ac:dyDescent="0.25">
      <c r="A95" s="6" t="s">
        <v>21</v>
      </c>
      <c r="B95" s="2" t="s">
        <v>40</v>
      </c>
      <c r="C95" s="39">
        <f t="shared" si="2"/>
        <v>105922106</v>
      </c>
      <c r="D95" s="51">
        <f>500965+4771305+2167000+14000+207615+213701-18991+71604+3298-34749+11423+1380456+4650+78975-225759-237552+261960+54015-34749+1949335+337374+2331-972+249327-96196-34749+13000-2653+21060+10178+307362-1949335+2366+5000-400000-190000-200000-500000+5846-990000</f>
        <v>7728441</v>
      </c>
      <c r="E95" s="40">
        <f>114000+461687</f>
        <v>575687</v>
      </c>
      <c r="F95" s="108">
        <f>97140882-128290+341346+14040+250000</f>
        <v>97617978</v>
      </c>
    </row>
    <row r="96" spans="1:6" ht="12" customHeight="1" x14ac:dyDescent="0.25">
      <c r="A96" s="6" t="s">
        <v>22</v>
      </c>
      <c r="B96" s="2" t="s">
        <v>34</v>
      </c>
      <c r="C96" s="45">
        <f t="shared" si="2"/>
        <v>557156005</v>
      </c>
      <c r="D96" s="47">
        <f>13447475+835000+50000+52909601+6787092+2456000+4504030+871220+34163000+50473064+3285067+9000000+443000+120000+17207888+17042731+48545760+500000+381000-83792+60000+110000+178500-37621053+63500+8564000+45720-813975+943240+256115-351000+30000+1406000-615000+12214369-2190001+1016000+282000+44000+277000+169960+3115000+3175000+55554+2848963+88900+6050+127000+160000+273050+500000+400050-190500+37000+4000-1450000+195689-5000+508000+918292-34052-1841500-20175000-350000-4600000-50940000</f>
        <v>179834007</v>
      </c>
      <c r="E96" s="48">
        <f>324000+352000+137126+419550+20620</f>
        <v>1253296</v>
      </c>
      <c r="F96" s="108">
        <f>375583932-1110+485880+624000-624000</f>
        <v>376068702</v>
      </c>
    </row>
    <row r="97" spans="1:6" ht="12" customHeight="1" x14ac:dyDescent="0.25">
      <c r="A97" s="6" t="s">
        <v>23</v>
      </c>
      <c r="B97" s="2" t="s">
        <v>41</v>
      </c>
      <c r="C97" s="45">
        <f t="shared" si="2"/>
        <v>139384000</v>
      </c>
      <c r="D97" s="47">
        <f>69500000+3500000+69312000-2000000-1016000-282000+2436008-2436008+24050000-24050000-400000-80000-23400000</f>
        <v>115134000</v>
      </c>
      <c r="E97" s="48">
        <v>24250000</v>
      </c>
      <c r="F97" s="108"/>
    </row>
    <row r="98" spans="1:6" ht="12" customHeight="1" x14ac:dyDescent="0.25">
      <c r="A98" s="6" t="s">
        <v>197</v>
      </c>
      <c r="B98" s="1" t="s">
        <v>42</v>
      </c>
      <c r="C98" s="45">
        <f>SUM(D98:F98)</f>
        <v>127974841</v>
      </c>
      <c r="D98" s="47">
        <f>5697126+16985629+16551218+32866801+100000+660000+49357310+3869819+86500+4500000-3392000+245000+400000-32562+80000</f>
        <v>127974841</v>
      </c>
      <c r="E98" s="48"/>
      <c r="F98" s="48"/>
    </row>
    <row r="99" spans="1:6" ht="12" customHeight="1" x14ac:dyDescent="0.25">
      <c r="A99" s="6" t="s">
        <v>24</v>
      </c>
      <c r="B99" s="2" t="s">
        <v>198</v>
      </c>
      <c r="C99" s="45">
        <f>SUM(D99:F99)</f>
        <v>4056319</v>
      </c>
      <c r="D99" s="47">
        <f>100000+3869819+86500</f>
        <v>4056319</v>
      </c>
      <c r="E99" s="48"/>
      <c r="F99" s="48"/>
    </row>
    <row r="100" spans="1:6" ht="12" customHeight="1" x14ac:dyDescent="0.25">
      <c r="A100" s="6" t="s">
        <v>25</v>
      </c>
      <c r="B100" s="84" t="s">
        <v>199</v>
      </c>
      <c r="C100" s="45">
        <f t="shared" si="2"/>
        <v>0</v>
      </c>
      <c r="D100" s="47"/>
      <c r="E100" s="48"/>
      <c r="F100" s="48"/>
    </row>
    <row r="101" spans="1:6" ht="12" customHeight="1" x14ac:dyDescent="0.25">
      <c r="A101" s="6" t="s">
        <v>30</v>
      </c>
      <c r="B101" s="84" t="s">
        <v>200</v>
      </c>
      <c r="C101" s="45">
        <f t="shared" si="2"/>
        <v>0</v>
      </c>
      <c r="D101" s="47"/>
      <c r="E101" s="48"/>
      <c r="F101" s="48"/>
    </row>
    <row r="102" spans="1:6" ht="12" customHeight="1" x14ac:dyDescent="0.25">
      <c r="A102" s="6" t="s">
        <v>31</v>
      </c>
      <c r="B102" s="85" t="s">
        <v>201</v>
      </c>
      <c r="C102" s="45">
        <f t="shared" si="2"/>
        <v>0</v>
      </c>
      <c r="D102" s="47"/>
      <c r="E102" s="48"/>
      <c r="F102" s="48"/>
    </row>
    <row r="103" spans="1:6" ht="12" customHeight="1" x14ac:dyDescent="0.25">
      <c r="A103" s="6" t="s">
        <v>32</v>
      </c>
      <c r="B103" s="86" t="s">
        <v>202</v>
      </c>
      <c r="C103" s="45">
        <f t="shared" si="2"/>
        <v>0</v>
      </c>
      <c r="D103" s="47"/>
      <c r="E103" s="48"/>
      <c r="F103" s="48"/>
    </row>
    <row r="104" spans="1:6" ht="12" customHeight="1" x14ac:dyDescent="0.25">
      <c r="A104" s="6" t="s">
        <v>33</v>
      </c>
      <c r="B104" s="86" t="s">
        <v>203</v>
      </c>
      <c r="C104" s="45">
        <f t="shared" si="2"/>
        <v>0</v>
      </c>
      <c r="D104" s="47"/>
      <c r="E104" s="48"/>
      <c r="F104" s="48"/>
    </row>
    <row r="105" spans="1:6" ht="12" customHeight="1" x14ac:dyDescent="0.25">
      <c r="A105" s="6" t="s">
        <v>204</v>
      </c>
      <c r="B105" s="85" t="s">
        <v>205</v>
      </c>
      <c r="C105" s="45">
        <f t="shared" si="2"/>
        <v>660000</v>
      </c>
      <c r="D105" s="47">
        <v>660000</v>
      </c>
      <c r="E105" s="48"/>
      <c r="F105" s="48"/>
    </row>
    <row r="106" spans="1:6" ht="12" customHeight="1" x14ac:dyDescent="0.25">
      <c r="A106" s="6" t="s">
        <v>206</v>
      </c>
      <c r="B106" s="85" t="s">
        <v>207</v>
      </c>
      <c r="C106" s="45">
        <f t="shared" si="2"/>
        <v>0</v>
      </c>
      <c r="D106" s="109"/>
      <c r="E106" s="48"/>
      <c r="F106" s="48"/>
    </row>
    <row r="107" spans="1:6" ht="12" customHeight="1" x14ac:dyDescent="0.25">
      <c r="A107" s="6" t="s">
        <v>208</v>
      </c>
      <c r="B107" s="86" t="s">
        <v>209</v>
      </c>
      <c r="C107" s="45">
        <f t="shared" si="2"/>
        <v>0</v>
      </c>
      <c r="D107" s="47"/>
      <c r="E107" s="48"/>
      <c r="F107" s="48"/>
    </row>
    <row r="108" spans="1:6" ht="12" customHeight="1" x14ac:dyDescent="0.25">
      <c r="A108" s="87" t="s">
        <v>210</v>
      </c>
      <c r="B108" s="84" t="s">
        <v>211</v>
      </c>
      <c r="C108" s="45">
        <f t="shared" si="2"/>
        <v>0</v>
      </c>
      <c r="D108" s="47"/>
      <c r="E108" s="48"/>
      <c r="F108" s="48"/>
    </row>
    <row r="109" spans="1:6" ht="12" customHeight="1" x14ac:dyDescent="0.25">
      <c r="A109" s="6" t="s">
        <v>212</v>
      </c>
      <c r="B109" s="84" t="s">
        <v>213</v>
      </c>
      <c r="C109" s="45">
        <f t="shared" si="2"/>
        <v>0</v>
      </c>
      <c r="D109" s="47"/>
      <c r="E109" s="48"/>
      <c r="F109" s="48"/>
    </row>
    <row r="110" spans="1:6" ht="12" customHeight="1" x14ac:dyDescent="0.25">
      <c r="A110" s="8" t="s">
        <v>214</v>
      </c>
      <c r="B110" s="84" t="s">
        <v>215</v>
      </c>
      <c r="C110" s="45">
        <f t="shared" si="2"/>
        <v>123258522</v>
      </c>
      <c r="D110" s="51">
        <f>5697126+16985629+16551218+32866801+660000+49357310-660000+4500000-3392000+245000-32562+400000+80000</f>
        <v>123258522</v>
      </c>
      <c r="E110" s="40"/>
      <c r="F110" s="48"/>
    </row>
    <row r="111" spans="1:6" ht="12" customHeight="1" x14ac:dyDescent="0.25">
      <c r="A111" s="6" t="s">
        <v>216</v>
      </c>
      <c r="B111" s="2" t="s">
        <v>217</v>
      </c>
      <c r="C111" s="45">
        <f t="shared" si="2"/>
        <v>91990058</v>
      </c>
      <c r="D111" s="51">
        <f>SUM(D112:D113)</f>
        <v>91990058</v>
      </c>
      <c r="E111" s="40"/>
      <c r="F111" s="40">
        <f>SUM(F112:F113)</f>
        <v>0</v>
      </c>
    </row>
    <row r="112" spans="1:6" ht="12" customHeight="1" x14ac:dyDescent="0.25">
      <c r="A112" s="6" t="s">
        <v>218</v>
      </c>
      <c r="B112" s="2" t="s">
        <v>219</v>
      </c>
      <c r="C112" s="45">
        <f t="shared" si="2"/>
        <v>10857171</v>
      </c>
      <c r="D112" s="47">
        <f>15000000-21705-8451320+266142+295985-5833975+4111442+318287-2711045-668403+1866146+6685617</f>
        <v>10857171</v>
      </c>
      <c r="E112" s="48"/>
      <c r="F112" s="40"/>
    </row>
    <row r="113" spans="1:6" ht="12" customHeight="1" thickBot="1" x14ac:dyDescent="0.3">
      <c r="A113" s="88" t="s">
        <v>220</v>
      </c>
      <c r="B113" s="89" t="s">
        <v>221</v>
      </c>
      <c r="C113" s="101">
        <f t="shared" si="2"/>
        <v>81132887</v>
      </c>
      <c r="D113" s="90">
        <f>65846522-6946019+750000-2582475-1500181-997960-200000+19431000+7332000</f>
        <v>81132887</v>
      </c>
      <c r="E113" s="91"/>
      <c r="F113" s="91"/>
    </row>
    <row r="114" spans="1:6" ht="12" customHeight="1" thickBot="1" x14ac:dyDescent="0.3">
      <c r="A114" s="28" t="s">
        <v>3</v>
      </c>
      <c r="B114" s="110" t="s">
        <v>222</v>
      </c>
      <c r="C114" s="35">
        <f t="shared" si="2"/>
        <v>683396480</v>
      </c>
      <c r="D114" s="29">
        <f>+D115+D117+D119</f>
        <v>674145600</v>
      </c>
      <c r="E114" s="35">
        <f>+E115+E117+E119</f>
        <v>0</v>
      </c>
      <c r="F114" s="92">
        <f>+F115+F117+F119</f>
        <v>9250880</v>
      </c>
    </row>
    <row r="115" spans="1:6" ht="18.75" customHeight="1" x14ac:dyDescent="0.25">
      <c r="A115" s="7" t="s">
        <v>26</v>
      </c>
      <c r="B115" s="2" t="s">
        <v>44</v>
      </c>
      <c r="C115" s="103">
        <f t="shared" si="2"/>
        <v>341474953</v>
      </c>
      <c r="D115" s="49">
        <f>359410+2345001+219008101+381000+1500000+3139585+33894811+2338070+4950460-60000+275000+20930495+5189661+457200+6704583+305000+174200+752475+1598336+515000-1212200+797560-169560+2902000+25000000+136269+279200+54500+287516</f>
        <v>332833673</v>
      </c>
      <c r="E115" s="37"/>
      <c r="F115" s="37">
        <f>8663894-22614</f>
        <v>8641280</v>
      </c>
    </row>
    <row r="116" spans="1:6" ht="12" customHeight="1" x14ac:dyDescent="0.25">
      <c r="A116" s="7" t="s">
        <v>27</v>
      </c>
      <c r="B116" s="5" t="s">
        <v>223</v>
      </c>
      <c r="C116" s="103">
        <f t="shared" si="2"/>
        <v>280159423</v>
      </c>
      <c r="D116" s="49">
        <f>218246101+33259811+20930495+1187993+6704583-169560</f>
        <v>280159423</v>
      </c>
      <c r="E116" s="37"/>
      <c r="F116" s="37"/>
    </row>
    <row r="117" spans="1:6" ht="12" customHeight="1" x14ac:dyDescent="0.25">
      <c r="A117" s="7" t="s">
        <v>28</v>
      </c>
      <c r="B117" s="5" t="s">
        <v>43</v>
      </c>
      <c r="C117" s="103">
        <f t="shared" si="2"/>
        <v>276110806</v>
      </c>
      <c r="D117" s="51">
        <f>180701362+1500000+37902555+48165993+9194292-354600+3402201+479353-127000-315732+63500-5144770+34052</f>
        <v>275501206</v>
      </c>
      <c r="E117" s="40"/>
      <c r="F117" s="40">
        <v>609600</v>
      </c>
    </row>
    <row r="118" spans="1:6" ht="12" customHeight="1" x14ac:dyDescent="0.25">
      <c r="A118" s="7" t="s">
        <v>29</v>
      </c>
      <c r="B118" s="5" t="s">
        <v>224</v>
      </c>
      <c r="C118" s="103">
        <f t="shared" si="2"/>
        <v>230773273</v>
      </c>
      <c r="D118" s="51">
        <f>146098020+36509260+48165993</f>
        <v>230773273</v>
      </c>
      <c r="E118" s="93"/>
      <c r="F118" s="93"/>
    </row>
    <row r="119" spans="1:6" ht="12" customHeight="1" x14ac:dyDescent="0.25">
      <c r="A119" s="7" t="s">
        <v>90</v>
      </c>
      <c r="B119" s="16" t="s">
        <v>45</v>
      </c>
      <c r="C119" s="45">
        <f t="shared" si="2"/>
        <v>65810721</v>
      </c>
      <c r="D119" s="47">
        <f>65710721+100000</f>
        <v>65810721</v>
      </c>
      <c r="E119" s="51"/>
      <c r="F119" s="51"/>
    </row>
    <row r="120" spans="1:6" ht="12" customHeight="1" x14ac:dyDescent="0.25">
      <c r="A120" s="7" t="s">
        <v>92</v>
      </c>
      <c r="B120" s="41" t="s">
        <v>225</v>
      </c>
      <c r="C120" s="45">
        <f t="shared" si="2"/>
        <v>0</v>
      </c>
      <c r="D120" s="15"/>
      <c r="E120" s="15"/>
      <c r="F120" s="15"/>
    </row>
    <row r="121" spans="1:6" ht="12" customHeight="1" x14ac:dyDescent="0.25">
      <c r="A121" s="7" t="s">
        <v>226</v>
      </c>
      <c r="B121" s="94" t="s">
        <v>227</v>
      </c>
      <c r="C121" s="45">
        <f t="shared" si="2"/>
        <v>0</v>
      </c>
      <c r="D121" s="15"/>
      <c r="E121" s="15"/>
      <c r="F121" s="15"/>
    </row>
    <row r="122" spans="1:6" x14ac:dyDescent="0.25">
      <c r="A122" s="7" t="s">
        <v>228</v>
      </c>
      <c r="B122" s="86" t="s">
        <v>203</v>
      </c>
      <c r="C122" s="45">
        <f t="shared" si="2"/>
        <v>0</v>
      </c>
      <c r="D122" s="15"/>
      <c r="E122" s="15"/>
      <c r="F122" s="15"/>
    </row>
    <row r="123" spans="1:6" ht="12" customHeight="1" x14ac:dyDescent="0.25">
      <c r="A123" s="7" t="s">
        <v>229</v>
      </c>
      <c r="B123" s="86" t="s">
        <v>230</v>
      </c>
      <c r="C123" s="45">
        <f t="shared" si="2"/>
        <v>0</v>
      </c>
      <c r="D123" s="15"/>
      <c r="E123" s="15"/>
      <c r="F123" s="15"/>
    </row>
    <row r="124" spans="1:6" ht="12" customHeight="1" x14ac:dyDescent="0.25">
      <c r="A124" s="7" t="s">
        <v>231</v>
      </c>
      <c r="B124" s="86" t="s">
        <v>232</v>
      </c>
      <c r="C124" s="45">
        <f t="shared" si="2"/>
        <v>0</v>
      </c>
      <c r="D124" s="15"/>
      <c r="E124" s="15"/>
      <c r="F124" s="15"/>
    </row>
    <row r="125" spans="1:6" ht="12" customHeight="1" x14ac:dyDescent="0.25">
      <c r="A125" s="7" t="s">
        <v>233</v>
      </c>
      <c r="B125" s="86" t="s">
        <v>209</v>
      </c>
      <c r="C125" s="45">
        <f t="shared" si="2"/>
        <v>0</v>
      </c>
      <c r="D125" s="15"/>
      <c r="E125" s="15"/>
      <c r="F125" s="15"/>
    </row>
    <row r="126" spans="1:6" ht="12" customHeight="1" x14ac:dyDescent="0.25">
      <c r="A126" s="7" t="s">
        <v>234</v>
      </c>
      <c r="B126" s="86" t="s">
        <v>235</v>
      </c>
      <c r="C126" s="45">
        <f t="shared" si="2"/>
        <v>0</v>
      </c>
      <c r="D126" s="15"/>
      <c r="E126" s="15"/>
      <c r="F126" s="15"/>
    </row>
    <row r="127" spans="1:6" ht="16.5" thickBot="1" x14ac:dyDescent="0.3">
      <c r="A127" s="87" t="s">
        <v>236</v>
      </c>
      <c r="B127" s="86" t="s">
        <v>237</v>
      </c>
      <c r="C127" s="101">
        <f t="shared" si="2"/>
        <v>65810721</v>
      </c>
      <c r="D127" s="58">
        <f>65710721+100000</f>
        <v>65810721</v>
      </c>
      <c r="E127" s="47"/>
      <c r="F127" s="58"/>
    </row>
    <row r="128" spans="1:6" ht="12" customHeight="1" thickBot="1" x14ac:dyDescent="0.3">
      <c r="A128" s="9" t="s">
        <v>4</v>
      </c>
      <c r="B128" s="14" t="s">
        <v>73</v>
      </c>
      <c r="C128" s="35">
        <f t="shared" si="2"/>
        <v>2207801062</v>
      </c>
      <c r="D128" s="29">
        <f>+D93+D114</f>
        <v>1240935663</v>
      </c>
      <c r="E128" s="35">
        <f>+E93+E114</f>
        <v>28774983</v>
      </c>
      <c r="F128" s="35">
        <f>+F93+F114</f>
        <v>938090416</v>
      </c>
    </row>
    <row r="129" spans="1:6" ht="12" customHeight="1" thickBot="1" x14ac:dyDescent="0.3">
      <c r="A129" s="9" t="s">
        <v>5</v>
      </c>
      <c r="B129" s="14" t="s">
        <v>238</v>
      </c>
      <c r="C129" s="105">
        <f t="shared" si="2"/>
        <v>104042704</v>
      </c>
      <c r="D129" s="29">
        <f>+D130+D131+D132</f>
        <v>104042704</v>
      </c>
      <c r="E129" s="35">
        <f>+E130+E131+E132</f>
        <v>0</v>
      </c>
      <c r="F129" s="35">
        <f>+F130+F131+F132</f>
        <v>0</v>
      </c>
    </row>
    <row r="130" spans="1:6" ht="12" customHeight="1" x14ac:dyDescent="0.25">
      <c r="A130" s="7" t="s">
        <v>49</v>
      </c>
      <c r="B130" s="5" t="s">
        <v>239</v>
      </c>
      <c r="C130" s="56">
        <f t="shared" si="2"/>
        <v>4042704</v>
      </c>
      <c r="D130" s="51">
        <v>4042704</v>
      </c>
      <c r="E130" s="51"/>
      <c r="F130" s="51"/>
    </row>
    <row r="131" spans="1:6" ht="12" customHeight="1" x14ac:dyDescent="0.25">
      <c r="A131" s="7" t="s">
        <v>50</v>
      </c>
      <c r="B131" s="5" t="s">
        <v>240</v>
      </c>
      <c r="C131" s="102">
        <f t="shared" si="2"/>
        <v>100000000</v>
      </c>
      <c r="D131" s="15">
        <v>100000000</v>
      </c>
      <c r="E131" s="15"/>
      <c r="F131" s="15"/>
    </row>
    <row r="132" spans="1:6" ht="12" customHeight="1" thickBot="1" x14ac:dyDescent="0.3">
      <c r="A132" s="87" t="s">
        <v>51</v>
      </c>
      <c r="B132" s="5" t="s">
        <v>241</v>
      </c>
      <c r="C132" s="104">
        <f t="shared" si="2"/>
        <v>0</v>
      </c>
      <c r="D132" s="15"/>
      <c r="E132" s="15"/>
      <c r="F132" s="15"/>
    </row>
    <row r="133" spans="1:6" ht="12" customHeight="1" thickBot="1" x14ac:dyDescent="0.3">
      <c r="A133" s="9" t="s">
        <v>6</v>
      </c>
      <c r="B133" s="14" t="s">
        <v>242</v>
      </c>
      <c r="C133" s="105">
        <f t="shared" si="2"/>
        <v>0</v>
      </c>
      <c r="D133" s="29">
        <f>+D134+D135+D136+D137+D138+D139</f>
        <v>0</v>
      </c>
      <c r="E133" s="35">
        <f>+E134+E135+E136+E137+E138+E139</f>
        <v>0</v>
      </c>
      <c r="F133" s="35">
        <f>SUM(F134:F139)</f>
        <v>0</v>
      </c>
    </row>
    <row r="134" spans="1:6" ht="12" customHeight="1" x14ac:dyDescent="0.25">
      <c r="A134" s="7" t="s">
        <v>17</v>
      </c>
      <c r="B134" s="3" t="s">
        <v>243</v>
      </c>
      <c r="C134" s="56">
        <f t="shared" si="2"/>
        <v>0</v>
      </c>
      <c r="D134" s="15"/>
      <c r="E134" s="15"/>
      <c r="F134" s="15"/>
    </row>
    <row r="135" spans="1:6" ht="12" customHeight="1" x14ac:dyDescent="0.25">
      <c r="A135" s="7" t="s">
        <v>18</v>
      </c>
      <c r="B135" s="3" t="s">
        <v>244</v>
      </c>
      <c r="C135" s="102">
        <f t="shared" si="2"/>
        <v>0</v>
      </c>
      <c r="D135" s="15"/>
      <c r="E135" s="15"/>
      <c r="F135" s="15"/>
    </row>
    <row r="136" spans="1:6" ht="12" customHeight="1" x14ac:dyDescent="0.25">
      <c r="A136" s="7" t="s">
        <v>19</v>
      </c>
      <c r="B136" s="3" t="s">
        <v>245</v>
      </c>
      <c r="C136" s="102">
        <f t="shared" si="2"/>
        <v>0</v>
      </c>
      <c r="D136" s="15"/>
      <c r="E136" s="15"/>
      <c r="F136" s="15"/>
    </row>
    <row r="137" spans="1:6" ht="12" customHeight="1" x14ac:dyDescent="0.25">
      <c r="A137" s="7" t="s">
        <v>109</v>
      </c>
      <c r="B137" s="3" t="s">
        <v>246</v>
      </c>
      <c r="C137" s="102">
        <f t="shared" si="2"/>
        <v>0</v>
      </c>
      <c r="D137" s="15"/>
      <c r="E137" s="15"/>
      <c r="F137" s="15"/>
    </row>
    <row r="138" spans="1:6" ht="12" customHeight="1" x14ac:dyDescent="0.25">
      <c r="A138" s="7" t="s">
        <v>110</v>
      </c>
      <c r="B138" s="3" t="s">
        <v>247</v>
      </c>
      <c r="C138" s="102">
        <f t="shared" si="2"/>
        <v>0</v>
      </c>
      <c r="D138" s="15"/>
      <c r="E138" s="15"/>
      <c r="F138" s="15"/>
    </row>
    <row r="139" spans="1:6" ht="12" customHeight="1" thickBot="1" x14ac:dyDescent="0.3">
      <c r="A139" s="87" t="s">
        <v>111</v>
      </c>
      <c r="B139" s="3" t="s">
        <v>248</v>
      </c>
      <c r="C139" s="104">
        <f t="shared" si="2"/>
        <v>0</v>
      </c>
      <c r="D139" s="15"/>
      <c r="E139" s="15"/>
      <c r="F139" s="15"/>
    </row>
    <row r="140" spans="1:6" ht="12" customHeight="1" thickBot="1" x14ac:dyDescent="0.3">
      <c r="A140" s="9" t="s">
        <v>7</v>
      </c>
      <c r="B140" s="14" t="s">
        <v>249</v>
      </c>
      <c r="C140" s="35">
        <f t="shared" si="2"/>
        <v>38167591</v>
      </c>
      <c r="D140" s="53">
        <f>+D141+D142+D143+D144</f>
        <v>38167591</v>
      </c>
      <c r="E140" s="54">
        <f>+E141+E142+E143+E144</f>
        <v>0</v>
      </c>
      <c r="F140" s="54">
        <f>+F141+F142+F143+F144</f>
        <v>0</v>
      </c>
    </row>
    <row r="141" spans="1:6" ht="12" customHeight="1" x14ac:dyDescent="0.25">
      <c r="A141" s="7" t="s">
        <v>120</v>
      </c>
      <c r="B141" s="3" t="s">
        <v>250</v>
      </c>
      <c r="C141" s="56">
        <f t="shared" si="2"/>
        <v>0</v>
      </c>
      <c r="D141" s="15"/>
      <c r="E141" s="15"/>
      <c r="F141" s="15"/>
    </row>
    <row r="142" spans="1:6" ht="12" customHeight="1" x14ac:dyDescent="0.25">
      <c r="A142" s="7" t="s">
        <v>121</v>
      </c>
      <c r="B142" s="3" t="s">
        <v>251</v>
      </c>
      <c r="C142" s="102">
        <f t="shared" si="2"/>
        <v>38167591</v>
      </c>
      <c r="D142" s="15">
        <v>38167591</v>
      </c>
      <c r="E142" s="15"/>
      <c r="F142" s="15"/>
    </row>
    <row r="143" spans="1:6" ht="12" customHeight="1" x14ac:dyDescent="0.25">
      <c r="A143" s="7" t="s">
        <v>122</v>
      </c>
      <c r="B143" s="3" t="s">
        <v>252</v>
      </c>
      <c r="C143" s="102">
        <f t="shared" si="2"/>
        <v>0</v>
      </c>
      <c r="D143" s="15"/>
      <c r="E143" s="15"/>
      <c r="F143" s="15"/>
    </row>
    <row r="144" spans="1:6" ht="12" customHeight="1" thickBot="1" x14ac:dyDescent="0.3">
      <c r="A144" s="87" t="s">
        <v>123</v>
      </c>
      <c r="B144" s="1" t="s">
        <v>253</v>
      </c>
      <c r="C144" s="104">
        <f t="shared" si="2"/>
        <v>0</v>
      </c>
      <c r="D144" s="15"/>
      <c r="E144" s="15"/>
      <c r="F144" s="15"/>
    </row>
    <row r="145" spans="1:9" ht="12" customHeight="1" thickBot="1" x14ac:dyDescent="0.3">
      <c r="A145" s="9" t="s">
        <v>8</v>
      </c>
      <c r="B145" s="14" t="s">
        <v>254</v>
      </c>
      <c r="C145" s="105">
        <f t="shared" si="2"/>
        <v>0</v>
      </c>
      <c r="D145" s="95">
        <f>+D146+D147+D148+D149+D150</f>
        <v>0</v>
      </c>
      <c r="E145" s="96">
        <f>+E146+E147+E148+E149+E150</f>
        <v>0</v>
      </c>
      <c r="F145" s="96">
        <f>SUM(F146:F150)</f>
        <v>0</v>
      </c>
    </row>
    <row r="146" spans="1:9" ht="12" customHeight="1" x14ac:dyDescent="0.25">
      <c r="A146" s="7" t="s">
        <v>128</v>
      </c>
      <c r="B146" s="3" t="s">
        <v>255</v>
      </c>
      <c r="C146" s="56">
        <f t="shared" si="2"/>
        <v>0</v>
      </c>
      <c r="D146" s="15"/>
      <c r="E146" s="15"/>
      <c r="F146" s="15"/>
    </row>
    <row r="147" spans="1:9" ht="12" customHeight="1" x14ac:dyDescent="0.25">
      <c r="A147" s="7" t="s">
        <v>130</v>
      </c>
      <c r="B147" s="3" t="s">
        <v>256</v>
      </c>
      <c r="C147" s="102">
        <f t="shared" si="2"/>
        <v>0</v>
      </c>
      <c r="D147" s="15"/>
      <c r="E147" s="15"/>
      <c r="F147" s="15"/>
    </row>
    <row r="148" spans="1:9" ht="12" customHeight="1" x14ac:dyDescent="0.25">
      <c r="A148" s="7" t="s">
        <v>132</v>
      </c>
      <c r="B148" s="3" t="s">
        <v>257</v>
      </c>
      <c r="C148" s="102">
        <f t="shared" si="2"/>
        <v>0</v>
      </c>
      <c r="D148" s="15"/>
      <c r="E148" s="15"/>
      <c r="F148" s="15"/>
    </row>
    <row r="149" spans="1:9" ht="12" customHeight="1" x14ac:dyDescent="0.25">
      <c r="A149" s="7" t="s">
        <v>134</v>
      </c>
      <c r="B149" s="3" t="s">
        <v>258</v>
      </c>
      <c r="C149" s="102">
        <f t="shared" si="2"/>
        <v>0</v>
      </c>
      <c r="D149" s="15"/>
      <c r="E149" s="15"/>
      <c r="F149" s="15"/>
    </row>
    <row r="150" spans="1:9" ht="12" customHeight="1" thickBot="1" x14ac:dyDescent="0.3">
      <c r="A150" s="7" t="s">
        <v>259</v>
      </c>
      <c r="B150" s="3" t="s">
        <v>260</v>
      </c>
      <c r="C150" s="104">
        <f t="shared" si="2"/>
        <v>0</v>
      </c>
      <c r="D150" s="58"/>
      <c r="E150" s="58"/>
      <c r="F150" s="15"/>
    </row>
    <row r="151" spans="1:9" ht="12" customHeight="1" thickBot="1" x14ac:dyDescent="0.3">
      <c r="A151" s="9" t="s">
        <v>9</v>
      </c>
      <c r="B151" s="14" t="s">
        <v>261</v>
      </c>
      <c r="C151" s="35">
        <f t="shared" si="2"/>
        <v>0</v>
      </c>
      <c r="D151" s="95"/>
      <c r="E151" s="96"/>
      <c r="F151" s="97"/>
    </row>
    <row r="152" spans="1:9" ht="12" customHeight="1" thickBot="1" x14ac:dyDescent="0.3">
      <c r="A152" s="9" t="s">
        <v>10</v>
      </c>
      <c r="B152" s="14" t="s">
        <v>262</v>
      </c>
      <c r="C152" s="79">
        <f t="shared" si="2"/>
        <v>0</v>
      </c>
      <c r="D152" s="95"/>
      <c r="E152" s="96"/>
      <c r="F152" s="97"/>
    </row>
    <row r="153" spans="1:9" ht="15" customHeight="1" thickBot="1" x14ac:dyDescent="0.3">
      <c r="A153" s="9" t="s">
        <v>11</v>
      </c>
      <c r="B153" s="14" t="s">
        <v>263</v>
      </c>
      <c r="C153" s="79">
        <f t="shared" si="2"/>
        <v>142210295</v>
      </c>
      <c r="D153" s="31">
        <f>+D129+D133+D140+D145+D151+D152</f>
        <v>142210295</v>
      </c>
      <c r="E153" s="98">
        <f>+E129+E133+E140+E145+E151+E152</f>
        <v>0</v>
      </c>
      <c r="F153" s="98">
        <f>+F129+F133+F140+F145+F151+F152</f>
        <v>0</v>
      </c>
      <c r="G153" s="26"/>
      <c r="H153" s="26"/>
      <c r="I153" s="26"/>
    </row>
    <row r="154" spans="1:9" s="25" customFormat="1" ht="12.95" customHeight="1" thickBot="1" x14ac:dyDescent="0.25">
      <c r="A154" s="17" t="s">
        <v>12</v>
      </c>
      <c r="B154" s="19" t="s">
        <v>264</v>
      </c>
      <c r="C154" s="35">
        <f t="shared" si="2"/>
        <v>2350011357</v>
      </c>
      <c r="D154" s="31">
        <f>+D128+D153</f>
        <v>1383145958</v>
      </c>
      <c r="E154" s="98">
        <f>+E128+E153</f>
        <v>28774983</v>
      </c>
      <c r="F154" s="98">
        <f>+F128+F153</f>
        <v>938090416</v>
      </c>
    </row>
    <row r="155" spans="1:9" ht="7.5" customHeight="1" x14ac:dyDescent="0.25"/>
    <row r="156" spans="1:9" x14ac:dyDescent="0.25">
      <c r="A156" s="115" t="s">
        <v>265</v>
      </c>
      <c r="B156" s="115"/>
      <c r="C156" s="115"/>
    </row>
    <row r="157" spans="1:9" ht="15" customHeight="1" thickBot="1" x14ac:dyDescent="0.3">
      <c r="A157" s="112" t="s">
        <v>266</v>
      </c>
      <c r="B157" s="112"/>
      <c r="C157" s="18" t="s">
        <v>76</v>
      </c>
    </row>
    <row r="158" spans="1:9" ht="13.5" customHeight="1" thickBot="1" x14ac:dyDescent="0.3">
      <c r="A158" s="9">
        <v>1</v>
      </c>
      <c r="B158" s="12" t="s">
        <v>267</v>
      </c>
      <c r="C158" s="35">
        <f>+C62-C128</f>
        <v>-408567099</v>
      </c>
    </row>
    <row r="159" spans="1:9" ht="27.75" customHeight="1" thickBot="1" x14ac:dyDescent="0.3">
      <c r="A159" s="9" t="s">
        <v>3</v>
      </c>
      <c r="B159" s="12" t="s">
        <v>268</v>
      </c>
      <c r="C159" s="35">
        <f>+C86-C153</f>
        <v>714687867</v>
      </c>
    </row>
    <row r="160" spans="1:9" x14ac:dyDescent="0.25">
      <c r="F160" s="111"/>
    </row>
  </sheetData>
  <mergeCells count="6">
    <mergeCell ref="A157:B157"/>
    <mergeCell ref="A1:C1"/>
    <mergeCell ref="A2:B2"/>
    <mergeCell ref="A89:C89"/>
    <mergeCell ref="A90:B90"/>
    <mergeCell ref="A156:C156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r:id="rId1"/>
  <headerFooter alignWithMargins="0">
    <oddHeader>&amp;C&amp;"Times New Roman CE,Félkövér"&amp;12
Tiszavasvári Város Önkormányzata
2018. ÉVI KÖLTSÉGVETÉS
 KÖTELEZŐ FELADATAINAK MÉRLEGE
 &amp;R&amp;"Times New Roman CE,Félkövér dőlt"&amp;11 2. melléklet a 7/2019.(III.14.) önkormányzati rendelethez</oddHeader>
  </headerFooter>
  <rowBreaks count="1" manualBreakCount="1">
    <brk id="88" max="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1.2.sz.mell. </vt:lpstr>
      <vt:lpstr>'1.2.sz.mell. '!Nyomtatási_terület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Makranczi László</dc:creator>
  <cp:lastModifiedBy>Girus András</cp:lastModifiedBy>
  <cp:lastPrinted>2019-03-12T10:18:16Z</cp:lastPrinted>
  <dcterms:created xsi:type="dcterms:W3CDTF">1999-10-30T10:30:45Z</dcterms:created>
  <dcterms:modified xsi:type="dcterms:W3CDTF">2019-03-15T08:37:57Z</dcterms:modified>
</cp:coreProperties>
</file>