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2015\Előirányzat módosítás\2015 12 31-i módosítás\"/>
    </mc:Choice>
  </mc:AlternateContent>
  <bookViews>
    <workbookView xWindow="360" yWindow="315" windowWidth="9720" windowHeight="7320" tabRatio="802" activeTab="14"/>
  </bookViews>
  <sheets>
    <sheet name="1" sheetId="7" r:id="rId1"/>
    <sheet name="3" sheetId="42" r:id="rId2"/>
    <sheet name="15" sheetId="9" r:id="rId3"/>
    <sheet name="5" sheetId="12" r:id="rId4"/>
    <sheet name="6" sheetId="13" r:id="rId5"/>
    <sheet name="4" sheetId="30" r:id="rId6"/>
    <sheet name="7" sheetId="29" r:id="rId7"/>
    <sheet name="8" sheetId="28" r:id="rId8"/>
    <sheet name="9" sheetId="26" r:id="rId9"/>
    <sheet name="14" sheetId="49" r:id="rId10"/>
    <sheet name="13" sheetId="48" r:id="rId11"/>
    <sheet name="12" sheetId="47" r:id="rId12"/>
    <sheet name="11" sheetId="46" r:id="rId13"/>
    <sheet name="10" sheetId="25" r:id="rId14"/>
    <sheet name="2" sheetId="45" r:id="rId15"/>
    <sheet name="16" sheetId="22" r:id="rId16"/>
  </sheets>
  <definedNames>
    <definedName name="_xlnm.Print_Titles" localSheetId="2">'15'!$A:$C</definedName>
    <definedName name="_xlnm.Print_Titles" localSheetId="3">'5'!$1:$8</definedName>
    <definedName name="_xlnm.Print_Titles" localSheetId="4">'6'!$3:$10</definedName>
    <definedName name="_xlnm.Print_Area" localSheetId="2">'15'!$A$1:$I$86</definedName>
    <definedName name="_xlnm.Print_Area" localSheetId="15">'16'!$A$1:$N$26</definedName>
    <definedName name="_xlnm.Print_Area" localSheetId="3">'5'!$A$1:$AJ$44</definedName>
    <definedName name="_xlnm.Print_Area" localSheetId="4">'6'!$B$3:$AM$38</definedName>
  </definedNames>
  <calcPr calcId="152511"/>
</workbook>
</file>

<file path=xl/calcChain.xml><?xml version="1.0" encoding="utf-8"?>
<calcChain xmlns="http://schemas.openxmlformats.org/spreadsheetml/2006/main">
  <c r="F12" i="30" l="1"/>
  <c r="H62" i="45" l="1"/>
  <c r="I62" i="45"/>
  <c r="N26" i="22" l="1"/>
  <c r="N25" i="22"/>
  <c r="B23" i="22"/>
  <c r="B22" i="22"/>
  <c r="B21" i="22"/>
  <c r="B20" i="22"/>
  <c r="B19" i="22"/>
  <c r="B16" i="22"/>
  <c r="O26" i="22"/>
  <c r="AB43" i="12"/>
  <c r="AB22" i="12"/>
  <c r="AB9" i="12"/>
  <c r="Z32" i="13"/>
  <c r="Z36" i="13"/>
  <c r="Z26" i="13"/>
  <c r="Z27" i="13"/>
  <c r="Z29" i="13"/>
  <c r="Z34" i="13"/>
  <c r="Z35" i="13"/>
  <c r="Z12" i="13"/>
  <c r="Z19" i="13" s="1"/>
  <c r="Z13" i="13"/>
  <c r="F20" i="30"/>
  <c r="F8" i="30"/>
  <c r="J33" i="42"/>
  <c r="J31" i="42"/>
  <c r="J13" i="42"/>
  <c r="Z38" i="13" l="1"/>
  <c r="Z33" i="13"/>
  <c r="H65" i="45"/>
  <c r="H63" i="45"/>
  <c r="H43" i="45"/>
  <c r="H33" i="45"/>
  <c r="H23" i="45"/>
  <c r="H12" i="45"/>
  <c r="H11" i="45"/>
  <c r="H10" i="45"/>
  <c r="H65" i="9" l="1"/>
  <c r="G65" i="9" s="1"/>
  <c r="H81" i="9"/>
  <c r="H76" i="9"/>
  <c r="G76" i="9"/>
  <c r="I50" i="9"/>
  <c r="I49" i="9"/>
  <c r="G49" i="9" s="1"/>
  <c r="H33" i="9"/>
  <c r="G33" i="9" s="1"/>
  <c r="O19" i="22" s="1"/>
  <c r="H35" i="9"/>
  <c r="I55" i="9"/>
  <c r="I54" i="9" s="1"/>
  <c r="H43" i="9"/>
  <c r="H39" i="9"/>
  <c r="G39" i="9" s="1"/>
  <c r="I15" i="9"/>
  <c r="G15" i="9" s="1"/>
  <c r="O10" i="22" s="1"/>
  <c r="H15" i="9"/>
  <c r="I25" i="9"/>
  <c r="I23" i="9"/>
  <c r="H21" i="9"/>
  <c r="H19" i="9"/>
  <c r="H18" i="9"/>
  <c r="H12" i="9"/>
  <c r="H11" i="9"/>
  <c r="G11" i="9" s="1"/>
  <c r="O8" i="22" s="1"/>
  <c r="H10" i="9"/>
  <c r="L8" i="49"/>
  <c r="L7" i="49"/>
  <c r="O22" i="49"/>
  <c r="O8" i="49"/>
  <c r="E63" i="48"/>
  <c r="E60" i="48"/>
  <c r="E82" i="48" s="1"/>
  <c r="E12" i="48"/>
  <c r="E11" i="48"/>
  <c r="E10" i="48"/>
  <c r="O7" i="49" s="1"/>
  <c r="O14" i="49" s="1"/>
  <c r="M19" i="47"/>
  <c r="O22" i="47"/>
  <c r="O19" i="47"/>
  <c r="B8" i="47"/>
  <c r="B9" i="47"/>
  <c r="B7" i="47"/>
  <c r="O14" i="47"/>
  <c r="H74" i="46"/>
  <c r="J25" i="42"/>
  <c r="J20" i="42"/>
  <c r="E31" i="42"/>
  <c r="E25" i="42"/>
  <c r="E20" i="42"/>
  <c r="H82" i="45"/>
  <c r="I82" i="45"/>
  <c r="F81" i="45"/>
  <c r="H75" i="45"/>
  <c r="I58" i="45"/>
  <c r="G49" i="45"/>
  <c r="G48" i="45" s="1"/>
  <c r="H58" i="45"/>
  <c r="H42" i="45"/>
  <c r="H47" i="45" s="1"/>
  <c r="I47" i="45"/>
  <c r="H26" i="45"/>
  <c r="H14" i="45"/>
  <c r="G14" i="45" s="1"/>
  <c r="I14" i="45"/>
  <c r="I22" i="45" s="1"/>
  <c r="G12" i="45"/>
  <c r="G10" i="45"/>
  <c r="G77" i="45"/>
  <c r="G76" i="45"/>
  <c r="G69" i="45"/>
  <c r="G74" i="45" s="1"/>
  <c r="G64" i="45"/>
  <c r="G63" i="45"/>
  <c r="G55" i="45"/>
  <c r="G54" i="45"/>
  <c r="G51" i="45"/>
  <c r="G50" i="45"/>
  <c r="G45" i="45"/>
  <c r="G42" i="45" s="1"/>
  <c r="G43" i="45"/>
  <c r="G41" i="45"/>
  <c r="G40" i="45"/>
  <c r="G39" i="45"/>
  <c r="G38" i="45"/>
  <c r="G37" i="45"/>
  <c r="G36" i="45"/>
  <c r="G35" i="45"/>
  <c r="G34" i="45"/>
  <c r="G33" i="45"/>
  <c r="G25" i="45"/>
  <c r="G24" i="45"/>
  <c r="G21" i="45"/>
  <c r="G20" i="45"/>
  <c r="G19" i="45"/>
  <c r="G18" i="45"/>
  <c r="G17" i="45"/>
  <c r="G16" i="45"/>
  <c r="G15" i="45"/>
  <c r="G13" i="45"/>
  <c r="G11" i="45"/>
  <c r="B26" i="22"/>
  <c r="N22" i="22"/>
  <c r="N12" i="22"/>
  <c r="N8" i="22"/>
  <c r="N10" i="22"/>
  <c r="N11" i="22"/>
  <c r="N7" i="22"/>
  <c r="O12" i="22"/>
  <c r="C40" i="29"/>
  <c r="C32" i="29"/>
  <c r="F13" i="30"/>
  <c r="F22" i="30" s="1"/>
  <c r="AB27" i="12"/>
  <c r="AB40" i="12"/>
  <c r="AB16" i="12"/>
  <c r="H82" i="9"/>
  <c r="I24" i="9"/>
  <c r="G24" i="9"/>
  <c r="G12" i="9"/>
  <c r="O9" i="22" s="1"/>
  <c r="I43" i="9"/>
  <c r="D55" i="9"/>
  <c r="D54" i="9" s="1"/>
  <c r="D24" i="42" s="1"/>
  <c r="D50" i="9"/>
  <c r="D48" i="9" s="1"/>
  <c r="D49" i="9"/>
  <c r="D36" i="9"/>
  <c r="D37" i="9"/>
  <c r="D39" i="9"/>
  <c r="D40" i="9"/>
  <c r="D41" i="9"/>
  <c r="D44" i="9"/>
  <c r="D45" i="9"/>
  <c r="D25" i="9"/>
  <c r="D26" i="9" s="1"/>
  <c r="D24" i="9"/>
  <c r="D23" i="9"/>
  <c r="I22" i="42"/>
  <c r="D20" i="9"/>
  <c r="D21" i="9"/>
  <c r="D13" i="9"/>
  <c r="D16" i="9"/>
  <c r="D17" i="9"/>
  <c r="I17" i="42" s="1"/>
  <c r="D18" i="9"/>
  <c r="I18" i="42"/>
  <c r="D11" i="9"/>
  <c r="I11" i="42" s="1"/>
  <c r="D12" i="9"/>
  <c r="I80" i="9"/>
  <c r="I79" i="9"/>
  <c r="I78" i="9"/>
  <c r="G77" i="9"/>
  <c r="I77" i="9" s="1"/>
  <c r="I82" i="9" s="1"/>
  <c r="I71" i="9"/>
  <c r="I70" i="9"/>
  <c r="I69" i="9"/>
  <c r="G69" i="9"/>
  <c r="G74" i="9"/>
  <c r="I64" i="9"/>
  <c r="I67" i="9"/>
  <c r="I75" i="9"/>
  <c r="I57" i="9"/>
  <c r="H54" i="9"/>
  <c r="I53" i="9"/>
  <c r="I52" i="9"/>
  <c r="H51" i="9"/>
  <c r="G51" i="9"/>
  <c r="I51" i="9" s="1"/>
  <c r="G50" i="9"/>
  <c r="H48" i="9"/>
  <c r="H58" i="9"/>
  <c r="I46" i="9"/>
  <c r="G45" i="9"/>
  <c r="H42" i="9"/>
  <c r="G41" i="9"/>
  <c r="G40" i="9"/>
  <c r="I38" i="9"/>
  <c r="G37" i="9"/>
  <c r="G36" i="9"/>
  <c r="H34" i="9"/>
  <c r="D11" i="42"/>
  <c r="G35" i="9"/>
  <c r="I34" i="9"/>
  <c r="I29" i="9"/>
  <c r="I28" i="9"/>
  <c r="I26" i="9"/>
  <c r="G25" i="9"/>
  <c r="G23" i="9"/>
  <c r="I21" i="9"/>
  <c r="G20" i="9"/>
  <c r="G19" i="9"/>
  <c r="G18" i="9"/>
  <c r="O11" i="22" s="1"/>
  <c r="G17" i="9"/>
  <c r="G16" i="9"/>
  <c r="G13" i="9"/>
  <c r="I12" i="42"/>
  <c r="E9" i="30"/>
  <c r="E22" i="30" s="1"/>
  <c r="G76" i="46"/>
  <c r="G80" i="46" s="1"/>
  <c r="G68" i="46"/>
  <c r="G73" i="46"/>
  <c r="I73" i="46"/>
  <c r="I74" i="46" s="1"/>
  <c r="G66" i="46"/>
  <c r="G63" i="46"/>
  <c r="G53" i="46"/>
  <c r="G50" i="46"/>
  <c r="G47" i="46"/>
  <c r="G37" i="46"/>
  <c r="G33" i="46"/>
  <c r="G32" i="46"/>
  <c r="G46" i="46" s="1"/>
  <c r="F21" i="46"/>
  <c r="G12" i="46"/>
  <c r="G11" i="46"/>
  <c r="G10" i="46"/>
  <c r="H80" i="46"/>
  <c r="I75" i="46"/>
  <c r="I70" i="46"/>
  <c r="I66" i="46"/>
  <c r="H66" i="46"/>
  <c r="I55" i="46"/>
  <c r="I53" i="46" s="1"/>
  <c r="H53" i="46"/>
  <c r="I51" i="46"/>
  <c r="I50" i="46"/>
  <c r="H50" i="46"/>
  <c r="I48" i="46"/>
  <c r="I47" i="46"/>
  <c r="H47" i="46"/>
  <c r="H57" i="46" s="1"/>
  <c r="H41" i="46"/>
  <c r="H46" i="46" s="1"/>
  <c r="I33" i="46"/>
  <c r="H33" i="46"/>
  <c r="I27" i="46"/>
  <c r="I25" i="46"/>
  <c r="G25" i="46" s="1"/>
  <c r="I21" i="46"/>
  <c r="H21" i="46"/>
  <c r="H29" i="46" s="1"/>
  <c r="H18" i="49"/>
  <c r="M7" i="49"/>
  <c r="E62" i="48"/>
  <c r="E42" i="48"/>
  <c r="C14" i="47"/>
  <c r="F14" i="47"/>
  <c r="J14" i="47"/>
  <c r="F21" i="9"/>
  <c r="F21" i="45" s="1"/>
  <c r="D21" i="45" s="1"/>
  <c r="E76" i="45"/>
  <c r="E76" i="9"/>
  <c r="D76" i="9" s="1"/>
  <c r="F62" i="46"/>
  <c r="F12" i="46"/>
  <c r="F25" i="9"/>
  <c r="U34" i="13"/>
  <c r="F15" i="9"/>
  <c r="D15" i="9" s="1"/>
  <c r="I15" i="42" s="1"/>
  <c r="U35" i="13"/>
  <c r="U26" i="13"/>
  <c r="M26" i="22"/>
  <c r="E39" i="9"/>
  <c r="E19" i="9"/>
  <c r="E10" i="9"/>
  <c r="D10" i="9" s="1"/>
  <c r="F55" i="9"/>
  <c r="E21" i="9"/>
  <c r="E21" i="45" s="1"/>
  <c r="E12" i="9"/>
  <c r="G20" i="26"/>
  <c r="F20" i="26"/>
  <c r="F19" i="26" s="1"/>
  <c r="F23" i="45"/>
  <c r="F24" i="45"/>
  <c r="E33" i="9"/>
  <c r="J26" i="22"/>
  <c r="J17" i="22"/>
  <c r="L17" i="22"/>
  <c r="C17" i="22"/>
  <c r="C27" i="22" s="1"/>
  <c r="D17" i="22"/>
  <c r="D27" i="22" s="1"/>
  <c r="E17" i="22"/>
  <c r="F17" i="22"/>
  <c r="G17" i="22"/>
  <c r="H17" i="22"/>
  <c r="H27" i="22" s="1"/>
  <c r="I17" i="22"/>
  <c r="K17" i="22"/>
  <c r="N9" i="22"/>
  <c r="N13" i="22"/>
  <c r="N15" i="22"/>
  <c r="B43" i="29"/>
  <c r="E43" i="29" s="1"/>
  <c r="C43" i="29"/>
  <c r="D43" i="29"/>
  <c r="E42" i="29"/>
  <c r="B36" i="29"/>
  <c r="E36" i="29" s="1"/>
  <c r="C36" i="29"/>
  <c r="D36" i="29"/>
  <c r="E35" i="29"/>
  <c r="E34" i="29"/>
  <c r="E33" i="29"/>
  <c r="E32" i="29"/>
  <c r="E31" i="29"/>
  <c r="E30" i="29"/>
  <c r="U14" i="13"/>
  <c r="U27" i="13"/>
  <c r="F43" i="9"/>
  <c r="C22" i="29"/>
  <c r="D16" i="28"/>
  <c r="C16" i="28"/>
  <c r="C26" i="28" s="1"/>
  <c r="E49" i="45"/>
  <c r="D49" i="45" s="1"/>
  <c r="E20" i="45"/>
  <c r="D20" i="45" s="1"/>
  <c r="W16" i="12"/>
  <c r="W13" i="12"/>
  <c r="U29" i="13"/>
  <c r="U32" i="13"/>
  <c r="U12" i="13"/>
  <c r="U13" i="13"/>
  <c r="E62" i="46"/>
  <c r="E63" i="45"/>
  <c r="E12" i="46"/>
  <c r="E12" i="45" s="1"/>
  <c r="Q9" i="25"/>
  <c r="Q14" i="25" s="1"/>
  <c r="J14" i="25"/>
  <c r="E35" i="9"/>
  <c r="E34" i="9" s="1"/>
  <c r="D34" i="9" s="1"/>
  <c r="E36" i="45"/>
  <c r="E37" i="45"/>
  <c r="D37" i="45" s="1"/>
  <c r="E39" i="45"/>
  <c r="E40" i="45"/>
  <c r="E41" i="45"/>
  <c r="D41" i="45" s="1"/>
  <c r="E43" i="45"/>
  <c r="E44" i="45"/>
  <c r="E45" i="45"/>
  <c r="E46" i="45"/>
  <c r="E50" i="45"/>
  <c r="E52" i="45"/>
  <c r="E53" i="45"/>
  <c r="E55" i="45"/>
  <c r="E56" i="45"/>
  <c r="E57" i="45"/>
  <c r="E65" i="45"/>
  <c r="D62" i="48"/>
  <c r="F33" i="45"/>
  <c r="F35" i="45"/>
  <c r="F34" i="45" s="1"/>
  <c r="F36" i="45"/>
  <c r="F37" i="45"/>
  <c r="F39" i="45"/>
  <c r="F39" i="46"/>
  <c r="F37" i="46" s="1"/>
  <c r="F41" i="45"/>
  <c r="F43" i="46"/>
  <c r="I43" i="46" s="1"/>
  <c r="F44" i="45"/>
  <c r="F44" i="46"/>
  <c r="F45" i="46"/>
  <c r="I45" i="46" s="1"/>
  <c r="F46" i="9"/>
  <c r="F48" i="46"/>
  <c r="F50" i="45"/>
  <c r="D51" i="45"/>
  <c r="F51" i="45"/>
  <c r="F55" i="45"/>
  <c r="F55" i="46"/>
  <c r="F53" i="46" s="1"/>
  <c r="F56" i="9"/>
  <c r="F54" i="9"/>
  <c r="F56" i="45"/>
  <c r="F56" i="46"/>
  <c r="I56" i="46" s="1"/>
  <c r="F57" i="9"/>
  <c r="F57" i="45"/>
  <c r="F65" i="45"/>
  <c r="F64" i="45" s="1"/>
  <c r="F67" i="45" s="1"/>
  <c r="D69" i="45"/>
  <c r="F69" i="45"/>
  <c r="D74" i="45"/>
  <c r="F74" i="45" s="1"/>
  <c r="F52" i="46"/>
  <c r="I52" i="46" s="1"/>
  <c r="F53" i="9"/>
  <c r="F53" i="45" s="1"/>
  <c r="F51" i="46"/>
  <c r="F52" i="9"/>
  <c r="F25" i="46"/>
  <c r="E25" i="45"/>
  <c r="E24" i="45"/>
  <c r="D24" i="45" s="1"/>
  <c r="E23" i="45"/>
  <c r="D23" i="45" s="1"/>
  <c r="F19" i="45"/>
  <c r="D19" i="45" s="1"/>
  <c r="F18" i="45"/>
  <c r="F17" i="45"/>
  <c r="F16" i="45"/>
  <c r="F12" i="45"/>
  <c r="D12" i="45" s="1"/>
  <c r="F13" i="45"/>
  <c r="E18" i="45"/>
  <c r="E17" i="45"/>
  <c r="E14" i="45"/>
  <c r="E16" i="45"/>
  <c r="D16" i="45" s="1"/>
  <c r="E15" i="45"/>
  <c r="D15" i="45" s="1"/>
  <c r="E13" i="45"/>
  <c r="D13" i="45" s="1"/>
  <c r="E11" i="46"/>
  <c r="F11" i="45"/>
  <c r="F10" i="45"/>
  <c r="E10" i="46"/>
  <c r="F28" i="45"/>
  <c r="F29" i="45"/>
  <c r="D77" i="45"/>
  <c r="F77" i="45" s="1"/>
  <c r="F82" i="45" s="1"/>
  <c r="F80" i="45"/>
  <c r="F79" i="45"/>
  <c r="F78" i="45"/>
  <c r="F71" i="45"/>
  <c r="F70" i="45"/>
  <c r="F68" i="45"/>
  <c r="B16" i="49"/>
  <c r="N16" i="49" s="1"/>
  <c r="B17" i="49"/>
  <c r="N17" i="49"/>
  <c r="C22" i="49"/>
  <c r="D22" i="49"/>
  <c r="E22" i="49"/>
  <c r="F22" i="49"/>
  <c r="G22" i="49"/>
  <c r="I22" i="49"/>
  <c r="J22" i="49"/>
  <c r="K22" i="49"/>
  <c r="L22" i="49"/>
  <c r="M22" i="49"/>
  <c r="N21" i="49"/>
  <c r="N20" i="49"/>
  <c r="N19" i="49"/>
  <c r="N7" i="49"/>
  <c r="M8" i="49"/>
  <c r="N8" i="49" s="1"/>
  <c r="N9" i="49"/>
  <c r="B10" i="49"/>
  <c r="N10" i="49" s="1"/>
  <c r="B11" i="49"/>
  <c r="N11" i="49"/>
  <c r="N12" i="49"/>
  <c r="L14" i="49"/>
  <c r="K14" i="49"/>
  <c r="J14" i="49"/>
  <c r="I14" i="49"/>
  <c r="H14" i="49"/>
  <c r="G14" i="49"/>
  <c r="F14" i="49"/>
  <c r="E14" i="49"/>
  <c r="D14" i="49"/>
  <c r="C14" i="49"/>
  <c r="B14" i="49"/>
  <c r="B17" i="47"/>
  <c r="N17" i="47" s="1"/>
  <c r="B20" i="47"/>
  <c r="C22" i="47"/>
  <c r="D22" i="47"/>
  <c r="E22" i="47"/>
  <c r="F22" i="47"/>
  <c r="G22" i="47"/>
  <c r="H22" i="47"/>
  <c r="I22" i="47"/>
  <c r="J22" i="47"/>
  <c r="K22" i="47"/>
  <c r="L22" i="47"/>
  <c r="M22" i="47"/>
  <c r="N21" i="47"/>
  <c r="N20" i="47"/>
  <c r="N19" i="47"/>
  <c r="N18" i="47"/>
  <c r="N16" i="47"/>
  <c r="N7" i="47"/>
  <c r="N8" i="47"/>
  <c r="N10" i="47"/>
  <c r="B11" i="47"/>
  <c r="N11" i="47"/>
  <c r="N12" i="47"/>
  <c r="M14" i="47"/>
  <c r="L14" i="47"/>
  <c r="K14" i="47"/>
  <c r="I14" i="47"/>
  <c r="H14" i="47"/>
  <c r="G14" i="47"/>
  <c r="E14" i="47"/>
  <c r="D14" i="47"/>
  <c r="G46" i="48"/>
  <c r="G57" i="48"/>
  <c r="G29" i="48"/>
  <c r="G81" i="48" s="1"/>
  <c r="D80" i="48"/>
  <c r="F80" i="48" s="1"/>
  <c r="F66" i="48"/>
  <c r="F73" i="48"/>
  <c r="F74" i="48" s="1"/>
  <c r="D33" i="48"/>
  <c r="D46" i="48" s="1"/>
  <c r="D41" i="48"/>
  <c r="D47" i="48"/>
  <c r="D50" i="48"/>
  <c r="D53" i="48"/>
  <c r="D74" i="48"/>
  <c r="D21" i="48"/>
  <c r="D29" i="48" s="1"/>
  <c r="F79" i="48"/>
  <c r="F78" i="48"/>
  <c r="F77" i="48"/>
  <c r="F75" i="48"/>
  <c r="F70" i="48"/>
  <c r="F69" i="48"/>
  <c r="F67" i="48"/>
  <c r="F33" i="46"/>
  <c r="F47" i="46"/>
  <c r="F57" i="46" s="1"/>
  <c r="D50" i="46"/>
  <c r="F50" i="46" s="1"/>
  <c r="F66" i="46"/>
  <c r="D68" i="46"/>
  <c r="D73" i="46"/>
  <c r="F73" i="46"/>
  <c r="F74" i="46"/>
  <c r="F27" i="46"/>
  <c r="F28" i="46"/>
  <c r="I28" i="46" s="1"/>
  <c r="D76" i="46"/>
  <c r="D80" i="46" s="1"/>
  <c r="F80" i="46" s="1"/>
  <c r="I80" i="46" s="1"/>
  <c r="E80" i="46"/>
  <c r="E33" i="46"/>
  <c r="E46" i="46" s="1"/>
  <c r="E41" i="46"/>
  <c r="E47" i="46"/>
  <c r="E50" i="46"/>
  <c r="E57" i="46" s="1"/>
  <c r="E53" i="46"/>
  <c r="E66" i="46"/>
  <c r="E74" i="46"/>
  <c r="D32" i="46"/>
  <c r="D33" i="46"/>
  <c r="D37" i="46"/>
  <c r="D47" i="46"/>
  <c r="D57" i="46" s="1"/>
  <c r="D53" i="46"/>
  <c r="D63" i="46"/>
  <c r="D66" i="46"/>
  <c r="D12" i="46"/>
  <c r="D14" i="46"/>
  <c r="D22" i="46"/>
  <c r="D25" i="46"/>
  <c r="F79" i="46"/>
  <c r="I79" i="46" s="1"/>
  <c r="F78" i="46"/>
  <c r="I78" i="46" s="1"/>
  <c r="F77" i="46"/>
  <c r="I77" i="46" s="1"/>
  <c r="F76" i="46"/>
  <c r="F75" i="46"/>
  <c r="F70" i="46"/>
  <c r="F69" i="46"/>
  <c r="I69" i="46" s="1"/>
  <c r="F68" i="46"/>
  <c r="I68" i="46" s="1"/>
  <c r="F67" i="46"/>
  <c r="I67" i="46" s="1"/>
  <c r="D42" i="46"/>
  <c r="C9" i="25"/>
  <c r="C14" i="25"/>
  <c r="C20" i="25" s="1"/>
  <c r="F64" i="9"/>
  <c r="E64" i="9"/>
  <c r="D51" i="9"/>
  <c r="D23" i="42" s="1"/>
  <c r="W39" i="12"/>
  <c r="W27" i="12"/>
  <c r="W35" i="12"/>
  <c r="W40" i="12" s="1"/>
  <c r="W9" i="12"/>
  <c r="D77" i="9"/>
  <c r="F77" i="9" s="1"/>
  <c r="D65" i="9"/>
  <c r="AK9" i="12"/>
  <c r="AK13" i="12"/>
  <c r="AK16" i="12"/>
  <c r="AL24" i="12"/>
  <c r="AK11" i="12"/>
  <c r="AL11" i="12" s="1"/>
  <c r="AK20" i="12"/>
  <c r="AL20" i="12"/>
  <c r="F67" i="9"/>
  <c r="E67" i="9"/>
  <c r="D67" i="9"/>
  <c r="D75" i="9"/>
  <c r="I23" i="42"/>
  <c r="E38" i="9"/>
  <c r="D38" i="9" s="1"/>
  <c r="D12" i="42" s="1"/>
  <c r="F38" i="9"/>
  <c r="F34" i="9"/>
  <c r="F82" i="9"/>
  <c r="D69" i="9"/>
  <c r="D74" i="9" s="1"/>
  <c r="F26" i="9"/>
  <c r="C26" i="22"/>
  <c r="D26" i="22"/>
  <c r="E26" i="22"/>
  <c r="F26" i="22"/>
  <c r="G26" i="22"/>
  <c r="H26" i="22"/>
  <c r="I26" i="22"/>
  <c r="K26" i="22"/>
  <c r="K27" i="22" s="1"/>
  <c r="L26" i="22"/>
  <c r="L27" i="22" s="1"/>
  <c r="N24" i="22"/>
  <c r="N20" i="22"/>
  <c r="F28" i="9"/>
  <c r="F29" i="9"/>
  <c r="E82" i="9"/>
  <c r="F74" i="9"/>
  <c r="F75" i="9" s="1"/>
  <c r="E42" i="9"/>
  <c r="E48" i="9"/>
  <c r="E51" i="9"/>
  <c r="E58" i="9" s="1"/>
  <c r="E54" i="9"/>
  <c r="E75" i="9"/>
  <c r="F68" i="9"/>
  <c r="F70" i="9"/>
  <c r="F71" i="9"/>
  <c r="F78" i="9"/>
  <c r="F79" i="9"/>
  <c r="F80" i="9"/>
  <c r="N19" i="22"/>
  <c r="N21" i="22"/>
  <c r="Q53" i="22"/>
  <c r="D9" i="26"/>
  <c r="I10" i="26"/>
  <c r="I11" i="26"/>
  <c r="D12" i="26"/>
  <c r="E12" i="26"/>
  <c r="F12" i="26"/>
  <c r="F21" i="26"/>
  <c r="G12" i="26"/>
  <c r="H12" i="26"/>
  <c r="I13" i="26"/>
  <c r="I14" i="26"/>
  <c r="D15" i="26"/>
  <c r="H15" i="26"/>
  <c r="I15" i="26"/>
  <c r="I16" i="26"/>
  <c r="D17" i="26"/>
  <c r="E17" i="26"/>
  <c r="F17" i="26"/>
  <c r="I17" i="26" s="1"/>
  <c r="G17" i="26"/>
  <c r="H17" i="26"/>
  <c r="I18" i="26"/>
  <c r="D19" i="26"/>
  <c r="E19" i="26"/>
  <c r="G19" i="26"/>
  <c r="I19" i="26" s="1"/>
  <c r="I20" i="26"/>
  <c r="E21" i="26"/>
  <c r="H21" i="26"/>
  <c r="D26" i="28"/>
  <c r="E11" i="29"/>
  <c r="E12" i="29"/>
  <c r="E13" i="29"/>
  <c r="E14" i="29"/>
  <c r="E15" i="29"/>
  <c r="E16" i="29"/>
  <c r="B17" i="29"/>
  <c r="C17" i="29"/>
  <c r="E17" i="29" s="1"/>
  <c r="D17" i="29"/>
  <c r="E23" i="29"/>
  <c r="B24" i="29"/>
  <c r="C24" i="29"/>
  <c r="E24" i="29"/>
  <c r="D24" i="29"/>
  <c r="G8" i="30"/>
  <c r="G10" i="30"/>
  <c r="G12" i="30"/>
  <c r="B22" i="30"/>
  <c r="D22" i="30"/>
  <c r="F48" i="9"/>
  <c r="F52" i="45"/>
  <c r="M17" i="22"/>
  <c r="N14" i="22"/>
  <c r="I12" i="26"/>
  <c r="F60" i="48"/>
  <c r="F40" i="45"/>
  <c r="F15" i="45"/>
  <c r="F14" i="9"/>
  <c r="F22" i="9"/>
  <c r="F30" i="9"/>
  <c r="F68" i="48"/>
  <c r="F76" i="48"/>
  <c r="N9" i="47"/>
  <c r="F46" i="45"/>
  <c r="F49" i="45"/>
  <c r="F48" i="45" s="1"/>
  <c r="I76" i="46"/>
  <c r="E51" i="45"/>
  <c r="G43" i="9"/>
  <c r="I25" i="42"/>
  <c r="G75" i="45"/>
  <c r="G82" i="45"/>
  <c r="N23" i="22"/>
  <c r="F27" i="22"/>
  <c r="AB28" i="12"/>
  <c r="AB41" i="12"/>
  <c r="AB44" i="12" s="1"/>
  <c r="D65" i="45"/>
  <c r="G22" i="30" l="1"/>
  <c r="M27" i="22"/>
  <c r="G27" i="22"/>
  <c r="I27" i="22"/>
  <c r="AL9" i="12"/>
  <c r="AL13" i="12"/>
  <c r="U19" i="13"/>
  <c r="U33" i="13" s="1"/>
  <c r="E21" i="42"/>
  <c r="H61" i="45"/>
  <c r="H84" i="45" s="1"/>
  <c r="I61" i="45"/>
  <c r="I84" i="45" s="1"/>
  <c r="G58" i="45"/>
  <c r="G47" i="45"/>
  <c r="G22" i="45"/>
  <c r="F83" i="9"/>
  <c r="D43" i="45"/>
  <c r="E42" i="45"/>
  <c r="D22" i="42"/>
  <c r="D25" i="42" s="1"/>
  <c r="D26" i="42" s="1"/>
  <c r="D58" i="9"/>
  <c r="D55" i="45"/>
  <c r="D54" i="45" s="1"/>
  <c r="E54" i="45"/>
  <c r="AL16" i="12"/>
  <c r="W28" i="12"/>
  <c r="W41" i="12" s="1"/>
  <c r="W44" i="12" s="1"/>
  <c r="G60" i="46"/>
  <c r="G82" i="46" s="1"/>
  <c r="E67" i="45"/>
  <c r="E64" i="45"/>
  <c r="D64" i="45" s="1"/>
  <c r="J27" i="22"/>
  <c r="I39" i="46"/>
  <c r="I37" i="46" s="1"/>
  <c r="I46" i="46" s="1"/>
  <c r="I60" i="46" s="1"/>
  <c r="E10" i="45"/>
  <c r="E22" i="45" s="1"/>
  <c r="E30" i="45" s="1"/>
  <c r="E83" i="45" s="1"/>
  <c r="E21" i="46"/>
  <c r="E29" i="46" s="1"/>
  <c r="D10" i="46"/>
  <c r="D19" i="9"/>
  <c r="I16" i="42" s="1"/>
  <c r="I13" i="42" s="1"/>
  <c r="E14" i="9"/>
  <c r="D14" i="9" s="1"/>
  <c r="D22" i="9" s="1"/>
  <c r="D30" i="9" s="1"/>
  <c r="G21" i="26"/>
  <c r="E60" i="46"/>
  <c r="E82" i="46" s="1"/>
  <c r="F82" i="48"/>
  <c r="E11" i="45"/>
  <c r="D11" i="46"/>
  <c r="D14" i="45"/>
  <c r="F25" i="45"/>
  <c r="D25" i="45" s="1"/>
  <c r="D26" i="45" s="1"/>
  <c r="F29" i="46"/>
  <c r="F75" i="45"/>
  <c r="F45" i="45"/>
  <c r="I44" i="46"/>
  <c r="F41" i="46"/>
  <c r="D41" i="46" s="1"/>
  <c r="I10" i="42"/>
  <c r="D76" i="45"/>
  <c r="D82" i="45" s="1"/>
  <c r="E82" i="45"/>
  <c r="H22" i="49"/>
  <c r="N18" i="49"/>
  <c r="G21" i="9"/>
  <c r="O14" i="22" s="1"/>
  <c r="D45" i="45"/>
  <c r="E33" i="45"/>
  <c r="D33" i="45" s="1"/>
  <c r="E47" i="9"/>
  <c r="E61" i="9" s="1"/>
  <c r="E84" i="9" s="1"/>
  <c r="I57" i="46"/>
  <c r="D21" i="26"/>
  <c r="I21" i="26" s="1"/>
  <c r="D64" i="9"/>
  <c r="D28" i="42" s="1"/>
  <c r="D31" i="42" s="1"/>
  <c r="B22" i="47"/>
  <c r="N22" i="47" s="1"/>
  <c r="D18" i="45"/>
  <c r="I41" i="46"/>
  <c r="D44" i="45"/>
  <c r="D40" i="45"/>
  <c r="E27" i="22"/>
  <c r="U38" i="13"/>
  <c r="D33" i="9"/>
  <c r="I42" i="9"/>
  <c r="I47" i="9" s="1"/>
  <c r="D46" i="46"/>
  <c r="D60" i="46" s="1"/>
  <c r="F46" i="46"/>
  <c r="F60" i="46" s="1"/>
  <c r="F82" i="46" s="1"/>
  <c r="D57" i="48"/>
  <c r="D60" i="48" s="1"/>
  <c r="F42" i="45"/>
  <c r="F47" i="45" s="1"/>
  <c r="F61" i="45" s="1"/>
  <c r="F84" i="45" s="1"/>
  <c r="F86" i="45" s="1"/>
  <c r="F43" i="45"/>
  <c r="F42" i="9"/>
  <c r="F47" i="9" s="1"/>
  <c r="F63" i="45"/>
  <c r="D62" i="46"/>
  <c r="D74" i="46" s="1"/>
  <c r="H60" i="46"/>
  <c r="D43" i="9"/>
  <c r="I26" i="45"/>
  <c r="G23" i="45"/>
  <c r="G26" i="45" s="1"/>
  <c r="G30" i="45" s="1"/>
  <c r="E26" i="42"/>
  <c r="E33" i="42"/>
  <c r="F51" i="9"/>
  <c r="F58" i="9" s="1"/>
  <c r="F69" i="9"/>
  <c r="N14" i="49"/>
  <c r="F54" i="45"/>
  <c r="F58" i="45" s="1"/>
  <c r="F38" i="45"/>
  <c r="D36" i="45"/>
  <c r="D50" i="45"/>
  <c r="E38" i="45"/>
  <c r="D38" i="45" s="1"/>
  <c r="E35" i="45"/>
  <c r="D35" i="9"/>
  <c r="D63" i="45"/>
  <c r="F26" i="45"/>
  <c r="D82" i="9"/>
  <c r="I31" i="42" s="1"/>
  <c r="M14" i="49"/>
  <c r="G57" i="46"/>
  <c r="I30" i="45"/>
  <c r="I83" i="45" s="1"/>
  <c r="H81" i="46"/>
  <c r="I14" i="9"/>
  <c r="I22" i="9" s="1"/>
  <c r="G26" i="9"/>
  <c r="O13" i="22" s="1"/>
  <c r="G34" i="9"/>
  <c r="G82" i="9"/>
  <c r="O16" i="22" s="1"/>
  <c r="B17" i="22" s="1"/>
  <c r="B27" i="22" s="1"/>
  <c r="F14" i="45"/>
  <c r="F22" i="45" s="1"/>
  <c r="F30" i="45" s="1"/>
  <c r="F83" i="45" s="1"/>
  <c r="G60" i="48"/>
  <c r="D11" i="45"/>
  <c r="D17" i="45"/>
  <c r="I29" i="46"/>
  <c r="G42" i="9"/>
  <c r="O22" i="22" s="1"/>
  <c r="H22" i="45"/>
  <c r="H30" i="45" s="1"/>
  <c r="H83" i="45" s="1"/>
  <c r="B14" i="47"/>
  <c r="H67" i="9"/>
  <c r="H64" i="9"/>
  <c r="G64" i="9" s="1"/>
  <c r="N16" i="22"/>
  <c r="N17" i="22" s="1"/>
  <c r="G48" i="9"/>
  <c r="I48" i="9"/>
  <c r="I58" i="9" s="1"/>
  <c r="G55" i="9"/>
  <c r="G54" i="9" s="1"/>
  <c r="H38" i="9"/>
  <c r="I30" i="9"/>
  <c r="I83" i="9"/>
  <c r="H14" i="9"/>
  <c r="G14" i="9" s="1"/>
  <c r="G10" i="9"/>
  <c r="I81" i="46"/>
  <c r="G21" i="46"/>
  <c r="G29" i="46" s="1"/>
  <c r="G81" i="46" s="1"/>
  <c r="B22" i="49"/>
  <c r="N22" i="49" s="1"/>
  <c r="F81" i="48"/>
  <c r="F84" i="48" s="1"/>
  <c r="F61" i="48"/>
  <c r="D81" i="48"/>
  <c r="D42" i="45"/>
  <c r="G82" i="48"/>
  <c r="G84" i="48" s="1"/>
  <c r="G61" i="48"/>
  <c r="D48" i="45"/>
  <c r="D58" i="45" s="1"/>
  <c r="E48" i="45"/>
  <c r="E58" i="45" s="1"/>
  <c r="D39" i="45"/>
  <c r="E21" i="48"/>
  <c r="E29" i="48" s="1"/>
  <c r="E81" i="48" s="1"/>
  <c r="E61" i="48"/>
  <c r="N14" i="47"/>
  <c r="H82" i="46"/>
  <c r="G62" i="46"/>
  <c r="G74" i="46" s="1"/>
  <c r="H61" i="46"/>
  <c r="AL28" i="12" l="1"/>
  <c r="AL44" i="12" s="1"/>
  <c r="G61" i="45"/>
  <c r="G84" i="45" s="1"/>
  <c r="I82" i="46"/>
  <c r="I61" i="46"/>
  <c r="D82" i="48"/>
  <c r="D84" i="48" s="1"/>
  <c r="D61" i="48"/>
  <c r="D83" i="9"/>
  <c r="G83" i="45"/>
  <c r="G62" i="45"/>
  <c r="D67" i="45"/>
  <c r="D75" i="45" s="1"/>
  <c r="E75" i="45"/>
  <c r="F61" i="9"/>
  <c r="D10" i="42"/>
  <c r="D20" i="42" s="1"/>
  <c r="D47" i="9"/>
  <c r="D61" i="9" s="1"/>
  <c r="D84" i="9" s="1"/>
  <c r="D86" i="9" s="1"/>
  <c r="D21" i="46"/>
  <c r="D29" i="46" s="1"/>
  <c r="D10" i="45"/>
  <c r="D22" i="45" s="1"/>
  <c r="D30" i="45" s="1"/>
  <c r="D83" i="45" s="1"/>
  <c r="D35" i="45"/>
  <c r="E34" i="45"/>
  <c r="D34" i="45" s="1"/>
  <c r="D47" i="45" s="1"/>
  <c r="D61" i="45" s="1"/>
  <c r="D84" i="45" s="1"/>
  <c r="D86" i="45" s="1"/>
  <c r="D82" i="46"/>
  <c r="F61" i="46"/>
  <c r="F81" i="46"/>
  <c r="F84" i="46" s="1"/>
  <c r="E81" i="46"/>
  <c r="E61" i="46"/>
  <c r="H84" i="46"/>
  <c r="E47" i="45"/>
  <c r="I61" i="9"/>
  <c r="I84" i="9" s="1"/>
  <c r="E22" i="9"/>
  <c r="E30" i="9" s="1"/>
  <c r="I20" i="42"/>
  <c r="I33" i="42" s="1"/>
  <c r="E84" i="46"/>
  <c r="D42" i="9"/>
  <c r="D13" i="42" s="1"/>
  <c r="G67" i="9"/>
  <c r="G75" i="9" s="1"/>
  <c r="H75" i="9"/>
  <c r="G58" i="9"/>
  <c r="O23" i="22" s="1"/>
  <c r="I62" i="9"/>
  <c r="G38" i="9"/>
  <c r="H47" i="9"/>
  <c r="H61" i="9" s="1"/>
  <c r="H22" i="9"/>
  <c r="H30" i="9" s="1"/>
  <c r="H83" i="9" s="1"/>
  <c r="G22" i="9"/>
  <c r="G30" i="9" s="1"/>
  <c r="O7" i="22"/>
  <c r="O17" i="22" s="1"/>
  <c r="G61" i="46"/>
  <c r="E61" i="45"/>
  <c r="F62" i="45"/>
  <c r="H84" i="9" l="1"/>
  <c r="G86" i="45"/>
  <c r="E62" i="9"/>
  <c r="E83" i="9"/>
  <c r="E86" i="9" s="1"/>
  <c r="D61" i="46"/>
  <c r="D81" i="46"/>
  <c r="D84" i="46" s="1"/>
  <c r="F84" i="9"/>
  <c r="F86" i="9" s="1"/>
  <c r="F62" i="9"/>
  <c r="D62" i="9"/>
  <c r="D33" i="42"/>
  <c r="D34" i="42" s="1"/>
  <c r="D21" i="42"/>
  <c r="O21" i="22"/>
  <c r="O27" i="22" s="1"/>
  <c r="G47" i="9"/>
  <c r="G61" i="9" s="1"/>
  <c r="G84" i="9" s="1"/>
  <c r="H62" i="9"/>
  <c r="G83" i="9"/>
  <c r="D62" i="45"/>
  <c r="E84" i="45"/>
  <c r="E86" i="45" s="1"/>
  <c r="E62" i="45"/>
  <c r="G86" i="9" l="1"/>
  <c r="H86" i="9" s="1"/>
  <c r="G62" i="9"/>
</calcChain>
</file>

<file path=xl/sharedStrings.xml><?xml version="1.0" encoding="utf-8"?>
<sst xmlns="http://schemas.openxmlformats.org/spreadsheetml/2006/main" count="1058" uniqueCount="411">
  <si>
    <t xml:space="preserve"> Ezer forintban </t>
  </si>
  <si>
    <t>Önkormányzatok sajátos felhalmozási és tőke bevételei</t>
  </si>
  <si>
    <t>Felhalmozási célú pénzeszközátvétel államháztartáson kívülről</t>
  </si>
  <si>
    <t>ezer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</si>
  <si>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</si>
  <si>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</si>
  <si>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</si>
  <si>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</si>
  <si>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</si>
  <si>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</si>
  <si>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</si>
  <si>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</si>
  <si>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</si>
  <si>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</si>
  <si>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</si>
  <si>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</si>
  <si>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</si>
  <si>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</si>
  <si>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</si>
  <si>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</si>
  <si>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</si>
  <si>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</si>
  <si>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</si>
  <si>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</si>
  <si>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</si>
  <si>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</si>
  <si>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</si>
  <si>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</si>
  <si>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</si>
  <si>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</si>
  <si>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</si>
  <si>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</si>
  <si>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</si>
  <si>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Rendszeres szociális segély az SZt. 37/B (1) bek. b-c) pontok szerint</t>
  </si>
  <si>
    <t>Rendszeres szociális segély az SZt. 37/B (1) bek. d) pont szerint</t>
  </si>
  <si>
    <t>Rendszeres szociális segély egészségkárosodott személyek részére az SZt. 37/B (1) bek. a) pont szerint</t>
  </si>
  <si>
    <t>Önkormányzat által folyósított ellátás kereső tevékenység mellett Szt. 37/E (1) bek.</t>
  </si>
  <si>
    <t>Közcélú munka Szt. 36. §.</t>
  </si>
  <si>
    <t>Rászorultságtól függõ pénzbeli szociális, gyermekvédelmi ellátások összesen (01+...+19)</t>
  </si>
  <si>
    <t>Természetben nyújtott szociális ellátások összesen (21+…+31)</t>
  </si>
  <si>
    <t>Önkormányzatok által folyósított szociális, gyermekvédelmi 
ellátások összesen (20+32)</t>
  </si>
  <si>
    <t>Önkormányzatok által folyósított ellátások összesen (33+34+35)</t>
  </si>
  <si>
    <t>Szakfeladat száma</t>
  </si>
  <si>
    <t>Szakfeladat megnevezése</t>
  </si>
  <si>
    <t>Éves létszám-előirányzat (fő)</t>
  </si>
  <si>
    <t>Önkormányzat összesen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</si>
  <si>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</si>
  <si>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</si>
  <si>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</si>
  <si>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</si>
  <si>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</si>
  <si>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</si>
  <si>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</si>
  <si>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</si>
  <si>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</si>
  <si>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</si>
  <si>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</si>
  <si>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</si>
  <si>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</si>
  <si>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</si>
  <si>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</si>
  <si>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</si>
  <si>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</si>
  <si>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............................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</si>
  <si>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</si>
  <si>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</si>
  <si>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</si>
  <si>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</si>
  <si>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</si>
  <si>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</si>
  <si>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</si>
  <si>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</si>
  <si>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</si>
  <si>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</si>
  <si>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</si>
  <si>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</si>
  <si>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</si>
  <si>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</si>
  <si>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</si>
  <si>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</si>
  <si>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</si>
  <si>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</si>
  <si>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</si>
  <si>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</si>
  <si>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</si>
  <si>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</si>
  <si>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</si>
  <si>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</si>
  <si>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</si>
  <si>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</si>
  <si>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</si>
  <si>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</si>
  <si>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</si>
  <si>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</si>
  <si>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</si>
  <si>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</si>
  <si>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</si>
  <si>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</si>
  <si>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</si>
  <si>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</si>
  <si>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</si>
  <si>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</si>
  <si>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</si>
  <si>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</si>
  <si>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</si>
  <si>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</si>
  <si>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</si>
  <si>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</si>
  <si>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</si>
  <si>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</si>
  <si>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</si>
  <si>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</si>
  <si>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</si>
  <si>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</si>
  <si>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</si>
  <si>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</si>
  <si>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</si>
  <si>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</si>
  <si>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</si>
  <si>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</si>
  <si>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</si>
  <si>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</si>
  <si>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</si>
  <si>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</si>
  <si>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</si>
  <si>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</si>
  <si>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</si>
  <si>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</si>
  <si>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</si>
  <si>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</si>
  <si>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</si>
  <si>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</si>
  <si>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</si>
  <si>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</si>
  <si>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</si>
  <si>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</si>
  <si>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</si>
  <si>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</si>
  <si>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</si>
  <si>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</si>
  <si>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</si>
  <si>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</si>
  <si>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</si>
  <si>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</si>
  <si>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</si>
  <si>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</si>
  <si>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</si>
  <si>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</si>
  <si>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</si>
  <si>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</si>
  <si>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</si>
  <si>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</si>
  <si>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</si>
  <si>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</si>
  <si>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</si>
  <si>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</si>
  <si>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</si>
  <si>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</si>
  <si>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</si>
  <si>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</si>
  <si>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</si>
  <si>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</si>
  <si>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</si>
  <si>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</si>
  <si>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</si>
  <si>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</si>
  <si>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</si>
  <si>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</si>
  <si>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</si>
  <si>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</si>
  <si>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</si>
  <si>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</si>
  <si>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</si>
  <si>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</si>
  <si>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</si>
  <si>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</si>
  <si>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</si>
  <si>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</si>
  <si>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Működési célú pénzeszközátadás AHT-n kívülre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</si>
  <si>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</si>
  <si>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</si>
  <si>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</si>
  <si>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</si>
  <si>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</si>
  <si>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</si>
  <si>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</si>
  <si>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</si>
  <si>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</si>
  <si>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</si>
  <si>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</si>
  <si>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</si>
  <si>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</si>
  <si>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</si>
  <si>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</si>
  <si>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</si>
  <si>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</si>
  <si>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</si>
  <si>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</si>
  <si>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</si>
  <si>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</si>
  <si>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</si>
  <si>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Felhalmozási kiadások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</si>
  <si>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</si>
  <si>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</si>
  <si>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</si>
  <si>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</si>
  <si>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</si>
  <si>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</si>
  <si>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</si>
  <si>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</si>
  <si>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</si>
  <si>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</si>
  <si>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</si>
  <si>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ezer forintban</t>
  </si>
  <si>
    <t>01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</si>
  <si>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</si>
  <si>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</si>
  <si>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</si>
  <si>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</si>
  <si>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</si>
  <si>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Teljesítés</t>
  </si>
  <si>
    <t xml:space="preserve">Rendszeres gyermekvédelmi kedvezményben részesülők pénzbeli támogatása (Gyvt. 20/A.§) </t>
  </si>
  <si>
    <t>Kiegészítő gyermekvédelmi támogatás és a kiegészítő gyermekvédelmi támogatás pótléka (Gyvt. 20/B.§)</t>
  </si>
  <si>
    <t>Rendkívüli gyermekvédelmi támogatás Gyvt. 21.§ (helyi megállapítás)</t>
  </si>
  <si>
    <t>Természetben nyújtott lakásfenntartási támogatás Szt. 47.§ (1) bek. b) pont</t>
  </si>
  <si>
    <t>Természetben nyújtott rendszeres szociális segély (Szt. 45.§ (1) bek. a) pont)</t>
  </si>
  <si>
    <t>Adósságkezelési szolgáltatás keretében gáz-vagy áram fogyasztást mérő készülék biztosítása (Szt. 55/A. § (3) bek.)</t>
  </si>
  <si>
    <t>Átmeneti segély Szt. 47.§ (1) bek. c) pont</t>
  </si>
  <si>
    <t>Köztemetés Szt. 48.§</t>
  </si>
  <si>
    <t xml:space="preserve">Közgyógyellátás Szt. 49.§ </t>
  </si>
  <si>
    <t>Rászorultságtól függõ normatív kedvezmények (Gyvt. 148.§ (5) bek., Közokt. tv. 10.§ (4) bek., Tpr.tv. 8.§ (4) bek.)</t>
  </si>
  <si>
    <t>Étkeztetés (Szt. 62.§)</t>
  </si>
  <si>
    <t>Házi segítségnyújtás (Szt. 63.§)</t>
  </si>
  <si>
    <t>Rendkívüli gyermekvédelmi támogatás (Gyvt. 18. § (5) bek. alapján.)</t>
  </si>
  <si>
    <t>Önkormányzat által saját hatáskörben (nem szociális és gyermekvédelmi előírások alapján) adott pénzügyi ellátás</t>
  </si>
  <si>
    <t>Eredeti előirányzat</t>
  </si>
  <si>
    <t xml:space="preserve">Idõskorúak járadéka </t>
  </si>
  <si>
    <t>Lakásfenntartási támogatás  (helyi megállapítás)</t>
  </si>
  <si>
    <t xml:space="preserve">Ápolási díj  (normatív) </t>
  </si>
  <si>
    <t xml:space="preserve">Ápolási díj   (helyi megállapítás) </t>
  </si>
  <si>
    <t xml:space="preserve">Átmeneti segély </t>
  </si>
  <si>
    <t xml:space="preserve">Temetési segély Szt. </t>
  </si>
  <si>
    <t xml:space="preserve">Adósságkezelési szolgáltatásban részesülőknek kifizetett lakásfenntartási támogatás </t>
  </si>
  <si>
    <t>Működési célú pénzeszköz-átadások részletezése</t>
  </si>
  <si>
    <t>Bursa Hungarica ösztöndíj-támogatás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</si>
  <si>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</si>
  <si>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</si>
  <si>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</si>
  <si>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</si>
  <si>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</si>
  <si>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</si>
  <si>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</si>
  <si>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</si>
  <si>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</si>
  <si>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</si>
  <si>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</si>
  <si>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2014.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</si>
  <si>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</si>
  <si>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</si>
  <si>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</si>
  <si>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Önkormányzat által saját hatáskörben (nem szociális és gyermekvédelmi előírások alapján) adott természetbeni ellátás (szociális tüzifa)</t>
  </si>
  <si>
    <t>Tartalék</t>
  </si>
  <si>
    <t>Működési célú hiteltörlesztés tőke</t>
  </si>
  <si>
    <t>Bérhitel</t>
  </si>
  <si>
    <t>Folyószámlahitel</t>
  </si>
  <si>
    <t>Intézményi Működési bevételek</t>
  </si>
  <si>
    <t>Főkönyvi-szám</t>
  </si>
  <si>
    <t>Általános és céltartalék</t>
  </si>
  <si>
    <t>Felhalmozási kiadások (6+7+8)</t>
  </si>
  <si>
    <t>Helyi Önkormányzatok általános működésének támogatása</t>
  </si>
  <si>
    <t>támogatás</t>
  </si>
  <si>
    <t>Helyi önkormányzatok kiegészítő támogatása</t>
  </si>
  <si>
    <t>Működési célú pénzeszközátadás AHT-n kívülre és belül</t>
  </si>
  <si>
    <t>2.melléklet</t>
  </si>
  <si>
    <t>3 melléklet</t>
  </si>
  <si>
    <t>4.melléklet</t>
  </si>
  <si>
    <t>6.melléklet</t>
  </si>
  <si>
    <t>7.melléklet</t>
  </si>
  <si>
    <t>17.melléklet</t>
  </si>
  <si>
    <t>Sármelléki Közös Önkormányzati Hivatal</t>
  </si>
  <si>
    <t>Sármellék Község Önkormányzata</t>
  </si>
  <si>
    <t>Keszthelyi Kistérségi támogatás ( belső ellenőr)</t>
  </si>
  <si>
    <t>Érző Lélek Alapítvány</t>
  </si>
  <si>
    <t>Sármelléki Sportegyesület</t>
  </si>
  <si>
    <t>Értelmifogyatékos Gyerekekért Alapítvány</t>
  </si>
  <si>
    <t>Máltai Szeretetszolgálat</t>
  </si>
  <si>
    <t>Országos Mentőszolg.Alapítvány</t>
  </si>
  <si>
    <t>RNÖ</t>
  </si>
  <si>
    <t>Erdős Bt (Iskola e.ü.)</t>
  </si>
  <si>
    <t>Hévízi TASZI</t>
  </si>
  <si>
    <t>Felügyeleti szervi támogatás</t>
  </si>
  <si>
    <t>Dózsa 324 épület energetikai felújítás</t>
  </si>
  <si>
    <t>Felhasználás
2014. XII.31-ig</t>
  </si>
  <si>
    <t>2014. előtti kifizetés</t>
  </si>
  <si>
    <t>2015.</t>
  </si>
  <si>
    <t>2016.</t>
  </si>
  <si>
    <t>2016. után</t>
  </si>
  <si>
    <t>2014 ÉVI ELŐIRÁNYZAT-FELHASZNÁLÁSI TERV</t>
  </si>
  <si>
    <t>Sármelléki Polgárőrség</t>
  </si>
  <si>
    <t>5.melléklet</t>
  </si>
  <si>
    <t>8.melléklet</t>
  </si>
  <si>
    <t>9.melléklet</t>
  </si>
  <si>
    <t>096020</t>
  </si>
  <si>
    <t>066020</t>
  </si>
  <si>
    <t>Községgazdálkodás</t>
  </si>
  <si>
    <t>041233</t>
  </si>
  <si>
    <t>Közfoglalkoztatás</t>
  </si>
  <si>
    <t>011130</t>
  </si>
  <si>
    <t>Önkormányzati jogalkotás</t>
  </si>
  <si>
    <t>FHT</t>
  </si>
  <si>
    <t xml:space="preserve">2015 ÉVI KÖLTSÉGVETÉS  </t>
  </si>
  <si>
    <t>2015ÉVI KÖLTSÉGVETÉS</t>
  </si>
  <si>
    <t>Egyéb, az önkormányzat rendeletében megállapított juttatás babakötvény</t>
  </si>
  <si>
    <t>Felhalmozási célú pe.átadás, Római Katolikus Plébánia</t>
  </si>
  <si>
    <t>Ffelhalmozási célú támogatásérétkű kiadás</t>
  </si>
  <si>
    <t>ÁFA visszaigénylés</t>
  </si>
  <si>
    <t>család és nővédelem</t>
  </si>
  <si>
    <t>074031</t>
  </si>
  <si>
    <t>2015 ÉVI KÖLTSÉGVETÉS</t>
  </si>
  <si>
    <t>Előző évi működési célú előirányzat-maradvány, pénzmaradvány átvétel</t>
  </si>
  <si>
    <t>2015 évi eredeti előirányzat (eFt)</t>
  </si>
  <si>
    <t>Sármelléki Óvoda Általános Művelődési Központ</t>
  </si>
  <si>
    <t>Felügyeleti szervtől kapott támogatás</t>
  </si>
  <si>
    <t>Értékpapír vásárlásainak kiadása</t>
  </si>
  <si>
    <t>2015 ÉVI ELŐIRÁNYZAT-FELHASZNÁLÁSI TERV</t>
  </si>
  <si>
    <t>11.melléklet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</si>
  <si>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</si>
  <si>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Kötött-,  céltartalék</t>
  </si>
  <si>
    <t>2015 Évi költségvetés</t>
  </si>
  <si>
    <t>Önkormányzatok igazgatási tevékenysége</t>
  </si>
  <si>
    <t>011131</t>
  </si>
  <si>
    <t>Önkományzati jogalkotás</t>
  </si>
  <si>
    <t>011220</t>
  </si>
  <si>
    <t>Sármelléki Óvoda Művelődési Központ</t>
  </si>
  <si>
    <t>091110</t>
  </si>
  <si>
    <t>Óvodai nevelés szakmai feladatai</t>
  </si>
  <si>
    <t>082092</t>
  </si>
  <si>
    <t>Közművelődés</t>
  </si>
  <si>
    <t>Bölcsőde</t>
  </si>
  <si>
    <t>10. melléklet</t>
  </si>
  <si>
    <t>Óvoda működtetés</t>
  </si>
  <si>
    <t>Éves létszám-előirányzat</t>
  </si>
  <si>
    <t>Sármelléki Önkormányzat</t>
  </si>
  <si>
    <t>Keszthelyi és Környéke többcélú Kistérségi Társulás 2014 után</t>
  </si>
  <si>
    <t>Keszthelyi és Környéke többcélú Kistérségi Társulás 2015</t>
  </si>
  <si>
    <t>Felhalmozási célú pe.átadás Sármelléki Sport Egy.</t>
  </si>
  <si>
    <t>Működési célú pénzeszköz átadás ÁHT-n belűl és kívül összesen</t>
  </si>
  <si>
    <t>Felhalmozási célúcélú pénzeszköz átadás  összesen</t>
  </si>
  <si>
    <t>Sármellékért Közh. Nonpr. Kft</t>
  </si>
  <si>
    <t>Kötött  céltartalék közös hiv. állami t. miatt, koncessziós díj+bank szla , lakásért.bev. jmiatt</t>
  </si>
  <si>
    <t xml:space="preserve"> 2015 évi költségevetés</t>
  </si>
  <si>
    <t>2015. év utáni szükséglet
(6=2 - 4 - 5)</t>
  </si>
  <si>
    <t>buszvráró (Hévíz)</t>
  </si>
  <si>
    <t>KEOP -5.5.0/A/12-2013-0021</t>
  </si>
  <si>
    <t>NYDOP-3.2.1/B-12-2013-0007</t>
  </si>
  <si>
    <t xml:space="preserve"> Általános Tartalék</t>
  </si>
  <si>
    <t>Kötött tartalék</t>
  </si>
  <si>
    <t>Előző évi állami támogatás visszafizetés</t>
  </si>
  <si>
    <t>Felhalmozási célú támogatásérétkű kiadás</t>
  </si>
  <si>
    <t>ÁMK hangosítás</t>
  </si>
  <si>
    <t>Hévíz családsegítés, gyerekjóléti szolgáltatás 2013.1231-ig</t>
  </si>
  <si>
    <t xml:space="preserve">2015 év Költségvetés </t>
  </si>
  <si>
    <t>Előző évi állami visszafiz.</t>
  </si>
  <si>
    <t>12.melléklet</t>
  </si>
  <si>
    <t>13.melléklet</t>
  </si>
  <si>
    <t>14.melléklet</t>
  </si>
  <si>
    <t>15.melléklet</t>
  </si>
  <si>
    <t>Temetési segély Szt. 47.§ (1) bek. d) pont (önkormányzati segély)</t>
  </si>
  <si>
    <t>Lakásfenntartási támogatás t (államilag kötelező normatív)</t>
  </si>
  <si>
    <t>Egyéb önkormányzati támogatás, teljesítés nem könyvelhető</t>
  </si>
  <si>
    <t>Államháztartáson belüli megelőlegezések</t>
  </si>
  <si>
    <t>Kötelező feladat módosítás</t>
  </si>
  <si>
    <t>Kötelező feladat eredeti</t>
  </si>
  <si>
    <t>Önként vállalt feladat módosítás</t>
  </si>
  <si>
    <t>2015 évi  előirányzat (eFt)</t>
  </si>
  <si>
    <t>Önként vállalt feladat eredeti</t>
  </si>
  <si>
    <t>ÁMK összesen eredeti</t>
  </si>
  <si>
    <t>ÁMK összesen módosított</t>
  </si>
  <si>
    <t>Önkormányzatok sajátos működési bevételei, közhatalmi bevételek</t>
  </si>
  <si>
    <t>Sármellék Önkorm. Eredeti</t>
  </si>
  <si>
    <t>Sármellék Önkorm. Módosított</t>
  </si>
  <si>
    <t>Kötelező feladat módosított</t>
  </si>
  <si>
    <t>Önként vállalt feladat módosított</t>
  </si>
  <si>
    <t>X.</t>
  </si>
  <si>
    <t>Államháztartáson belüli megelőlegezések visszafizetése</t>
  </si>
  <si>
    <t>Módosított előirányzat</t>
  </si>
  <si>
    <t>szennyvízakna felújítás</t>
  </si>
  <si>
    <t>2015. évi előirányzat eredeti</t>
  </si>
  <si>
    <t>traktor felújítás</t>
  </si>
  <si>
    <t>önerő támogatás</t>
  </si>
  <si>
    <t>Sármellék összesen eredeti</t>
  </si>
  <si>
    <t xml:space="preserve">Önként vállalt feladat eredeti </t>
  </si>
  <si>
    <t>Iskolai Intézményi étkeztetés</t>
  </si>
  <si>
    <t>Felhalmozási célú visszatérítendő támogatások visszatérülése államháztartáson kívülről</t>
  </si>
  <si>
    <t xml:space="preserve">Államháztartáson belüli megelőlegezések </t>
  </si>
  <si>
    <t>Önkormányzat  eredeti</t>
  </si>
  <si>
    <t>Önkormányzat  módosított</t>
  </si>
  <si>
    <t>Önkormányzat eredeti</t>
  </si>
  <si>
    <t>2015. évi módosított előirányzat</t>
  </si>
  <si>
    <t>termőföld vásárlás 09/1</t>
  </si>
  <si>
    <t>közfoglalk. Eszköz támog.</t>
  </si>
  <si>
    <t>egyéb kisértékű tárgyi eszk.</t>
  </si>
  <si>
    <t>Sármelléki Polgárőrség kisbusz vásárlás támogatása</t>
  </si>
  <si>
    <t>Játszótéri támogatás</t>
  </si>
  <si>
    <t>Kármentesítő társulás támogatása</t>
  </si>
  <si>
    <t>Műk. Célú támog nyújtása háztartásnak</t>
  </si>
  <si>
    <t>Lakossági víz és csatorna támogatás</t>
  </si>
  <si>
    <t>Finanszírozási bevételek</t>
  </si>
  <si>
    <t>ÁMK Sötye varrógép</t>
  </si>
  <si>
    <t>ÁMK öltözőszekrény</t>
  </si>
  <si>
    <t>Közös Hivatal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</si>
</sst>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_-* #,##0.00\ _€_-;\-* #,##0.00\ _€_-;_-* &quot;-&quot;??\ _€_-;_-@_-"/>
    <numFmt numFmtId="165" formatCode="#,##0\ _F_t"/>
    <numFmt numFmtId="166" formatCode="0__"/>
    <numFmt numFmtId="167" formatCode="#,###"/>
    <numFmt numFmtId="168" formatCode="#"/>
    <numFmt numFmtId="169" formatCode="_-* #,##0\ _F_t_-;\-* #,##0\ _F_t_-;_-* &quot;-&quot;??\ _F_t_-;_-@_-"/>
  </numFmts>
  <fonts count="6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charset val="238"/>
    </font>
    <font>
      <sz val="8"/>
      <name val="Arial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6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0625">
        <bgColor indexed="43"/>
      </patternFill>
    </fill>
    <fill>
      <patternFill patternType="gray0625">
        <bgColor indexed="41"/>
      </patternFill>
    </fill>
    <fill>
      <patternFill patternType="gray0625"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rgb="FFCCCCFF"/>
      </patternFill>
    </fill>
    <fill>
      <patternFill patternType="gray0625">
        <bgColor rgb="FFFFFF99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7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5" applyNumberFormat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6" borderId="7" applyNumberFormat="0" applyFont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1" fillId="0" borderId="0"/>
    <xf numFmtId="0" fontId="2" fillId="0" borderId="0"/>
    <xf numFmtId="0" fontId="35" fillId="0" borderId="9" applyNumberFormat="0" applyFill="0" applyAlignment="0" applyProtection="0"/>
    <xf numFmtId="0" fontId="36" fillId="17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1" applyNumberFormat="0" applyAlignment="0" applyProtection="0"/>
  </cellStyleXfs>
  <cellXfs count="762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5" fontId="4" fillId="0" borderId="11" xfId="27" applyNumberFormat="1" applyFont="1" applyFill="1" applyBorder="1" applyAlignment="1">
      <alignment horizontal="center"/>
    </xf>
    <xf numFmtId="165" fontId="5" fillId="0" borderId="12" xfId="40" applyNumberFormat="1" applyFont="1" applyBorder="1" applyAlignment="1">
      <alignment horizontal="center" vertical="center"/>
    </xf>
    <xf numFmtId="165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5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5" fontId="5" fillId="18" borderId="12" xfId="27" applyNumberFormat="1" applyFont="1" applyFill="1" applyBorder="1" applyAlignment="1">
      <alignment horizontal="center"/>
    </xf>
    <xf numFmtId="165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vertical="center"/>
    </xf>
    <xf numFmtId="166" fontId="14" fillId="0" borderId="19" xfId="0" applyNumberFormat="1" applyFont="1" applyBorder="1" applyAlignment="1">
      <alignment vertical="center"/>
    </xf>
    <xf numFmtId="0" fontId="14" fillId="0" borderId="19" xfId="0" applyFont="1" applyBorder="1"/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166" fontId="14" fillId="0" borderId="0" xfId="0" applyNumberFormat="1" applyFont="1"/>
    <xf numFmtId="0" fontId="14" fillId="0" borderId="0" xfId="0" applyFont="1" applyAlignment="1"/>
    <xf numFmtId="0" fontId="16" fillId="0" borderId="0" xfId="0" applyFont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9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5" fontId="4" fillId="0" borderId="22" xfId="40" applyNumberFormat="1" applyFont="1" applyBorder="1" applyAlignment="1">
      <alignment horizontal="center"/>
    </xf>
    <xf numFmtId="165" fontId="11" fillId="0" borderId="12" xfId="42" applyNumberFormat="1" applyFont="1" applyBorder="1" applyAlignment="1">
      <alignment vertical="center"/>
    </xf>
    <xf numFmtId="165" fontId="12" fillId="0" borderId="12" xfId="42" applyNumberFormat="1" applyFont="1" applyBorder="1" applyAlignment="1">
      <alignment horizontal="center" vertical="center"/>
    </xf>
    <xf numFmtId="165" fontId="11" fillId="18" borderId="12" xfId="42" applyNumberFormat="1" applyFont="1" applyFill="1" applyBorder="1" applyAlignment="1">
      <alignment vertical="center"/>
    </xf>
    <xf numFmtId="165" fontId="12" fillId="18" borderId="12" xfId="42" applyNumberFormat="1" applyFont="1" applyFill="1" applyBorder="1" applyAlignment="1">
      <alignment horizontal="center" vertical="center"/>
    </xf>
    <xf numFmtId="165" fontId="12" fillId="0" borderId="12" xfId="42" applyNumberFormat="1" applyFont="1" applyBorder="1" applyAlignment="1">
      <alignment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12" xfId="0" applyFont="1" applyBorder="1"/>
    <xf numFmtId="167" fontId="31" fillId="0" borderId="0" xfId="41" applyNumberFormat="1" applyFill="1" applyAlignment="1">
      <alignment horizontal="center" vertical="center" wrapText="1"/>
    </xf>
    <xf numFmtId="167" fontId="31" fillId="0" borderId="0" xfId="41" applyNumberFormat="1" applyFill="1" applyAlignment="1">
      <alignment vertical="center" wrapText="1"/>
    </xf>
    <xf numFmtId="167" fontId="40" fillId="0" borderId="23" xfId="41" applyNumberFormat="1" applyFont="1" applyFill="1" applyBorder="1" applyAlignment="1">
      <alignment horizontal="center" vertical="center"/>
    </xf>
    <xf numFmtId="167" fontId="40" fillId="0" borderId="24" xfId="41" applyNumberFormat="1" applyFont="1" applyFill="1" applyBorder="1" applyAlignment="1">
      <alignment horizontal="center" vertical="center"/>
    </xf>
    <xf numFmtId="167" fontId="40" fillId="0" borderId="25" xfId="41" applyNumberFormat="1" applyFont="1" applyFill="1" applyBorder="1" applyAlignment="1">
      <alignment horizontal="center" vertical="center" wrapText="1"/>
    </xf>
    <xf numFmtId="167" fontId="41" fillId="0" borderId="26" xfId="41" applyNumberFormat="1" applyFont="1" applyFill="1" applyBorder="1" applyAlignment="1">
      <alignment horizontal="center" vertical="center" wrapText="1"/>
    </xf>
    <xf numFmtId="167" fontId="41" fillId="0" borderId="27" xfId="41" applyNumberFormat="1" applyFont="1" applyFill="1" applyBorder="1" applyAlignment="1">
      <alignment horizontal="center" vertical="center" wrapText="1"/>
    </xf>
    <xf numFmtId="167" fontId="41" fillId="0" borderId="28" xfId="41" applyNumberFormat="1" applyFont="1" applyFill="1" applyBorder="1" applyAlignment="1">
      <alignment horizontal="center" vertical="center" wrapText="1"/>
    </xf>
    <xf numFmtId="167" fontId="41" fillId="0" borderId="29" xfId="41" applyNumberFormat="1" applyFont="1" applyFill="1" applyBorder="1" applyAlignment="1">
      <alignment horizontal="center" vertical="center" wrapText="1"/>
    </xf>
    <xf numFmtId="167" fontId="41" fillId="0" borderId="30" xfId="41" applyNumberFormat="1" applyFont="1" applyFill="1" applyBorder="1" applyAlignment="1">
      <alignment horizontal="center" vertical="center" wrapText="1"/>
    </xf>
    <xf numFmtId="167" fontId="41" fillId="0" borderId="31" xfId="41" applyNumberFormat="1" applyFont="1" applyFill="1" applyBorder="1" applyAlignment="1">
      <alignment horizontal="center" vertical="center" wrapText="1"/>
    </xf>
    <xf numFmtId="167" fontId="41" fillId="0" borderId="27" xfId="41" applyNumberFormat="1" applyFont="1" applyFill="1" applyBorder="1" applyAlignment="1">
      <alignment horizontal="left" vertical="center" wrapText="1" indent="1"/>
    </xf>
    <xf numFmtId="167" fontId="42" fillId="0" borderId="32" xfId="41" applyNumberFormat="1" applyFont="1" applyFill="1" applyBorder="1" applyAlignment="1" applyProtection="1">
      <alignment horizontal="left" vertical="center" wrapText="1" indent="2"/>
    </xf>
    <xf numFmtId="167" fontId="42" fillId="0" borderId="27" xfId="41" applyNumberFormat="1" applyFont="1" applyFill="1" applyBorder="1" applyAlignment="1" applyProtection="1">
      <alignment vertical="center" wrapText="1"/>
    </xf>
    <xf numFmtId="167" fontId="42" fillId="0" borderId="31" xfId="41" applyNumberFormat="1" applyFont="1" applyFill="1" applyBorder="1" applyAlignment="1" applyProtection="1">
      <alignment vertical="center" wrapText="1"/>
    </xf>
    <xf numFmtId="167" fontId="42" fillId="0" borderId="32" xfId="41" applyNumberFormat="1" applyFont="1" applyFill="1" applyBorder="1" applyAlignment="1" applyProtection="1">
      <alignment vertical="center" wrapText="1"/>
    </xf>
    <xf numFmtId="167" fontId="42" fillId="0" borderId="29" xfId="41" applyNumberFormat="1" applyFont="1" applyFill="1" applyBorder="1" applyAlignment="1" applyProtection="1">
      <alignment vertical="center" wrapText="1"/>
    </xf>
    <xf numFmtId="167" fontId="42" fillId="0" borderId="27" xfId="41" applyNumberFormat="1" applyFont="1" applyFill="1" applyBorder="1" applyAlignment="1">
      <alignment vertical="center" wrapText="1"/>
    </xf>
    <xf numFmtId="167" fontId="41" fillId="0" borderId="10" xfId="41" applyNumberFormat="1" applyFont="1" applyFill="1" applyBorder="1" applyAlignment="1">
      <alignment horizontal="center" vertical="center" wrapText="1"/>
    </xf>
    <xf numFmtId="167" fontId="42" fillId="0" borderId="33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3" xfId="41" applyNumberFormat="1" applyFont="1" applyFill="1" applyBorder="1" applyAlignment="1" applyProtection="1">
      <alignment vertical="center" wrapText="1"/>
      <protection locked="0"/>
    </xf>
    <xf numFmtId="167" fontId="42" fillId="0" borderId="10" xfId="41" applyNumberFormat="1" applyFont="1" applyFill="1" applyBorder="1" applyAlignment="1" applyProtection="1">
      <alignment vertical="center" wrapText="1"/>
      <protection locked="0"/>
    </xf>
    <xf numFmtId="167" fontId="42" fillId="0" borderId="12" xfId="41" applyNumberFormat="1" applyFont="1" applyFill="1" applyBorder="1" applyAlignment="1" applyProtection="1">
      <alignment vertical="center" wrapText="1"/>
      <protection locked="0"/>
    </xf>
    <xf numFmtId="167" fontId="42" fillId="0" borderId="11" xfId="41" applyNumberFormat="1" applyFont="1" applyFill="1" applyBorder="1" applyAlignment="1" applyProtection="1">
      <alignment vertical="center" wrapText="1"/>
      <protection locked="0"/>
    </xf>
    <xf numFmtId="167" fontId="42" fillId="0" borderId="33" xfId="41" applyNumberFormat="1" applyFont="1" applyFill="1" applyBorder="1" applyAlignment="1">
      <alignment vertical="center" wrapText="1"/>
    </xf>
    <xf numFmtId="167" fontId="41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43" fillId="0" borderId="32" xfId="41" applyNumberFormat="1" applyFont="1" applyFill="1" applyBorder="1" applyAlignment="1" applyProtection="1">
      <alignment horizontal="left" vertical="center" wrapText="1" indent="2"/>
    </xf>
    <xf numFmtId="167" fontId="41" fillId="0" borderId="34" xfId="41" applyNumberFormat="1" applyFont="1" applyFill="1" applyBorder="1" applyAlignment="1">
      <alignment horizontal="center" vertical="center" wrapText="1"/>
    </xf>
    <xf numFmtId="167" fontId="42" fillId="0" borderId="35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36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5" xfId="41" applyNumberFormat="1" applyFont="1" applyFill="1" applyBorder="1" applyAlignment="1" applyProtection="1">
      <alignment vertical="center" wrapText="1"/>
      <protection locked="0"/>
    </xf>
    <xf numFmtId="167" fontId="42" fillId="0" borderId="34" xfId="41" applyNumberFormat="1" applyFont="1" applyFill="1" applyBorder="1" applyAlignment="1" applyProtection="1">
      <alignment vertical="center" wrapText="1"/>
      <protection locked="0"/>
    </xf>
    <xf numFmtId="167" fontId="42" fillId="0" borderId="36" xfId="41" applyNumberFormat="1" applyFont="1" applyFill="1" applyBorder="1" applyAlignment="1" applyProtection="1">
      <alignment vertical="center" wrapText="1"/>
      <protection locked="0"/>
    </xf>
    <xf numFmtId="167" fontId="42" fillId="0" borderId="37" xfId="41" applyNumberFormat="1" applyFont="1" applyFill="1" applyBorder="1" applyAlignment="1" applyProtection="1">
      <alignment vertical="center" wrapText="1"/>
      <protection locked="0"/>
    </xf>
    <xf numFmtId="167" fontId="42" fillId="0" borderId="35" xfId="41" applyNumberFormat="1" applyFont="1" applyFill="1" applyBorder="1" applyAlignment="1">
      <alignment vertical="center" wrapText="1"/>
    </xf>
    <xf numFmtId="167" fontId="44" fillId="0" borderId="27" xfId="41" applyNumberFormat="1" applyFont="1" applyFill="1" applyBorder="1" applyAlignment="1" applyProtection="1">
      <alignment horizontal="left" vertical="center" wrapText="1" indent="1"/>
      <protection locked="0"/>
    </xf>
    <xf numFmtId="167" fontId="42" fillId="0" borderId="27" xfId="41" applyNumberFormat="1" applyFont="1" applyFill="1" applyBorder="1" applyAlignment="1" applyProtection="1">
      <alignment vertical="center" wrapText="1"/>
      <protection locked="0"/>
    </xf>
    <xf numFmtId="167" fontId="42" fillId="0" borderId="31" xfId="41" applyNumberFormat="1" applyFont="1" applyFill="1" applyBorder="1" applyAlignment="1" applyProtection="1">
      <alignment vertical="center" wrapText="1"/>
      <protection locked="0"/>
    </xf>
    <xf numFmtId="167" fontId="42" fillId="0" borderId="32" xfId="41" applyNumberFormat="1" applyFont="1" applyFill="1" applyBorder="1" applyAlignment="1" applyProtection="1">
      <alignment vertical="center" wrapText="1"/>
      <protection locked="0"/>
    </xf>
    <xf numFmtId="167" fontId="42" fillId="0" borderId="29" xfId="41" applyNumberFormat="1" applyFont="1" applyFill="1" applyBorder="1" applyAlignment="1" applyProtection="1">
      <alignment vertical="center" wrapText="1"/>
      <protection locked="0"/>
    </xf>
    <xf numFmtId="167" fontId="41" fillId="0" borderId="38" xfId="41" applyNumberFormat="1" applyFont="1" applyFill="1" applyBorder="1" applyAlignment="1">
      <alignment horizontal="center" vertical="center" wrapText="1"/>
    </xf>
    <xf numFmtId="167" fontId="42" fillId="0" borderId="39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14" xfId="41" applyNumberFormat="1" applyFont="1" applyFill="1" applyBorder="1" applyAlignment="1" applyProtection="1">
      <alignment horizontal="left" vertical="center" wrapText="1" indent="2"/>
      <protection locked="0"/>
    </xf>
    <xf numFmtId="167" fontId="42" fillId="0" borderId="30" xfId="41" applyNumberFormat="1" applyFont="1" applyFill="1" applyBorder="1" applyAlignment="1" applyProtection="1">
      <alignment vertical="center" wrapText="1"/>
      <protection locked="0"/>
    </xf>
    <xf numFmtId="167" fontId="42" fillId="0" borderId="38" xfId="41" applyNumberFormat="1" applyFont="1" applyFill="1" applyBorder="1" applyAlignment="1" applyProtection="1">
      <alignment vertical="center" wrapText="1"/>
      <protection locked="0"/>
    </xf>
    <xf numFmtId="167" fontId="42" fillId="0" borderId="40" xfId="41" applyNumberFormat="1" applyFont="1" applyFill="1" applyBorder="1" applyAlignment="1" applyProtection="1">
      <alignment vertical="center" wrapText="1"/>
      <protection locked="0"/>
    </xf>
    <xf numFmtId="167" fontId="42" fillId="0" borderId="41" xfId="41" applyNumberFormat="1" applyFont="1" applyFill="1" applyBorder="1" applyAlignment="1" applyProtection="1">
      <alignment vertical="center" wrapText="1"/>
      <protection locked="0"/>
    </xf>
    <xf numFmtId="167" fontId="42" fillId="0" borderId="30" xfId="41" applyNumberFormat="1" applyFont="1" applyFill="1" applyBorder="1" applyAlignment="1">
      <alignment vertical="center" wrapText="1"/>
    </xf>
    <xf numFmtId="167" fontId="43" fillId="18" borderId="28" xfId="41" applyNumberFormat="1" applyFont="1" applyFill="1" applyBorder="1" applyAlignment="1" applyProtection="1">
      <alignment horizontal="left" vertical="center" wrapText="1" indent="2"/>
    </xf>
    <xf numFmtId="167" fontId="46" fillId="0" borderId="0" xfId="41" applyNumberFormat="1" applyFont="1" applyFill="1" applyAlignment="1">
      <alignment horizontal="center" vertical="center" wrapText="1"/>
    </xf>
    <xf numFmtId="167" fontId="46" fillId="0" borderId="0" xfId="41" applyNumberFormat="1" applyFont="1" applyFill="1" applyAlignment="1">
      <alignment vertical="center" wrapText="1"/>
    </xf>
    <xf numFmtId="0" fontId="40" fillId="0" borderId="31" xfId="41" applyFont="1" applyFill="1" applyBorder="1" applyAlignment="1">
      <alignment horizontal="center" vertical="center" wrapText="1"/>
    </xf>
    <xf numFmtId="0" fontId="40" fillId="0" borderId="32" xfId="41" applyFont="1" applyFill="1" applyBorder="1" applyAlignment="1">
      <alignment horizontal="center" vertical="center" wrapText="1"/>
    </xf>
    <xf numFmtId="0" fontId="40" fillId="0" borderId="29" xfId="41" applyFont="1" applyFill="1" applyBorder="1" applyAlignment="1">
      <alignment horizontal="center" vertical="center" wrapText="1"/>
    </xf>
    <xf numFmtId="0" fontId="47" fillId="0" borderId="0" xfId="41" applyFont="1" applyFill="1" applyAlignment="1">
      <alignment horizontal="center" vertical="center" wrapText="1"/>
    </xf>
    <xf numFmtId="0" fontId="41" fillId="0" borderId="31" xfId="41" applyFont="1" applyFill="1" applyBorder="1" applyAlignment="1">
      <alignment horizontal="center" vertical="center" wrapText="1"/>
    </xf>
    <xf numFmtId="0" fontId="41" fillId="0" borderId="32" xfId="41" applyFont="1" applyFill="1" applyBorder="1" applyAlignment="1">
      <alignment horizontal="center" vertical="center" wrapText="1"/>
    </xf>
    <xf numFmtId="0" fontId="41" fillId="0" borderId="29" xfId="41" applyFont="1" applyFill="1" applyBorder="1" applyAlignment="1">
      <alignment horizontal="center" vertical="center" wrapText="1"/>
    </xf>
    <xf numFmtId="0" fontId="48" fillId="0" borderId="42" xfId="41" applyFont="1" applyFill="1" applyBorder="1" applyAlignment="1">
      <alignment horizontal="center" vertical="center" wrapText="1"/>
    </xf>
    <xf numFmtId="0" fontId="45" fillId="0" borderId="20" xfId="41" applyFont="1" applyFill="1" applyBorder="1" applyAlignment="1" applyProtection="1">
      <alignment horizontal="left" vertical="center" wrapText="1" indent="1"/>
      <protection locked="0"/>
    </xf>
    <xf numFmtId="167" fontId="48" fillId="0" borderId="20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43" xfId="4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41" applyFill="1" applyAlignment="1">
      <alignment vertical="center" wrapText="1"/>
    </xf>
    <xf numFmtId="0" fontId="48" fillId="0" borderId="10" xfId="41" applyFont="1" applyFill="1" applyBorder="1" applyAlignment="1">
      <alignment horizontal="center" vertical="center" wrapText="1"/>
    </xf>
    <xf numFmtId="0" fontId="45" fillId="0" borderId="21" xfId="41" applyFont="1" applyFill="1" applyBorder="1" applyAlignment="1" applyProtection="1">
      <alignment horizontal="left" vertical="center" wrapText="1" indent="1"/>
      <protection locked="0"/>
    </xf>
    <xf numFmtId="167" fontId="48" fillId="0" borderId="21" xfId="41" applyNumberFormat="1" applyFont="1" applyFill="1" applyBorder="1" applyAlignment="1" applyProtection="1">
      <alignment horizontal="right" vertical="center" wrapText="1" indent="1"/>
      <protection locked="0"/>
    </xf>
    <xf numFmtId="167" fontId="48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21" xfId="41" applyFont="1" applyFill="1" applyBorder="1" applyAlignment="1" applyProtection="1">
      <alignment horizontal="left" vertical="center" wrapText="1" indent="8"/>
      <protection locked="0"/>
    </xf>
    <xf numFmtId="0" fontId="48" fillId="0" borderId="44" xfId="41" applyFont="1" applyFill="1" applyBorder="1" applyAlignment="1" applyProtection="1">
      <alignment vertical="center" wrapText="1"/>
      <protection locked="0"/>
    </xf>
    <xf numFmtId="167" fontId="48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31" xfId="41" applyFont="1" applyFill="1" applyBorder="1" applyAlignment="1">
      <alignment horizontal="center" vertical="center" wrapText="1"/>
    </xf>
    <xf numFmtId="0" fontId="49" fillId="0" borderId="45" xfId="41" applyFont="1" applyFill="1" applyBorder="1" applyAlignment="1">
      <alignment vertical="center" wrapText="1"/>
    </xf>
    <xf numFmtId="167" fontId="44" fillId="0" borderId="45" xfId="41" applyNumberFormat="1" applyFont="1" applyFill="1" applyBorder="1" applyAlignment="1">
      <alignment vertical="center" wrapText="1"/>
    </xf>
    <xf numFmtId="167" fontId="44" fillId="0" borderId="46" xfId="41" applyNumberFormat="1" applyFont="1" applyFill="1" applyBorder="1" applyAlignment="1">
      <alignment vertical="center" wrapText="1"/>
    </xf>
    <xf numFmtId="0" fontId="31" fillId="0" borderId="0" xfId="41" applyFill="1" applyAlignment="1">
      <alignment horizontal="right" vertical="center" wrapText="1"/>
    </xf>
    <xf numFmtId="0" fontId="31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1" xfId="0" applyFont="1" applyBorder="1"/>
    <xf numFmtId="0" fontId="5" fillId="0" borderId="47" xfId="0" applyFont="1" applyBorder="1"/>
    <xf numFmtId="0" fontId="50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4" xfId="0" applyFont="1" applyBorder="1"/>
    <xf numFmtId="167" fontId="39" fillId="0" borderId="0" xfId="41" applyNumberFormat="1" applyFont="1" applyFill="1" applyAlignment="1">
      <alignment horizontal="right" wrapText="1"/>
    </xf>
    <xf numFmtId="167" fontId="40" fillId="0" borderId="31" xfId="41" applyNumberFormat="1" applyFont="1" applyFill="1" applyBorder="1" applyAlignment="1">
      <alignment horizontal="center" vertical="center" wrapText="1"/>
    </xf>
    <xf numFmtId="167" fontId="40" fillId="0" borderId="32" xfId="41" applyNumberFormat="1" applyFont="1" applyFill="1" applyBorder="1" applyAlignment="1">
      <alignment horizontal="center" vertical="center" wrapText="1"/>
    </xf>
    <xf numFmtId="167" fontId="40" fillId="0" borderId="29" xfId="41" applyNumberFormat="1" applyFont="1" applyFill="1" applyBorder="1" applyAlignment="1" applyProtection="1">
      <alignment horizontal="center" vertical="center" wrapText="1"/>
    </xf>
    <xf numFmtId="167" fontId="41" fillId="0" borderId="48" xfId="41" applyNumberFormat="1" applyFont="1" applyFill="1" applyBorder="1" applyAlignment="1" applyProtection="1">
      <alignment horizontal="center" vertical="center" wrapText="1"/>
    </xf>
    <xf numFmtId="167" fontId="41" fillId="0" borderId="45" xfId="41" applyNumberFormat="1" applyFont="1" applyFill="1" applyBorder="1" applyAlignment="1" applyProtection="1">
      <alignment horizontal="center" vertical="center" wrapText="1"/>
    </xf>
    <xf numFmtId="167" fontId="41" fillId="0" borderId="46" xfId="41" applyNumberFormat="1" applyFont="1" applyFill="1" applyBorder="1" applyAlignment="1" applyProtection="1">
      <alignment horizontal="center" vertical="center" wrapText="1"/>
    </xf>
    <xf numFmtId="167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12" xfId="41" applyNumberFormat="1" applyFont="1" applyFill="1" applyBorder="1" applyAlignment="1" applyProtection="1">
      <alignment vertical="center" wrapText="1"/>
      <protection locked="0"/>
    </xf>
    <xf numFmtId="1" fontId="52" fillId="0" borderId="12" xfId="41" applyNumberFormat="1" applyFont="1" applyFill="1" applyBorder="1" applyAlignment="1" applyProtection="1">
      <alignment vertical="center" wrapText="1"/>
      <protection locked="0"/>
    </xf>
    <xf numFmtId="167" fontId="52" fillId="0" borderId="11" xfId="41" applyNumberFormat="1" applyFont="1" applyFill="1" applyBorder="1" applyAlignment="1" applyProtection="1">
      <alignment vertical="center" wrapText="1"/>
    </xf>
    <xf numFmtId="167" fontId="5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54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7" fontId="40" fillId="0" borderId="31" xfId="41" applyNumberFormat="1" applyFont="1" applyFill="1" applyBorder="1" applyAlignment="1">
      <alignment horizontal="left" vertical="center" wrapText="1"/>
    </xf>
    <xf numFmtId="167" fontId="40" fillId="0" borderId="32" xfId="41" applyNumberFormat="1" applyFont="1" applyFill="1" applyBorder="1" applyAlignment="1">
      <alignment vertical="center" wrapText="1"/>
    </xf>
    <xf numFmtId="167" fontId="40" fillId="18" borderId="32" xfId="41" applyNumberFormat="1" applyFont="1" applyFill="1" applyBorder="1" applyAlignment="1" applyProtection="1">
      <alignment vertical="center" wrapText="1"/>
    </xf>
    <xf numFmtId="167" fontId="40" fillId="0" borderId="29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52" fillId="0" borderId="12" xfId="41" applyNumberFormat="1" applyFont="1" applyFill="1" applyBorder="1" applyAlignment="1" applyProtection="1">
      <alignment horizontal="right" vertical="center" wrapText="1"/>
      <protection locked="0"/>
    </xf>
    <xf numFmtId="167" fontId="54" fillId="0" borderId="38" xfId="41" applyNumberFormat="1" applyFont="1" applyFill="1" applyBorder="1" applyAlignment="1" applyProtection="1">
      <alignment horizontal="left" vertical="center" wrapText="1" indent="1"/>
      <protection locked="0"/>
    </xf>
    <xf numFmtId="167" fontId="52" fillId="0" borderId="40" xfId="41" applyNumberFormat="1" applyFont="1" applyFill="1" applyBorder="1" applyAlignment="1" applyProtection="1">
      <alignment vertical="center" wrapText="1"/>
      <protection locked="0"/>
    </xf>
    <xf numFmtId="1" fontId="52" fillId="0" borderId="40" xfId="41" applyNumberFormat="1" applyFont="1" applyFill="1" applyBorder="1" applyAlignment="1" applyProtection="1">
      <alignment vertical="center" wrapText="1"/>
      <protection locked="0"/>
    </xf>
    <xf numFmtId="167" fontId="52" fillId="0" borderId="41" xfId="41" applyNumberFormat="1" applyFont="1" applyFill="1" applyBorder="1" applyAlignment="1" applyProtection="1">
      <alignment vertical="center" wrapText="1"/>
    </xf>
    <xf numFmtId="0" fontId="4" fillId="0" borderId="10" xfId="40" applyFont="1" applyBorder="1" applyAlignment="1">
      <alignment horizontal="center" vertical="center"/>
    </xf>
    <xf numFmtId="0" fontId="55" fillId="0" borderId="0" xfId="40" applyFont="1" applyAlignment="1">
      <alignment vertical="center"/>
    </xf>
    <xf numFmtId="165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5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169" fontId="14" fillId="0" borderId="0" xfId="26" applyNumberFormat="1" applyFont="1"/>
    <xf numFmtId="165" fontId="6" fillId="0" borderId="0" xfId="40" applyNumberFormat="1" applyFont="1" applyAlignment="1">
      <alignment vertical="center"/>
    </xf>
    <xf numFmtId="0" fontId="0" fillId="0" borderId="10" xfId="0" applyBorder="1"/>
    <xf numFmtId="0" fontId="0" fillId="0" borderId="49" xfId="0" applyBorder="1"/>
    <xf numFmtId="0" fontId="13" fillId="0" borderId="0" xfId="42" applyFont="1" applyBorder="1" applyAlignment="1">
      <alignment vertical="center"/>
    </xf>
    <xf numFmtId="165" fontId="12" fillId="0" borderId="0" xfId="42" applyNumberFormat="1" applyFont="1" applyBorder="1" applyAlignment="1">
      <alignment vertical="center"/>
    </xf>
    <xf numFmtId="165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42" xfId="0" applyBorder="1"/>
    <xf numFmtId="0" fontId="7" fillId="0" borderId="0" xfId="40" applyFont="1" applyBorder="1" applyAlignment="1">
      <alignment horizontal="right"/>
    </xf>
    <xf numFmtId="165" fontId="4" fillId="0" borderId="11" xfId="40" applyNumberFormat="1" applyFont="1" applyBorder="1" applyAlignment="1">
      <alignment horizontal="center"/>
    </xf>
    <xf numFmtId="0" fontId="4" fillId="0" borderId="49" xfId="40" applyFont="1" applyBorder="1" applyAlignment="1">
      <alignment horizontal="center" vertical="center"/>
    </xf>
    <xf numFmtId="0" fontId="4" fillId="0" borderId="22" xfId="40" applyFont="1" applyBorder="1" applyAlignment="1">
      <alignment vertical="center"/>
    </xf>
    <xf numFmtId="165" fontId="4" fillId="0" borderId="25" xfId="40" applyNumberFormat="1" applyFont="1" applyBorder="1" applyAlignment="1">
      <alignment horizontal="center"/>
    </xf>
    <xf numFmtId="14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5" fontId="14" fillId="0" borderId="0" xfId="0" applyNumberFormat="1" applyFont="1"/>
    <xf numFmtId="165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5" fontId="5" fillId="0" borderId="0" xfId="27" applyNumberFormat="1" applyFont="1" applyFill="1" applyBorder="1" applyAlignment="1">
      <alignment horizontal="center"/>
    </xf>
    <xf numFmtId="165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5" fontId="4" fillId="0" borderId="0" xfId="40" applyNumberFormat="1" applyFont="1" applyBorder="1" applyAlignment="1">
      <alignment horizontal="center"/>
    </xf>
    <xf numFmtId="0" fontId="58" fillId="0" borderId="0" xfId="0" applyFont="1"/>
    <xf numFmtId="165" fontId="5" fillId="0" borderId="12" xfId="27" applyNumberFormat="1" applyFont="1" applyFill="1" applyBorder="1" applyAlignment="1">
      <alignment horizontal="center"/>
    </xf>
    <xf numFmtId="165" fontId="4" fillId="0" borderId="12" xfId="27" applyNumberFormat="1" applyFont="1" applyFill="1" applyBorder="1" applyAlignment="1">
      <alignment horizontal="center"/>
    </xf>
    <xf numFmtId="0" fontId="58" fillId="0" borderId="10" xfId="0" applyFont="1" applyBorder="1"/>
    <xf numFmtId="0" fontId="0" fillId="18" borderId="10" xfId="0" applyFill="1" applyBorder="1"/>
    <xf numFmtId="165" fontId="5" fillId="0" borderId="43" xfId="27" applyNumberFormat="1" applyFont="1" applyFill="1" applyBorder="1" applyAlignment="1">
      <alignment horizontal="center"/>
    </xf>
    <xf numFmtId="165" fontId="5" fillId="0" borderId="0" xfId="40" applyNumberFormat="1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9" fillId="0" borderId="0" xfId="40" applyFont="1" applyAlignment="1">
      <alignment vertical="center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167" fontId="18" fillId="0" borderId="0" xfId="41" applyNumberFormat="1" applyFont="1" applyFill="1" applyAlignment="1">
      <alignment horizontal="right" wrapText="1"/>
    </xf>
    <xf numFmtId="167" fontId="31" fillId="0" borderId="0" xfId="41" applyNumberFormat="1" applyFont="1" applyFill="1" applyAlignment="1">
      <alignment horizontal="right" vertical="center"/>
    </xf>
    <xf numFmtId="43" fontId="14" fillId="0" borderId="0" xfId="26" applyNumberFormat="1" applyFont="1" applyAlignment="1"/>
    <xf numFmtId="43" fontId="14" fillId="0" borderId="0" xfId="26" applyNumberFormat="1" applyFont="1"/>
    <xf numFmtId="13" fontId="14" fillId="0" borderId="0" xfId="26" applyNumberFormat="1" applyFont="1"/>
    <xf numFmtId="167" fontId="39" fillId="0" borderId="0" xfId="41" applyNumberFormat="1" applyFont="1" applyFill="1" applyAlignment="1">
      <alignment horizontal="right"/>
    </xf>
    <xf numFmtId="167" fontId="31" fillId="0" borderId="0" xfId="41" applyNumberFormat="1" applyFont="1" applyFill="1" applyAlignment="1">
      <alignment horizontal="right" vertical="center" wrapText="1"/>
    </xf>
    <xf numFmtId="167" fontId="31" fillId="0" borderId="0" xfId="41" applyNumberFormat="1" applyFont="1" applyFill="1" applyAlignment="1">
      <alignment vertical="center" wrapText="1"/>
    </xf>
    <xf numFmtId="169" fontId="11" fillId="0" borderId="0" xfId="26" applyNumberFormat="1" applyFont="1"/>
    <xf numFmtId="169" fontId="5" fillId="0" borderId="32" xfId="26" applyNumberFormat="1" applyFont="1" applyBorder="1" applyAlignment="1">
      <alignment horizontal="center"/>
    </xf>
    <xf numFmtId="169" fontId="5" fillId="0" borderId="29" xfId="26" applyNumberFormat="1" applyFont="1" applyBorder="1" applyAlignment="1">
      <alignment horizontal="center"/>
    </xf>
    <xf numFmtId="169" fontId="5" fillId="0" borderId="44" xfId="26" applyNumberFormat="1" applyFont="1" applyBorder="1"/>
    <xf numFmtId="169" fontId="5" fillId="0" borderId="43" xfId="26" applyNumberFormat="1" applyFont="1" applyBorder="1"/>
    <xf numFmtId="169" fontId="5" fillId="0" borderId="12" xfId="26" applyNumberFormat="1" applyFont="1" applyBorder="1"/>
    <xf numFmtId="169" fontId="5" fillId="0" borderId="36" xfId="26" applyNumberFormat="1" applyFont="1" applyBorder="1"/>
    <xf numFmtId="169" fontId="5" fillId="0" borderId="41" xfId="26" applyNumberFormat="1" applyFont="1" applyBorder="1"/>
    <xf numFmtId="169" fontId="5" fillId="0" borderId="32" xfId="26" applyNumberFormat="1" applyFont="1" applyBorder="1"/>
    <xf numFmtId="169" fontId="5" fillId="0" borderId="29" xfId="26" applyNumberFormat="1" applyFont="1" applyBorder="1"/>
    <xf numFmtId="169" fontId="5" fillId="0" borderId="0" xfId="26" applyNumberFormat="1" applyFont="1"/>
    <xf numFmtId="0" fontId="2" fillId="0" borderId="0" xfId="42" applyFont="1" applyAlignment="1">
      <alignment vertical="center"/>
    </xf>
    <xf numFmtId="0" fontId="14" fillId="0" borderId="17" xfId="0" quotePrefix="1" applyFont="1" applyBorder="1" applyAlignment="1">
      <alignment horizontal="center" vertical="center"/>
    </xf>
    <xf numFmtId="167" fontId="31" fillId="0" borderId="0" xfId="41" applyNumberFormat="1" applyFont="1" applyFill="1" applyBorder="1" applyAlignment="1">
      <alignment vertical="center" wrapText="1"/>
    </xf>
    <xf numFmtId="167" fontId="53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7" fontId="31" fillId="0" borderId="0" xfId="41" applyNumberFormat="1" applyFill="1" applyBorder="1" applyAlignment="1">
      <alignment vertical="center" wrapText="1"/>
    </xf>
    <xf numFmtId="0" fontId="31" fillId="0" borderId="0" xfId="41" applyNumberFormat="1" applyFill="1" applyBorder="1" applyAlignment="1">
      <alignment horizontal="center" vertical="center" wrapText="1"/>
    </xf>
    <xf numFmtId="167" fontId="31" fillId="0" borderId="0" xfId="41" applyNumberFormat="1" applyFill="1" applyBorder="1" applyAlignment="1">
      <alignment horizontal="center" vertical="center" wrapText="1"/>
    </xf>
    <xf numFmtId="0" fontId="31" fillId="0" borderId="0" xfId="41" applyNumberFormat="1" applyFill="1" applyBorder="1" applyAlignment="1">
      <alignment vertical="center" wrapText="1"/>
    </xf>
    <xf numFmtId="0" fontId="31" fillId="0" borderId="0" xfId="41" applyNumberFormat="1" applyFont="1" applyFill="1" applyBorder="1" applyAlignment="1">
      <alignment horizontal="center" vertical="center" wrapText="1"/>
    </xf>
    <xf numFmtId="0" fontId="31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0" fontId="5" fillId="0" borderId="12" xfId="40" applyFont="1" applyBorder="1" applyAlignment="1">
      <alignment horizontal="left" vertical="center"/>
    </xf>
    <xf numFmtId="0" fontId="12" fillId="18" borderId="12" xfId="40" applyFont="1" applyFill="1" applyBorder="1" applyAlignment="1">
      <alignment horizontal="center" vertical="center" wrapText="1"/>
    </xf>
    <xf numFmtId="49" fontId="5" fillId="0" borderId="12" xfId="40" applyNumberFormat="1" applyFont="1" applyBorder="1" applyAlignment="1">
      <alignment horizontal="right"/>
    </xf>
    <xf numFmtId="165" fontId="9" fillId="0" borderId="12" xfId="27" applyNumberFormat="1" applyFont="1" applyFill="1" applyBorder="1" applyAlignment="1">
      <alignment horizontal="center"/>
    </xf>
    <xf numFmtId="0" fontId="13" fillId="0" borderId="42" xfId="40" applyFont="1" applyBorder="1" applyAlignment="1">
      <alignment horizontal="center" vertical="center" wrapText="1"/>
    </xf>
    <xf numFmtId="0" fontId="6" fillId="0" borderId="11" xfId="40" applyFont="1" applyBorder="1" applyAlignment="1">
      <alignment vertical="center"/>
    </xf>
    <xf numFmtId="169" fontId="6" fillId="0" borderId="11" xfId="26" applyNumberFormat="1" applyFont="1" applyBorder="1" applyAlignment="1">
      <alignment vertical="center"/>
    </xf>
    <xf numFmtId="169" fontId="55" fillId="0" borderId="11" xfId="26" applyNumberFormat="1" applyFont="1" applyBorder="1" applyAlignment="1">
      <alignment vertical="center"/>
    </xf>
    <xf numFmtId="0" fontId="12" fillId="18" borderId="21" xfId="40" applyFont="1" applyFill="1" applyBorder="1" applyAlignment="1">
      <alignment horizontal="center" vertical="center" wrapText="1"/>
    </xf>
    <xf numFmtId="165" fontId="5" fillId="0" borderId="21" xfId="40" applyNumberFormat="1" applyFont="1" applyBorder="1" applyAlignment="1">
      <alignment horizontal="center" vertical="center"/>
    </xf>
    <xf numFmtId="165" fontId="5" fillId="0" borderId="21" xfId="27" applyNumberFormat="1" applyFont="1" applyBorder="1" applyAlignment="1">
      <alignment horizontal="center"/>
    </xf>
    <xf numFmtId="165" fontId="7" fillId="0" borderId="21" xfId="27" applyNumberFormat="1" applyFont="1" applyBorder="1" applyAlignment="1">
      <alignment horizontal="center"/>
    </xf>
    <xf numFmtId="165" fontId="4" fillId="0" borderId="21" xfId="27" applyNumberFormat="1" applyFont="1" applyBorder="1" applyAlignment="1">
      <alignment horizontal="center"/>
    </xf>
    <xf numFmtId="165" fontId="5" fillId="18" borderId="21" xfId="27" applyNumberFormat="1" applyFont="1" applyFill="1" applyBorder="1" applyAlignment="1">
      <alignment horizontal="center"/>
    </xf>
    <xf numFmtId="165" fontId="9" fillId="0" borderId="21" xfId="27" applyNumberFormat="1" applyFont="1" applyBorder="1" applyAlignment="1">
      <alignment horizontal="center"/>
    </xf>
    <xf numFmtId="0" fontId="12" fillId="18" borderId="50" xfId="40" applyFont="1" applyFill="1" applyBorder="1" applyAlignment="1">
      <alignment horizontal="center" vertical="center" wrapText="1"/>
    </xf>
    <xf numFmtId="169" fontId="5" fillId="0" borderId="11" xfId="26" applyNumberFormat="1" applyFont="1" applyBorder="1" applyAlignment="1">
      <alignment horizontal="center" vertical="center"/>
    </xf>
    <xf numFmtId="17" fontId="11" fillId="0" borderId="0" xfId="0" applyNumberFormat="1" applyFont="1"/>
    <xf numFmtId="169" fontId="6" fillId="0" borderId="17" xfId="26" applyNumberFormat="1" applyFont="1" applyBorder="1" applyAlignment="1">
      <alignment vertical="center"/>
    </xf>
    <xf numFmtId="169" fontId="14" fillId="0" borderId="0" xfId="26" applyNumberFormat="1" applyFont="1" applyAlignment="1"/>
    <xf numFmtId="169" fontId="14" fillId="0" borderId="12" xfId="26" applyNumberFormat="1" applyFont="1" applyBorder="1"/>
    <xf numFmtId="165" fontId="5" fillId="0" borderId="17" xfId="40" applyNumberFormat="1" applyFont="1" applyBorder="1" applyAlignment="1">
      <alignment horizontal="center" vertical="center"/>
    </xf>
    <xf numFmtId="165" fontId="5" fillId="0" borderId="16" xfId="40" applyNumberFormat="1" applyFont="1" applyBorder="1" applyAlignment="1">
      <alignment horizontal="center" vertical="center"/>
    </xf>
    <xf numFmtId="165" fontId="5" fillId="0" borderId="17" xfId="27" applyNumberFormat="1" applyFont="1" applyBorder="1" applyAlignment="1">
      <alignment horizontal="center"/>
    </xf>
    <xf numFmtId="165" fontId="4" fillId="0" borderId="17" xfId="27" applyNumberFormat="1" applyFont="1" applyBorder="1" applyAlignment="1">
      <alignment horizontal="center"/>
    </xf>
    <xf numFmtId="165" fontId="4" fillId="0" borderId="51" xfId="27" applyNumberFormat="1" applyFont="1" applyBorder="1" applyAlignment="1">
      <alignment horizontal="center"/>
    </xf>
    <xf numFmtId="165" fontId="7" fillId="0" borderId="12" xfId="27" applyNumberFormat="1" applyFont="1" applyBorder="1" applyAlignment="1">
      <alignment horizontal="center"/>
    </xf>
    <xf numFmtId="165" fontId="4" fillId="0" borderId="12" xfId="27" applyNumberFormat="1" applyFont="1" applyBorder="1" applyAlignment="1">
      <alignment horizontal="center"/>
    </xf>
    <xf numFmtId="165" fontId="5" fillId="0" borderId="12" xfId="27" applyNumberFormat="1" applyFont="1" applyBorder="1" applyAlignment="1">
      <alignment horizont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21" xfId="27" applyNumberFormat="1" applyFont="1" applyBorder="1" applyAlignment="1">
      <alignment horizontal="center"/>
    </xf>
    <xf numFmtId="3" fontId="5" fillId="0" borderId="12" xfId="27" applyNumberFormat="1" applyFont="1" applyFill="1" applyBorder="1" applyAlignment="1">
      <alignment horizontal="center"/>
    </xf>
    <xf numFmtId="3" fontId="5" fillId="0" borderId="12" xfId="27" applyNumberFormat="1" applyFont="1" applyBorder="1" applyAlignment="1">
      <alignment horizontal="center"/>
    </xf>
    <xf numFmtId="3" fontId="7" fillId="0" borderId="17" xfId="27" applyNumberFormat="1" applyFont="1" applyBorder="1" applyAlignment="1">
      <alignment horizontal="center"/>
    </xf>
    <xf numFmtId="3" fontId="7" fillId="0" borderId="12" xfId="27" applyNumberFormat="1" applyFont="1" applyFill="1" applyBorder="1" applyAlignment="1">
      <alignment horizontal="center"/>
    </xf>
    <xf numFmtId="3" fontId="4" fillId="0" borderId="12" xfId="27" applyNumberFormat="1" applyFont="1" applyBorder="1" applyAlignment="1">
      <alignment horizontal="center"/>
    </xf>
    <xf numFmtId="3" fontId="5" fillId="0" borderId="17" xfId="27" applyNumberFormat="1" applyFont="1" applyBorder="1" applyAlignment="1">
      <alignment horizontal="center"/>
    </xf>
    <xf numFmtId="3" fontId="4" fillId="0" borderId="17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165" fontId="9" fillId="0" borderId="12" xfId="27" applyNumberFormat="1" applyFont="1" applyBorder="1" applyAlignment="1">
      <alignment horizontal="center"/>
    </xf>
    <xf numFmtId="165" fontId="4" fillId="0" borderId="51" xfId="40" applyNumberFormat="1" applyFont="1" applyBorder="1" applyAlignment="1">
      <alignment horizontal="center"/>
    </xf>
    <xf numFmtId="165" fontId="4" fillId="0" borderId="12" xfId="40" applyNumberFormat="1" applyFont="1" applyBorder="1" applyAlignment="1">
      <alignment horizontal="center"/>
    </xf>
    <xf numFmtId="0" fontId="63" fillId="0" borderId="0" xfId="0" applyFont="1"/>
    <xf numFmtId="167" fontId="54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2" xfId="0" quotePrefix="1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18" borderId="16" xfId="0" applyFont="1" applyFill="1" applyBorder="1" applyAlignment="1">
      <alignment horizontal="center"/>
    </xf>
    <xf numFmtId="0" fontId="14" fillId="18" borderId="17" xfId="0" applyFont="1" applyFill="1" applyBorder="1" applyAlignment="1">
      <alignment horizontal="center"/>
    </xf>
    <xf numFmtId="0" fontId="14" fillId="0" borderId="14" xfId="0" applyFont="1" applyBorder="1" applyAlignment="1"/>
    <xf numFmtId="0" fontId="14" fillId="0" borderId="0" xfId="0" applyFont="1" applyBorder="1" applyAlignment="1"/>
    <xf numFmtId="165" fontId="4" fillId="0" borderId="16" xfId="27" applyNumberFormat="1" applyFont="1" applyBorder="1" applyAlignment="1">
      <alignment horizontal="center"/>
    </xf>
    <xf numFmtId="165" fontId="5" fillId="18" borderId="16" xfId="27" applyNumberFormat="1" applyFont="1" applyFill="1" applyBorder="1" applyAlignment="1">
      <alignment horizontal="center"/>
    </xf>
    <xf numFmtId="165" fontId="5" fillId="19" borderId="52" xfId="27" applyNumberFormat="1" applyFont="1" applyFill="1" applyBorder="1" applyAlignment="1">
      <alignment horizontal="center"/>
    </xf>
    <xf numFmtId="165" fontId="5" fillId="0" borderId="20" xfId="27" applyNumberFormat="1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165" fontId="5" fillId="19" borderId="21" xfId="27" applyNumberFormat="1" applyFont="1" applyFill="1" applyBorder="1" applyAlignment="1">
      <alignment horizontal="center"/>
    </xf>
    <xf numFmtId="165" fontId="4" fillId="0" borderId="11" xfId="27" applyNumberFormat="1" applyFont="1" applyBorder="1" applyAlignment="1">
      <alignment horizontal="center"/>
    </xf>
    <xf numFmtId="165" fontId="7" fillId="0" borderId="12" xfId="27" applyNumberFormat="1" applyFont="1" applyFill="1" applyBorder="1" applyAlignment="1">
      <alignment horizontal="center"/>
    </xf>
    <xf numFmtId="165" fontId="5" fillId="0" borderId="11" xfId="40" applyNumberFormat="1" applyFont="1" applyBorder="1" applyAlignment="1">
      <alignment horizontal="center" vertical="center"/>
    </xf>
    <xf numFmtId="165" fontId="5" fillId="0" borderId="11" xfId="27" applyNumberFormat="1" applyFont="1" applyBorder="1" applyAlignment="1">
      <alignment horizontal="center"/>
    </xf>
    <xf numFmtId="165" fontId="7" fillId="0" borderId="11" xfId="27" applyNumberFormat="1" applyFont="1" applyBorder="1" applyAlignment="1">
      <alignment horizontal="center"/>
    </xf>
    <xf numFmtId="165" fontId="7" fillId="0" borderId="16" xfId="27" applyNumberFormat="1" applyFont="1" applyBorder="1" applyAlignment="1">
      <alignment horizontal="center"/>
    </xf>
    <xf numFmtId="169" fontId="59" fillId="0" borderId="11" xfId="26" applyNumberFormat="1" applyFont="1" applyBorder="1" applyAlignment="1">
      <alignment vertical="center"/>
    </xf>
    <xf numFmtId="165" fontId="5" fillId="0" borderId="21" xfId="27" applyNumberFormat="1" applyFont="1" applyFill="1" applyBorder="1" applyAlignment="1">
      <alignment horizontal="center"/>
    </xf>
    <xf numFmtId="0" fontId="13" fillId="0" borderId="47" xfId="40" applyFont="1" applyBorder="1" applyAlignment="1">
      <alignment horizontal="center" vertical="center" wrapText="1"/>
    </xf>
    <xf numFmtId="0" fontId="12" fillId="20" borderId="20" xfId="40" applyFont="1" applyFill="1" applyBorder="1" applyAlignment="1">
      <alignment horizontal="center" vertical="center" wrapText="1"/>
    </xf>
    <xf numFmtId="165" fontId="4" fillId="21" borderId="16" xfId="27" applyNumberFormat="1" applyFont="1" applyFill="1" applyBorder="1" applyAlignment="1">
      <alignment horizontal="center"/>
    </xf>
    <xf numFmtId="165" fontId="4" fillId="21" borderId="12" xfId="27" applyNumberFormat="1" applyFont="1" applyFill="1" applyBorder="1" applyAlignment="1">
      <alignment horizontal="center"/>
    </xf>
    <xf numFmtId="165" fontId="5" fillId="20" borderId="12" xfId="27" applyNumberFormat="1" applyFont="1" applyFill="1" applyBorder="1" applyAlignment="1">
      <alignment horizontal="center"/>
    </xf>
    <xf numFmtId="165" fontId="5" fillId="20" borderId="20" xfId="27" applyNumberFormat="1" applyFont="1" applyFill="1" applyBorder="1" applyAlignment="1">
      <alignment horizontal="center"/>
    </xf>
    <xf numFmtId="3" fontId="4" fillId="21" borderId="12" xfId="27" applyNumberFormat="1" applyFont="1" applyFill="1" applyBorder="1" applyAlignment="1">
      <alignment horizontal="center"/>
    </xf>
    <xf numFmtId="3" fontId="4" fillId="21" borderId="17" xfId="27" applyNumberFormat="1" applyFont="1" applyFill="1" applyBorder="1" applyAlignment="1">
      <alignment horizontal="center"/>
    </xf>
    <xf numFmtId="0" fontId="4" fillId="22" borderId="10" xfId="40" applyFont="1" applyFill="1" applyBorder="1" applyAlignment="1">
      <alignment horizontal="center" vertical="center"/>
    </xf>
    <xf numFmtId="165" fontId="4" fillId="22" borderId="12" xfId="40" applyNumberFormat="1" applyFont="1" applyFill="1" applyBorder="1" applyAlignment="1">
      <alignment horizontal="center"/>
    </xf>
    <xf numFmtId="0" fontId="4" fillId="22" borderId="49" xfId="40" applyFont="1" applyFill="1" applyBorder="1" applyAlignment="1">
      <alignment horizontal="center" vertical="center"/>
    </xf>
    <xf numFmtId="0" fontId="4" fillId="22" borderId="22" xfId="40" applyFont="1" applyFill="1" applyBorder="1" applyAlignment="1">
      <alignment vertical="center"/>
    </xf>
    <xf numFmtId="165" fontId="4" fillId="22" borderId="22" xfId="40" applyNumberFormat="1" applyFont="1" applyFill="1" applyBorder="1" applyAlignment="1">
      <alignment horizontal="center"/>
    </xf>
    <xf numFmtId="0" fontId="14" fillId="23" borderId="17" xfId="0" quotePrefix="1" applyFont="1" applyFill="1" applyBorder="1" applyAlignment="1">
      <alignment horizontal="center" vertical="center"/>
    </xf>
    <xf numFmtId="165" fontId="11" fillId="0" borderId="40" xfId="42" applyNumberFormat="1" applyFont="1" applyFill="1" applyBorder="1" applyAlignment="1">
      <alignment vertical="center"/>
    </xf>
    <xf numFmtId="165" fontId="7" fillId="24" borderId="12" xfId="40" applyNumberFormat="1" applyFont="1" applyFill="1" applyBorder="1" applyAlignment="1">
      <alignment horizontal="center" vertical="center"/>
    </xf>
    <xf numFmtId="165" fontId="7" fillId="24" borderId="17" xfId="40" applyNumberFormat="1" applyFont="1" applyFill="1" applyBorder="1" applyAlignment="1">
      <alignment horizontal="center" vertical="center"/>
    </xf>
    <xf numFmtId="165" fontId="7" fillId="24" borderId="12" xfId="27" applyNumberFormat="1" applyFont="1" applyFill="1" applyBorder="1" applyAlignment="1">
      <alignment horizontal="center"/>
    </xf>
    <xf numFmtId="165" fontId="7" fillId="24" borderId="21" xfId="27" applyNumberFormat="1" applyFont="1" applyFill="1" applyBorder="1" applyAlignment="1">
      <alignment horizontal="center"/>
    </xf>
    <xf numFmtId="3" fontId="7" fillId="24" borderId="12" xfId="27" applyNumberFormat="1" applyFont="1" applyFill="1" applyBorder="1" applyAlignment="1">
      <alignment horizontal="center"/>
    </xf>
    <xf numFmtId="3" fontId="7" fillId="24" borderId="17" xfId="27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6" xfId="40" applyFont="1" applyBorder="1" applyAlignment="1">
      <alignment horizontal="left"/>
    </xf>
    <xf numFmtId="0" fontId="0" fillId="0" borderId="16" xfId="0" applyBorder="1"/>
    <xf numFmtId="0" fontId="5" fillId="0" borderId="16" xfId="0" applyFont="1" applyBorder="1"/>
    <xf numFmtId="0" fontId="4" fillId="0" borderId="24" xfId="40" applyFont="1" applyBorder="1" applyAlignment="1">
      <alignment vertical="center"/>
    </xf>
    <xf numFmtId="165" fontId="5" fillId="0" borderId="51" xfId="27" applyNumberFormat="1" applyFont="1" applyBorder="1" applyAlignment="1">
      <alignment horizontal="center"/>
    </xf>
    <xf numFmtId="0" fontId="12" fillId="18" borderId="53" xfId="40" applyFont="1" applyFill="1" applyBorder="1" applyAlignment="1">
      <alignment horizontal="center" vertical="center" wrapText="1"/>
    </xf>
    <xf numFmtId="0" fontId="12" fillId="18" borderId="52" xfId="40" applyFont="1" applyFill="1" applyBorder="1" applyAlignment="1">
      <alignment horizontal="center" vertical="center" wrapText="1"/>
    </xf>
    <xf numFmtId="0" fontId="12" fillId="18" borderId="36" xfId="40" applyFont="1" applyFill="1" applyBorder="1" applyAlignment="1">
      <alignment horizontal="center" vertical="center" wrapText="1"/>
    </xf>
    <xf numFmtId="165" fontId="5" fillId="19" borderId="12" xfId="27" applyNumberFormat="1" applyFont="1" applyFill="1" applyBorder="1" applyAlignment="1">
      <alignment horizontal="center"/>
    </xf>
    <xf numFmtId="165" fontId="5" fillId="0" borderId="42" xfId="40" applyNumberFormat="1" applyFont="1" applyBorder="1" applyAlignment="1">
      <alignment horizontal="center" vertical="center"/>
    </xf>
    <xf numFmtId="165" fontId="5" fillId="0" borderId="54" xfId="40" applyNumberFormat="1" applyFont="1" applyBorder="1" applyAlignment="1">
      <alignment horizontal="center" vertical="center"/>
    </xf>
    <xf numFmtId="165" fontId="5" fillId="0" borderId="50" xfId="27" applyNumberFormat="1" applyFont="1" applyFill="1" applyBorder="1" applyAlignment="1">
      <alignment horizontal="center"/>
    </xf>
    <xf numFmtId="165" fontId="5" fillId="0" borderId="10" xfId="40" applyNumberFormat="1" applyFont="1" applyBorder="1" applyAlignment="1">
      <alignment horizontal="center" vertical="center"/>
    </xf>
    <xf numFmtId="165" fontId="5" fillId="0" borderId="10" xfId="27" applyNumberFormat="1" applyFont="1" applyBorder="1" applyAlignment="1">
      <alignment horizontal="center"/>
    </xf>
    <xf numFmtId="165" fontId="7" fillId="0" borderId="10" xfId="27" applyNumberFormat="1" applyFont="1" applyBorder="1" applyAlignment="1">
      <alignment horizontal="center"/>
    </xf>
    <xf numFmtId="165" fontId="4" fillId="0" borderId="10" xfId="27" applyNumberFormat="1" applyFont="1" applyBorder="1" applyAlignment="1">
      <alignment horizontal="center"/>
    </xf>
    <xf numFmtId="165" fontId="5" fillId="18" borderId="10" xfId="27" applyNumberFormat="1" applyFont="1" applyFill="1" applyBorder="1" applyAlignment="1">
      <alignment horizontal="center"/>
    </xf>
    <xf numFmtId="165" fontId="9" fillId="0" borderId="11" xfId="27" applyNumberFormat="1" applyFont="1" applyFill="1" applyBorder="1" applyAlignment="1">
      <alignment horizontal="center"/>
    </xf>
    <xf numFmtId="165" fontId="9" fillId="0" borderId="10" xfId="27" applyNumberFormat="1" applyFont="1" applyBorder="1" applyAlignment="1">
      <alignment horizontal="center"/>
    </xf>
    <xf numFmtId="165" fontId="4" fillId="0" borderId="10" xfId="40" applyNumberFormat="1" applyFont="1" applyBorder="1" applyAlignment="1">
      <alignment horizontal="center"/>
    </xf>
    <xf numFmtId="165" fontId="4" fillId="0" borderId="49" xfId="40" applyNumberFormat="1" applyFont="1" applyBorder="1" applyAlignment="1">
      <alignment horizontal="center"/>
    </xf>
    <xf numFmtId="165" fontId="5" fillId="0" borderId="55" xfId="27" applyNumberFormat="1" applyFont="1" applyFill="1" applyBorder="1" applyAlignment="1">
      <alignment horizontal="center"/>
    </xf>
    <xf numFmtId="0" fontId="12" fillId="18" borderId="37" xfId="40" applyFont="1" applyFill="1" applyBorder="1" applyAlignment="1">
      <alignment horizontal="center" vertical="center" wrapText="1"/>
    </xf>
    <xf numFmtId="165" fontId="5" fillId="0" borderId="42" xfId="27" applyNumberFormat="1" applyFont="1" applyFill="1" applyBorder="1" applyAlignment="1">
      <alignment horizontal="center"/>
    </xf>
    <xf numFmtId="165" fontId="5" fillId="0" borderId="56" xfId="40" applyNumberFormat="1" applyFont="1" applyBorder="1" applyAlignment="1">
      <alignment horizontal="center" vertical="center"/>
    </xf>
    <xf numFmtId="165" fontId="5" fillId="0" borderId="10" xfId="27" applyNumberFormat="1" applyFont="1" applyFill="1" applyBorder="1" applyAlignment="1">
      <alignment horizontal="center"/>
    </xf>
    <xf numFmtId="165" fontId="5" fillId="0" borderId="34" xfId="27" applyNumberFormat="1" applyFont="1" applyFill="1" applyBorder="1" applyAlignment="1">
      <alignment horizontal="center"/>
    </xf>
    <xf numFmtId="165" fontId="5" fillId="0" borderId="57" xfId="40" applyNumberFormat="1" applyFont="1" applyBorder="1" applyAlignment="1">
      <alignment horizontal="center" vertical="center"/>
    </xf>
    <xf numFmtId="165" fontId="5" fillId="0" borderId="47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left"/>
    </xf>
    <xf numFmtId="0" fontId="4" fillId="0" borderId="0" xfId="40" applyFont="1" applyAlignment="1">
      <alignment horizontal="center"/>
    </xf>
    <xf numFmtId="0" fontId="7" fillId="0" borderId="0" xfId="40" applyFont="1" applyAlignment="1">
      <alignment horizontal="center"/>
    </xf>
    <xf numFmtId="165" fontId="9" fillId="0" borderId="21" xfId="27" applyNumberFormat="1" applyFont="1" applyFill="1" applyBorder="1" applyAlignment="1">
      <alignment horizontal="center"/>
    </xf>
    <xf numFmtId="169" fontId="16" fillId="0" borderId="0" xfId="26" applyNumberFormat="1" applyFont="1" applyAlignment="1">
      <alignment horizontal="center"/>
    </xf>
    <xf numFmtId="169" fontId="16" fillId="0" borderId="0" xfId="26" applyNumberFormat="1" applyFont="1" applyAlignment="1">
      <alignment horizontal="center" vertical="center"/>
    </xf>
    <xf numFmtId="169" fontId="14" fillId="0" borderId="16" xfId="26" applyNumberFormat="1" applyFont="1" applyBorder="1" applyAlignment="1">
      <alignment horizontal="center"/>
    </xf>
    <xf numFmtId="169" fontId="14" fillId="0" borderId="17" xfId="26" applyNumberFormat="1" applyFont="1" applyBorder="1" applyAlignment="1">
      <alignment horizontal="center"/>
    </xf>
    <xf numFmtId="169" fontId="14" fillId="0" borderId="21" xfId="26" applyNumberFormat="1" applyFont="1" applyBorder="1" applyAlignment="1">
      <alignment horizontal="center"/>
    </xf>
    <xf numFmtId="167" fontId="41" fillId="0" borderId="58" xfId="41" applyNumberFormat="1" applyFont="1" applyFill="1" applyBorder="1" applyAlignment="1" applyProtection="1">
      <alignment horizontal="center" vertical="center" wrapText="1"/>
    </xf>
    <xf numFmtId="167" fontId="52" fillId="0" borderId="16" xfId="41" applyNumberFormat="1" applyFont="1" applyFill="1" applyBorder="1" applyAlignment="1" applyProtection="1">
      <alignment vertical="center" wrapText="1"/>
      <protection locked="0"/>
    </xf>
    <xf numFmtId="167" fontId="52" fillId="0" borderId="14" xfId="41" applyNumberFormat="1" applyFont="1" applyFill="1" applyBorder="1" applyAlignment="1" applyProtection="1">
      <alignment vertical="center" wrapText="1"/>
      <protection locked="0"/>
    </xf>
    <xf numFmtId="3" fontId="3" fillId="0" borderId="0" xfId="42" applyNumberFormat="1" applyFont="1" applyAlignment="1">
      <alignment vertical="center"/>
    </xf>
    <xf numFmtId="0" fontId="12" fillId="20" borderId="18" xfId="40" applyFont="1" applyFill="1" applyBorder="1" applyAlignment="1">
      <alignment horizontal="center" vertical="center" wrapText="1"/>
    </xf>
    <xf numFmtId="165" fontId="5" fillId="0" borderId="16" xfId="27" applyNumberFormat="1" applyFont="1" applyFill="1" applyBorder="1" applyAlignment="1">
      <alignment horizontal="center"/>
    </xf>
    <xf numFmtId="165" fontId="7" fillId="24" borderId="16" xfId="40" applyNumberFormat="1" applyFont="1" applyFill="1" applyBorder="1" applyAlignment="1">
      <alignment horizontal="center" vertical="center"/>
    </xf>
    <xf numFmtId="165" fontId="7" fillId="24" borderId="16" xfId="27" applyNumberFormat="1" applyFont="1" applyFill="1" applyBorder="1" applyAlignment="1">
      <alignment horizontal="center"/>
    </xf>
    <xf numFmtId="165" fontId="5" fillId="18" borderId="17" xfId="27" applyNumberFormat="1" applyFont="1" applyFill="1" applyBorder="1" applyAlignment="1">
      <alignment horizontal="center"/>
    </xf>
    <xf numFmtId="165" fontId="5" fillId="20" borderId="16" xfId="27" applyNumberFormat="1" applyFont="1" applyFill="1" applyBorder="1" applyAlignment="1">
      <alignment horizontal="center"/>
    </xf>
    <xf numFmtId="3" fontId="5" fillId="0" borderId="16" xfId="27" applyNumberFormat="1" applyFont="1" applyFill="1" applyBorder="1" applyAlignment="1">
      <alignment horizontal="center"/>
    </xf>
    <xf numFmtId="3" fontId="7" fillId="24" borderId="16" xfId="27" applyNumberFormat="1" applyFont="1" applyFill="1" applyBorder="1" applyAlignment="1">
      <alignment horizontal="center"/>
    </xf>
    <xf numFmtId="3" fontId="7" fillId="0" borderId="16" xfId="27" applyNumberFormat="1" applyFont="1" applyFill="1" applyBorder="1" applyAlignment="1">
      <alignment horizontal="center"/>
    </xf>
    <xf numFmtId="3" fontId="4" fillId="21" borderId="16" xfId="27" applyNumberFormat="1" applyFont="1" applyFill="1" applyBorder="1" applyAlignment="1">
      <alignment horizontal="center"/>
    </xf>
    <xf numFmtId="165" fontId="5" fillId="0" borderId="16" xfId="27" applyNumberFormat="1" applyFont="1" applyBorder="1" applyAlignment="1">
      <alignment horizontal="center"/>
    </xf>
    <xf numFmtId="165" fontId="4" fillId="0" borderId="16" xfId="27" applyNumberFormat="1" applyFont="1" applyFill="1" applyBorder="1" applyAlignment="1">
      <alignment horizontal="center"/>
    </xf>
    <xf numFmtId="165" fontId="9" fillId="0" borderId="16" xfId="27" applyNumberFormat="1" applyFont="1" applyFill="1" applyBorder="1" applyAlignment="1">
      <alignment horizontal="center"/>
    </xf>
    <xf numFmtId="165" fontId="4" fillId="22" borderId="16" xfId="40" applyNumberFormat="1" applyFont="1" applyFill="1" applyBorder="1" applyAlignment="1">
      <alignment horizontal="center"/>
    </xf>
    <xf numFmtId="165" fontId="4" fillId="22" borderId="24" xfId="40" applyNumberFormat="1" applyFont="1" applyFill="1" applyBorder="1" applyAlignment="1">
      <alignment horizontal="center"/>
    </xf>
    <xf numFmtId="0" fontId="12" fillId="20" borderId="10" xfId="40" applyFont="1" applyFill="1" applyBorder="1" applyAlignment="1">
      <alignment horizontal="center" vertical="center" wrapText="1"/>
    </xf>
    <xf numFmtId="169" fontId="5" fillId="0" borderId="11" xfId="26" applyNumberFormat="1" applyFont="1" applyBorder="1"/>
    <xf numFmtId="165" fontId="7" fillId="24" borderId="10" xfId="40" applyNumberFormat="1" applyFont="1" applyFill="1" applyBorder="1" applyAlignment="1">
      <alignment horizontal="center" vertical="center"/>
    </xf>
    <xf numFmtId="165" fontId="7" fillId="24" borderId="11" xfId="40" applyNumberFormat="1" applyFont="1" applyFill="1" applyBorder="1" applyAlignment="1">
      <alignment horizontal="center" vertical="center"/>
    </xf>
    <xf numFmtId="165" fontId="7" fillId="24" borderId="10" xfId="27" applyNumberFormat="1" applyFont="1" applyFill="1" applyBorder="1" applyAlignment="1">
      <alignment horizontal="center"/>
    </xf>
    <xf numFmtId="165" fontId="7" fillId="24" borderId="11" xfId="27" applyNumberFormat="1" applyFont="1" applyFill="1" applyBorder="1" applyAlignment="1">
      <alignment horizontal="center"/>
    </xf>
    <xf numFmtId="165" fontId="4" fillId="21" borderId="10" xfId="27" applyNumberFormat="1" applyFont="1" applyFill="1" applyBorder="1" applyAlignment="1">
      <alignment horizontal="center"/>
    </xf>
    <xf numFmtId="165" fontId="4" fillId="21" borderId="11" xfId="27" applyNumberFormat="1" applyFont="1" applyFill="1" applyBorder="1" applyAlignment="1">
      <alignment horizontal="center"/>
    </xf>
    <xf numFmtId="165" fontId="5" fillId="20" borderId="10" xfId="27" applyNumberFormat="1" applyFont="1" applyFill="1" applyBorder="1" applyAlignment="1">
      <alignment horizontal="center"/>
    </xf>
    <xf numFmtId="165" fontId="5" fillId="20" borderId="11" xfId="27" applyNumberFormat="1" applyFont="1" applyFill="1" applyBorder="1" applyAlignment="1">
      <alignment horizontal="center"/>
    </xf>
    <xf numFmtId="3" fontId="5" fillId="0" borderId="10" xfId="40" applyNumberFormat="1" applyFont="1" applyBorder="1" applyAlignment="1">
      <alignment horizontal="center" vertical="center"/>
    </xf>
    <xf numFmtId="3" fontId="5" fillId="0" borderId="10" xfId="27" applyNumberFormat="1" applyFont="1" applyBorder="1" applyAlignment="1">
      <alignment horizontal="center"/>
    </xf>
    <xf numFmtId="3" fontId="7" fillId="24" borderId="10" xfId="27" applyNumberFormat="1" applyFont="1" applyFill="1" applyBorder="1" applyAlignment="1">
      <alignment horizontal="center"/>
    </xf>
    <xf numFmtId="3" fontId="7" fillId="24" borderId="11" xfId="27" applyNumberFormat="1" applyFont="1" applyFill="1" applyBorder="1" applyAlignment="1">
      <alignment horizontal="center"/>
    </xf>
    <xf numFmtId="3" fontId="5" fillId="0" borderId="11" xfId="27" applyNumberFormat="1" applyFont="1" applyBorder="1" applyAlignment="1">
      <alignment horizontal="center"/>
    </xf>
    <xf numFmtId="3" fontId="7" fillId="0" borderId="10" xfId="27" applyNumberFormat="1" applyFont="1" applyBorder="1" applyAlignment="1">
      <alignment horizontal="center"/>
    </xf>
    <xf numFmtId="3" fontId="4" fillId="21" borderId="10" xfId="27" applyNumberFormat="1" applyFont="1" applyFill="1" applyBorder="1" applyAlignment="1">
      <alignment horizontal="center"/>
    </xf>
    <xf numFmtId="3" fontId="4" fillId="21" borderId="11" xfId="27" applyNumberFormat="1" applyFont="1" applyFill="1" applyBorder="1" applyAlignment="1">
      <alignment horizontal="center"/>
    </xf>
    <xf numFmtId="165" fontId="7" fillId="24" borderId="21" xfId="40" applyNumberFormat="1" applyFont="1" applyFill="1" applyBorder="1" applyAlignment="1">
      <alignment horizontal="center" vertical="center"/>
    </xf>
    <xf numFmtId="165" fontId="4" fillId="21" borderId="17" xfId="27" applyNumberFormat="1" applyFont="1" applyFill="1" applyBorder="1" applyAlignment="1">
      <alignment horizontal="center"/>
    </xf>
    <xf numFmtId="165" fontId="5" fillId="20" borderId="21" xfId="27" applyNumberFormat="1" applyFont="1" applyFill="1" applyBorder="1" applyAlignment="1">
      <alignment horizontal="center"/>
    </xf>
    <xf numFmtId="3" fontId="7" fillId="24" borderId="21" xfId="27" applyNumberFormat="1" applyFont="1" applyFill="1" applyBorder="1" applyAlignment="1">
      <alignment horizontal="center"/>
    </xf>
    <xf numFmtId="3" fontId="7" fillId="0" borderId="21" xfId="27" applyNumberFormat="1" applyFont="1" applyBorder="1" applyAlignment="1">
      <alignment horizontal="center"/>
    </xf>
    <xf numFmtId="3" fontId="4" fillId="21" borderId="21" xfId="27" applyNumberFormat="1" applyFont="1" applyFill="1" applyBorder="1" applyAlignment="1">
      <alignment horizontal="center"/>
    </xf>
    <xf numFmtId="0" fontId="5" fillId="0" borderId="11" xfId="40" applyFont="1" applyBorder="1" applyAlignment="1">
      <alignment horizontal="left"/>
    </xf>
    <xf numFmtId="0" fontId="5" fillId="0" borderId="11" xfId="0" applyFont="1" applyBorder="1"/>
    <xf numFmtId="0" fontId="5" fillId="0" borderId="11" xfId="40" applyFont="1" applyFill="1" applyBorder="1" applyAlignment="1">
      <alignment horizontal="left"/>
    </xf>
    <xf numFmtId="0" fontId="4" fillId="22" borderId="25" xfId="40" applyFont="1" applyFill="1" applyBorder="1" applyAlignment="1">
      <alignment vertical="center"/>
    </xf>
    <xf numFmtId="0" fontId="6" fillId="0" borderId="0" xfId="40" applyFont="1" applyFill="1" applyAlignment="1">
      <alignment vertical="center"/>
    </xf>
    <xf numFmtId="165" fontId="4" fillId="26" borderId="10" xfId="40" applyNumberFormat="1" applyFont="1" applyFill="1" applyBorder="1" applyAlignment="1">
      <alignment horizontal="center"/>
    </xf>
    <xf numFmtId="165" fontId="4" fillId="26" borderId="12" xfId="40" applyNumberFormat="1" applyFont="1" applyFill="1" applyBorder="1" applyAlignment="1">
      <alignment horizontal="center"/>
    </xf>
    <xf numFmtId="165" fontId="4" fillId="26" borderId="11" xfId="40" applyNumberFormat="1" applyFont="1" applyFill="1" applyBorder="1" applyAlignment="1">
      <alignment horizontal="center"/>
    </xf>
    <xf numFmtId="165" fontId="4" fillId="26" borderId="49" xfId="40" applyNumberFormat="1" applyFont="1" applyFill="1" applyBorder="1" applyAlignment="1">
      <alignment horizontal="center"/>
    </xf>
    <xf numFmtId="165" fontId="4" fillId="26" borderId="22" xfId="40" applyNumberFormat="1" applyFont="1" applyFill="1" applyBorder="1" applyAlignment="1">
      <alignment horizontal="center"/>
    </xf>
    <xf numFmtId="165" fontId="4" fillId="26" borderId="25" xfId="40" applyNumberFormat="1" applyFont="1" applyFill="1" applyBorder="1" applyAlignment="1">
      <alignment horizontal="center"/>
    </xf>
    <xf numFmtId="165" fontId="4" fillId="26" borderId="21" xfId="40" applyNumberFormat="1" applyFont="1" applyFill="1" applyBorder="1" applyAlignment="1">
      <alignment horizontal="center"/>
    </xf>
    <xf numFmtId="165" fontId="4" fillId="26" borderId="59" xfId="40" applyNumberFormat="1" applyFont="1" applyFill="1" applyBorder="1" applyAlignment="1">
      <alignment horizontal="center"/>
    </xf>
    <xf numFmtId="0" fontId="0" fillId="27" borderId="12" xfId="0" applyFill="1" applyBorder="1"/>
    <xf numFmtId="169" fontId="11" fillId="27" borderId="11" xfId="26" applyNumberFormat="1" applyFont="1" applyFill="1" applyBorder="1"/>
    <xf numFmtId="0" fontId="58" fillId="0" borderId="12" xfId="0" applyFont="1" applyBorder="1"/>
    <xf numFmtId="0" fontId="13" fillId="0" borderId="12" xfId="40" applyFont="1" applyBorder="1" applyAlignment="1">
      <alignment horizontal="left" vertical="center"/>
    </xf>
    <xf numFmtId="0" fontId="13" fillId="0" borderId="12" xfId="40" applyFont="1" applyBorder="1" applyAlignment="1">
      <alignment horizontal="left" vertical="center" wrapText="1"/>
    </xf>
    <xf numFmtId="0" fontId="13" fillId="0" borderId="10" xfId="0" applyFont="1" applyBorder="1"/>
    <xf numFmtId="0" fontId="12" fillId="0" borderId="16" xfId="40" applyFont="1" applyBorder="1" applyAlignment="1">
      <alignment horizontal="center" vertical="center" wrapText="1"/>
    </xf>
    <xf numFmtId="0" fontId="12" fillId="18" borderId="16" xfId="40" applyFont="1" applyFill="1" applyBorder="1" applyAlignment="1">
      <alignment horizontal="center" vertical="center" wrapText="1"/>
    </xf>
    <xf numFmtId="165" fontId="13" fillId="0" borderId="16" xfId="27" applyNumberFormat="1" applyFont="1" applyFill="1" applyBorder="1" applyAlignment="1">
      <alignment horizontal="center"/>
    </xf>
    <xf numFmtId="165" fontId="13" fillId="0" borderId="16" xfId="27" applyNumberFormat="1" applyFont="1" applyBorder="1" applyAlignment="1">
      <alignment horizontal="center"/>
    </xf>
    <xf numFmtId="165" fontId="7" fillId="0" borderId="16" xfId="27" applyNumberFormat="1" applyFont="1" applyFill="1" applyBorder="1" applyAlignment="1">
      <alignment horizontal="center"/>
    </xf>
    <xf numFmtId="165" fontId="4" fillId="0" borderId="24" xfId="27" applyNumberFormat="1" applyFont="1" applyFill="1" applyBorder="1" applyAlignment="1">
      <alignment horizontal="center"/>
    </xf>
    <xf numFmtId="0" fontId="12" fillId="0" borderId="33" xfId="40" applyFont="1" applyBorder="1" applyAlignment="1">
      <alignment horizontal="center" vertical="center" wrapText="1"/>
    </xf>
    <xf numFmtId="0" fontId="12" fillId="18" borderId="33" xfId="40" applyFont="1" applyFill="1" applyBorder="1" applyAlignment="1">
      <alignment horizontal="center" vertical="center" wrapText="1"/>
    </xf>
    <xf numFmtId="165" fontId="5" fillId="0" borderId="33" xfId="27" applyNumberFormat="1" applyFont="1" applyFill="1" applyBorder="1" applyAlignment="1">
      <alignment horizontal="center"/>
    </xf>
    <xf numFmtId="165" fontId="13" fillId="0" borderId="33" xfId="27" applyNumberFormat="1" applyFont="1" applyFill="1" applyBorder="1" applyAlignment="1">
      <alignment horizontal="center"/>
    </xf>
    <xf numFmtId="165" fontId="13" fillId="0" borderId="33" xfId="27" applyNumberFormat="1" applyFont="1" applyBorder="1" applyAlignment="1">
      <alignment horizontal="center"/>
    </xf>
    <xf numFmtId="165" fontId="7" fillId="0" borderId="33" xfId="27" applyNumberFormat="1" applyFont="1" applyFill="1" applyBorder="1" applyAlignment="1">
      <alignment horizontal="center"/>
    </xf>
    <xf numFmtId="165" fontId="5" fillId="18" borderId="33" xfId="27" applyNumberFormat="1" applyFont="1" applyFill="1" applyBorder="1" applyAlignment="1">
      <alignment horizontal="center"/>
    </xf>
    <xf numFmtId="165" fontId="4" fillId="0" borderId="33" xfId="27" applyNumberFormat="1" applyFont="1" applyFill="1" applyBorder="1" applyAlignment="1">
      <alignment horizontal="center"/>
    </xf>
    <xf numFmtId="165" fontId="4" fillId="0" borderId="60" xfId="27" applyNumberFormat="1" applyFont="1" applyFill="1" applyBorder="1" applyAlignment="1">
      <alignment horizontal="center"/>
    </xf>
    <xf numFmtId="0" fontId="13" fillId="0" borderId="61" xfId="40" applyFont="1" applyBorder="1" applyAlignment="1">
      <alignment horizontal="center" vertical="center" wrapText="1"/>
    </xf>
    <xf numFmtId="0" fontId="13" fillId="0" borderId="16" xfId="40" applyFont="1" applyBorder="1" applyAlignment="1">
      <alignment horizontal="center" vertical="center" wrapText="1"/>
    </xf>
    <xf numFmtId="165" fontId="4" fillId="0" borderId="24" xfId="40" applyNumberFormat="1" applyFont="1" applyBorder="1" applyAlignment="1">
      <alignment horizontal="center"/>
    </xf>
    <xf numFmtId="0" fontId="13" fillId="0" borderId="56" xfId="40" applyFont="1" applyBorder="1" applyAlignment="1">
      <alignment horizontal="center" vertical="center" wrapText="1"/>
    </xf>
    <xf numFmtId="0" fontId="13" fillId="0" borderId="21" xfId="40" applyFont="1" applyBorder="1" applyAlignment="1">
      <alignment horizontal="center" vertical="center" wrapText="1"/>
    </xf>
    <xf numFmtId="0" fontId="5" fillId="0" borderId="21" xfId="40" applyFont="1" applyBorder="1" applyAlignment="1">
      <alignment horizontal="center" vertical="center"/>
    </xf>
    <xf numFmtId="0" fontId="11" fillId="0" borderId="21" xfId="40" applyFont="1" applyBorder="1" applyAlignment="1">
      <alignment horizontal="center" vertical="center"/>
    </xf>
    <xf numFmtId="0" fontId="13" fillId="0" borderId="21" xfId="40" applyFont="1" applyBorder="1" applyAlignment="1">
      <alignment horizontal="center" vertical="center"/>
    </xf>
    <xf numFmtId="0" fontId="5" fillId="18" borderId="21" xfId="40" applyFont="1" applyFill="1" applyBorder="1" applyAlignment="1">
      <alignment horizontal="center" vertical="center"/>
    </xf>
    <xf numFmtId="0" fontId="7" fillId="0" borderId="21" xfId="40" applyFont="1" applyBorder="1" applyAlignment="1">
      <alignment horizontal="center" vertical="center"/>
    </xf>
    <xf numFmtId="0" fontId="4" fillId="0" borderId="21" xfId="40" applyFont="1" applyBorder="1" applyAlignment="1">
      <alignment horizontal="center" vertical="center"/>
    </xf>
    <xf numFmtId="0" fontId="4" fillId="0" borderId="59" xfId="40" applyFont="1" applyBorder="1" applyAlignment="1">
      <alignment horizontal="center" vertical="center"/>
    </xf>
    <xf numFmtId="0" fontId="13" fillId="0" borderId="62" xfId="40" applyFont="1" applyBorder="1" applyAlignment="1">
      <alignment horizontal="center" vertical="center" wrapText="1"/>
    </xf>
    <xf numFmtId="0" fontId="13" fillId="0" borderId="33" xfId="40" applyFont="1" applyBorder="1" applyAlignment="1">
      <alignment horizontal="center" vertical="center" wrapText="1"/>
    </xf>
    <xf numFmtId="165" fontId="4" fillId="0" borderId="60" xfId="40" applyNumberFormat="1" applyFont="1" applyBorder="1" applyAlignment="1">
      <alignment horizontal="center"/>
    </xf>
    <xf numFmtId="0" fontId="7" fillId="0" borderId="0" xfId="40" applyFont="1" applyAlignment="1">
      <alignment horizontal="center" vertical="center"/>
    </xf>
    <xf numFmtId="165" fontId="11" fillId="0" borderId="14" xfId="42" applyNumberFormat="1" applyFont="1" applyFill="1" applyBorder="1" applyAlignment="1">
      <alignment vertical="center"/>
    </xf>
    <xf numFmtId="165" fontId="0" fillId="0" borderId="0" xfId="0" applyNumberFormat="1"/>
    <xf numFmtId="165" fontId="14" fillId="0" borderId="16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165" fontId="14" fillId="18" borderId="17" xfId="0" applyNumberFormat="1" applyFont="1" applyFill="1" applyBorder="1" applyAlignment="1">
      <alignment horizontal="center"/>
    </xf>
    <xf numFmtId="165" fontId="7" fillId="19" borderId="16" xfId="27" applyNumberFormat="1" applyFont="1" applyFill="1" applyBorder="1" applyAlignment="1">
      <alignment horizontal="center"/>
    </xf>
    <xf numFmtId="165" fontId="7" fillId="19" borderId="33" xfId="27" applyNumberFormat="1" applyFont="1" applyFill="1" applyBorder="1" applyAlignment="1">
      <alignment horizontal="center"/>
    </xf>
    <xf numFmtId="0" fontId="7" fillId="19" borderId="21" xfId="40" applyFont="1" applyFill="1" applyBorder="1" applyAlignment="1">
      <alignment horizontal="center" vertical="center"/>
    </xf>
    <xf numFmtId="0" fontId="5" fillId="19" borderId="21" xfId="40" applyFont="1" applyFill="1" applyBorder="1" applyAlignment="1">
      <alignment horizontal="center" vertical="center"/>
    </xf>
    <xf numFmtId="167" fontId="49" fillId="0" borderId="16" xfId="41" applyNumberFormat="1" applyFont="1" applyFill="1" applyBorder="1" applyAlignment="1" applyProtection="1">
      <alignment vertical="center" wrapText="1"/>
      <protection locked="0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42" xfId="40" applyFont="1" applyBorder="1" applyAlignment="1">
      <alignment horizontal="center" vertical="center"/>
    </xf>
    <xf numFmtId="0" fontId="4" fillId="0" borderId="54" xfId="40" applyFont="1" applyBorder="1" applyAlignment="1">
      <alignment horizontal="center" vertical="center"/>
    </xf>
    <xf numFmtId="0" fontId="4" fillId="0" borderId="50" xfId="40" applyFont="1" applyBorder="1" applyAlignment="1">
      <alignment horizontal="center" vertical="center"/>
    </xf>
    <xf numFmtId="0" fontId="4" fillId="0" borderId="12" xfId="40" applyFont="1" applyBorder="1" applyAlignment="1">
      <alignment horizontal="left"/>
    </xf>
    <xf numFmtId="0" fontId="4" fillId="0" borderId="22" xfId="40" applyFont="1" applyBorder="1" applyAlignment="1">
      <alignment horizontal="left"/>
    </xf>
    <xf numFmtId="0" fontId="13" fillId="0" borderId="54" xfId="4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19" borderId="12" xfId="40" applyFont="1" applyFill="1" applyBorder="1" applyAlignment="1">
      <alignment horizontal="left" wrapText="1"/>
    </xf>
    <xf numFmtId="0" fontId="5" fillId="0" borderId="12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/>
    </xf>
    <xf numFmtId="0" fontId="13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5" fillId="0" borderId="0" xfId="40" applyFont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7" fillId="0" borderId="12" xfId="40" applyFont="1" applyBorder="1" applyAlignment="1">
      <alignment horizontal="center"/>
    </xf>
    <xf numFmtId="0" fontId="5" fillId="18" borderId="12" xfId="40" applyFont="1" applyFill="1" applyBorder="1" applyAlignment="1">
      <alignment horizontal="center"/>
    </xf>
    <xf numFmtId="0" fontId="4" fillId="0" borderId="12" xfId="40" applyFont="1" applyBorder="1" applyAlignment="1">
      <alignment horizontal="left" wrapText="1"/>
    </xf>
    <xf numFmtId="0" fontId="4" fillId="0" borderId="22" xfId="40" applyFont="1" applyBorder="1" applyAlignment="1">
      <alignment horizontal="left" wrapText="1"/>
    </xf>
    <xf numFmtId="0" fontId="7" fillId="0" borderId="12" xfId="40" applyFont="1" applyBorder="1" applyAlignment="1">
      <alignment horizontal="left" wrapText="1"/>
    </xf>
    <xf numFmtId="0" fontId="5" fillId="0" borderId="12" xfId="40" applyFont="1" applyBorder="1" applyAlignment="1">
      <alignment horizontal="left" vertical="center" wrapText="1"/>
    </xf>
    <xf numFmtId="0" fontId="13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right" vertical="center" wrapText="1"/>
    </xf>
    <xf numFmtId="0" fontId="11" fillId="0" borderId="12" xfId="40" applyFont="1" applyBorder="1" applyAlignment="1">
      <alignment horizontal="right" wrapText="1"/>
    </xf>
    <xf numFmtId="0" fontId="5" fillId="0" borderId="12" xfId="4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12" xfId="40" applyFont="1" applyBorder="1" applyAlignment="1">
      <alignment horizontal="center" vertical="center" wrapText="1"/>
    </xf>
    <xf numFmtId="0" fontId="7" fillId="0" borderId="54" xfId="40" applyFont="1" applyBorder="1" applyAlignment="1">
      <alignment horizontal="center" vertical="center"/>
    </xf>
    <xf numFmtId="0" fontId="7" fillId="0" borderId="12" xfId="40" applyFont="1" applyBorder="1" applyAlignment="1">
      <alignment horizontal="center" vertical="center"/>
    </xf>
    <xf numFmtId="0" fontId="12" fillId="0" borderId="61" xfId="40" applyFont="1" applyBorder="1" applyAlignment="1">
      <alignment horizontal="center" vertical="center" wrapText="1"/>
    </xf>
    <xf numFmtId="0" fontId="12" fillId="0" borderId="16" xfId="40" applyFont="1" applyBorder="1" applyAlignment="1">
      <alignment horizontal="center" vertical="center" wrapText="1"/>
    </xf>
    <xf numFmtId="0" fontId="4" fillId="0" borderId="0" xfId="40" applyFont="1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6" fillId="0" borderId="63" xfId="40" applyFont="1" applyBorder="1" applyAlignment="1">
      <alignment horizontal="center" vertical="center" wrapText="1"/>
    </xf>
    <xf numFmtId="0" fontId="6" fillId="0" borderId="44" xfId="4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74" xfId="4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0" fillId="0" borderId="0" xfId="0" applyAlignment="1">
      <alignment horizontal="center" vertical="center"/>
    </xf>
    <xf numFmtId="0" fontId="13" fillId="0" borderId="42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4" xfId="40" applyFont="1" applyBorder="1" applyAlignment="1">
      <alignment horizontal="center" vertical="center" wrapText="1"/>
    </xf>
    <xf numFmtId="0" fontId="7" fillId="0" borderId="36" xfId="40" applyFont="1" applyBorder="1" applyAlignment="1">
      <alignment horizontal="center" vertical="center"/>
    </xf>
    <xf numFmtId="0" fontId="6" fillId="0" borderId="54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12" fillId="0" borderId="54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12" fillId="0" borderId="63" xfId="40" applyFont="1" applyBorder="1" applyAlignment="1">
      <alignment horizontal="center" vertical="center" wrapText="1"/>
    </xf>
    <xf numFmtId="0" fontId="12" fillId="0" borderId="44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left"/>
    </xf>
    <xf numFmtId="0" fontId="5" fillId="0" borderId="16" xfId="40" applyFont="1" applyBorder="1" applyAlignment="1">
      <alignment horizontal="right" wrapText="1"/>
    </xf>
    <xf numFmtId="0" fontId="5" fillId="0" borderId="21" xfId="40" applyFont="1" applyBorder="1" applyAlignment="1">
      <alignment horizontal="right" wrapText="1"/>
    </xf>
    <xf numFmtId="0" fontId="12" fillId="0" borderId="36" xfId="40" applyFont="1" applyBorder="1" applyAlignment="1">
      <alignment horizontal="center" vertical="center" wrapText="1"/>
    </xf>
    <xf numFmtId="0" fontId="5" fillId="28" borderId="12" xfId="40" applyFont="1" applyFill="1" applyBorder="1" applyAlignment="1">
      <alignment horizontal="left"/>
    </xf>
    <xf numFmtId="0" fontId="64" fillId="0" borderId="12" xfId="40" applyFont="1" applyBorder="1" applyAlignment="1">
      <alignment horizontal="left" wrapText="1"/>
    </xf>
    <xf numFmtId="0" fontId="7" fillId="28" borderId="12" xfId="40" applyFont="1" applyFill="1" applyBorder="1" applyAlignment="1">
      <alignment horizontal="left"/>
    </xf>
    <xf numFmtId="0" fontId="12" fillId="0" borderId="64" xfId="40" applyFont="1" applyBorder="1" applyAlignment="1">
      <alignment horizontal="center" vertical="center" wrapText="1"/>
    </xf>
    <xf numFmtId="0" fontId="12" fillId="0" borderId="13" xfId="40" applyFont="1" applyBorder="1" applyAlignment="1">
      <alignment horizontal="center" vertical="center" wrapText="1"/>
    </xf>
    <xf numFmtId="0" fontId="12" fillId="0" borderId="52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0" fontId="14" fillId="0" borderId="6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9" fontId="14" fillId="0" borderId="64" xfId="26" applyNumberFormat="1" applyFont="1" applyBorder="1" applyAlignment="1">
      <alignment horizontal="center" vertical="center" wrapText="1"/>
    </xf>
    <xf numFmtId="169" fontId="14" fillId="0" borderId="13" xfId="26" applyNumberFormat="1" applyFont="1" applyBorder="1" applyAlignment="1">
      <alignment horizontal="center" vertical="center" wrapText="1"/>
    </xf>
    <xf numFmtId="169" fontId="14" fillId="0" borderId="52" xfId="26" applyNumberFormat="1" applyFont="1" applyBorder="1" applyAlignment="1">
      <alignment horizontal="center" vertical="center" wrapText="1"/>
    </xf>
    <xf numFmtId="169" fontId="14" fillId="0" borderId="18" xfId="26" applyNumberFormat="1" applyFont="1" applyBorder="1" applyAlignment="1">
      <alignment horizontal="center" vertical="center" wrapText="1"/>
    </xf>
    <xf numFmtId="169" fontId="14" fillId="0" borderId="19" xfId="26" applyNumberFormat="1" applyFont="1" applyBorder="1" applyAlignment="1">
      <alignment horizontal="center" vertical="center" wrapText="1"/>
    </xf>
    <xf numFmtId="169" fontId="14" fillId="0" borderId="20" xfId="26" applyNumberFormat="1" applyFont="1" applyBorder="1" applyAlignment="1">
      <alignment horizontal="center" vertical="center" wrapText="1"/>
    </xf>
    <xf numFmtId="165" fontId="14" fillId="0" borderId="16" xfId="0" applyNumberFormat="1" applyFont="1" applyFill="1" applyBorder="1" applyAlignment="1">
      <alignment horizontal="center"/>
    </xf>
    <xf numFmtId="165" fontId="14" fillId="0" borderId="17" xfId="0" applyNumberFormat="1" applyFont="1" applyFill="1" applyBorder="1" applyAlignment="1">
      <alignment horizontal="center"/>
    </xf>
    <xf numFmtId="165" fontId="14" fillId="0" borderId="21" xfId="0" applyNumberFormat="1" applyFont="1" applyFill="1" applyBorder="1" applyAlignment="1">
      <alignment horizontal="center"/>
    </xf>
    <xf numFmtId="169" fontId="14" fillId="0" borderId="16" xfId="26" applyNumberFormat="1" applyFont="1" applyFill="1" applyBorder="1" applyAlignment="1">
      <alignment horizontal="center"/>
    </xf>
    <xf numFmtId="169" fontId="14" fillId="0" borderId="17" xfId="26" applyNumberFormat="1" applyFont="1" applyFill="1" applyBorder="1" applyAlignment="1">
      <alignment horizontal="center"/>
    </xf>
    <xf numFmtId="169" fontId="14" fillId="0" borderId="21" xfId="26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5" fontId="15" fillId="19" borderId="16" xfId="0" applyNumberFormat="1" applyFont="1" applyFill="1" applyBorder="1" applyAlignment="1">
      <alignment horizontal="center"/>
    </xf>
    <xf numFmtId="165" fontId="15" fillId="19" borderId="17" xfId="0" applyNumberFormat="1" applyFont="1" applyFill="1" applyBorder="1" applyAlignment="1">
      <alignment horizontal="center"/>
    </xf>
    <xf numFmtId="165" fontId="15" fillId="19" borderId="21" xfId="0" applyNumberFormat="1" applyFont="1" applyFill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165" fontId="14" fillId="0" borderId="17" xfId="0" applyNumberFormat="1" applyFont="1" applyBorder="1" applyAlignment="1">
      <alignment horizontal="center"/>
    </xf>
    <xf numFmtId="165" fontId="14" fillId="0" borderId="21" xfId="0" applyNumberFormat="1" applyFont="1" applyBorder="1" applyAlignment="1">
      <alignment horizontal="center"/>
    </xf>
    <xf numFmtId="169" fontId="14" fillId="0" borderId="16" xfId="26" applyNumberFormat="1" applyFont="1" applyBorder="1" applyAlignment="1">
      <alignment horizontal="center"/>
    </xf>
    <xf numFmtId="169" fontId="14" fillId="0" borderId="17" xfId="26" applyNumberFormat="1" applyFont="1" applyBorder="1" applyAlignment="1">
      <alignment horizontal="center"/>
    </xf>
    <xf numFmtId="169" fontId="14" fillId="0" borderId="21" xfId="26" applyNumberFormat="1" applyFont="1" applyBorder="1" applyAlignment="1">
      <alignment horizontal="center"/>
    </xf>
    <xf numFmtId="165" fontId="18" fillId="0" borderId="16" xfId="0" applyNumberFormat="1" applyFont="1" applyFill="1" applyBorder="1" applyAlignment="1">
      <alignment horizontal="center"/>
    </xf>
    <xf numFmtId="165" fontId="18" fillId="0" borderId="17" xfId="0" applyNumberFormat="1" applyFont="1" applyFill="1" applyBorder="1" applyAlignment="1">
      <alignment horizontal="center"/>
    </xf>
    <xf numFmtId="165" fontId="18" fillId="0" borderId="21" xfId="0" applyNumberFormat="1" applyFont="1" applyFill="1" applyBorder="1" applyAlignment="1">
      <alignment horizontal="center"/>
    </xf>
    <xf numFmtId="0" fontId="14" fillId="0" borderId="16" xfId="0" quotePrefix="1" applyFont="1" applyBorder="1" applyAlignment="1">
      <alignment horizontal="center" vertical="center"/>
    </xf>
    <xf numFmtId="0" fontId="14" fillId="0" borderId="21" xfId="0" quotePrefix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165" fontId="14" fillId="19" borderId="16" xfId="0" applyNumberFormat="1" applyFont="1" applyFill="1" applyBorder="1" applyAlignment="1">
      <alignment horizontal="center"/>
    </xf>
    <xf numFmtId="165" fontId="14" fillId="19" borderId="17" xfId="0" applyNumberFormat="1" applyFont="1" applyFill="1" applyBorder="1" applyAlignment="1">
      <alignment horizontal="center"/>
    </xf>
    <xf numFmtId="165" fontId="14" fillId="19" borderId="21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165" fontId="14" fillId="23" borderId="16" xfId="0" applyNumberFormat="1" applyFont="1" applyFill="1" applyBorder="1" applyAlignment="1">
      <alignment horizontal="center"/>
    </xf>
    <xf numFmtId="165" fontId="14" fillId="23" borderId="17" xfId="0" applyNumberFormat="1" applyFont="1" applyFill="1" applyBorder="1" applyAlignment="1">
      <alignment horizontal="center"/>
    </xf>
    <xf numFmtId="165" fontId="14" fillId="23" borderId="21" xfId="0" applyNumberFormat="1" applyFont="1" applyFill="1" applyBorder="1" applyAlignment="1">
      <alignment horizontal="center"/>
    </xf>
    <xf numFmtId="165" fontId="18" fillId="0" borderId="16" xfId="0" applyNumberFormat="1" applyFont="1" applyBorder="1" applyAlignment="1">
      <alignment horizontal="center"/>
    </xf>
    <xf numFmtId="165" fontId="18" fillId="0" borderId="17" xfId="0" applyNumberFormat="1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0" fontId="14" fillId="23" borderId="16" xfId="0" applyFont="1" applyFill="1" applyBorder="1" applyAlignment="1">
      <alignment horizontal="left" vertical="center" wrapText="1"/>
    </xf>
    <xf numFmtId="0" fontId="14" fillId="23" borderId="17" xfId="0" applyFont="1" applyFill="1" applyBorder="1" applyAlignment="1">
      <alignment horizontal="left" vertical="center" wrapText="1"/>
    </xf>
    <xf numFmtId="0" fontId="14" fillId="23" borderId="21" xfId="0" applyFont="1" applyFill="1" applyBorder="1" applyAlignment="1">
      <alignment horizontal="left" vertical="center" wrapText="1"/>
    </xf>
    <xf numFmtId="0" fontId="14" fillId="23" borderId="16" xfId="0" quotePrefix="1" applyFont="1" applyFill="1" applyBorder="1" applyAlignment="1">
      <alignment horizontal="center" vertical="center"/>
    </xf>
    <xf numFmtId="0" fontId="14" fillId="23" borderId="21" xfId="0" quotePrefix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/>
    </xf>
    <xf numFmtId="0" fontId="15" fillId="0" borderId="20" xfId="0" applyFont="1" applyBorder="1" applyAlignment="1">
      <alignment horizontal="left" vertical="top"/>
    </xf>
    <xf numFmtId="165" fontId="15" fillId="0" borderId="16" xfId="0" applyNumberFormat="1" applyFont="1" applyBorder="1" applyAlignment="1">
      <alignment horizontal="center"/>
    </xf>
    <xf numFmtId="165" fontId="15" fillId="0" borderId="17" xfId="0" applyNumberFormat="1" applyFont="1" applyBorder="1" applyAlignment="1">
      <alignment horizontal="center"/>
    </xf>
    <xf numFmtId="165" fontId="15" fillId="0" borderId="21" xfId="0" applyNumberFormat="1" applyFont="1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25" borderId="16" xfId="0" applyFont="1" applyFill="1" applyBorder="1" applyAlignment="1">
      <alignment horizontal="left" vertical="center" wrapText="1"/>
    </xf>
    <xf numFmtId="0" fontId="14" fillId="25" borderId="17" xfId="0" applyFont="1" applyFill="1" applyBorder="1" applyAlignment="1">
      <alignment horizontal="left" vertical="center" wrapText="1"/>
    </xf>
    <xf numFmtId="0" fontId="14" fillId="25" borderId="21" xfId="0" applyFont="1" applyFill="1" applyBorder="1" applyAlignment="1">
      <alignment horizontal="left" vertical="center" wrapText="1"/>
    </xf>
    <xf numFmtId="0" fontId="14" fillId="18" borderId="16" xfId="0" applyFont="1" applyFill="1" applyBorder="1" applyAlignment="1">
      <alignment horizontal="left" vertical="center" wrapText="1"/>
    </xf>
    <xf numFmtId="0" fontId="14" fillId="18" borderId="17" xfId="0" applyFont="1" applyFill="1" applyBorder="1" applyAlignment="1">
      <alignment horizontal="left" vertical="center" wrapText="1"/>
    </xf>
    <xf numFmtId="0" fontId="14" fillId="18" borderId="21" xfId="0" applyFont="1" applyFill="1" applyBorder="1" applyAlignment="1">
      <alignment horizontal="left" vertical="center" wrapText="1"/>
    </xf>
    <xf numFmtId="0" fontId="14" fillId="25" borderId="16" xfId="0" applyFont="1" applyFill="1" applyBorder="1" applyAlignment="1">
      <alignment horizontal="left" vertical="center"/>
    </xf>
    <xf numFmtId="0" fontId="14" fillId="25" borderId="17" xfId="0" applyFont="1" applyFill="1" applyBorder="1" applyAlignment="1">
      <alignment horizontal="left" vertical="center"/>
    </xf>
    <xf numFmtId="0" fontId="14" fillId="25" borderId="21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5" fontId="14" fillId="18" borderId="16" xfId="0" applyNumberFormat="1" applyFont="1" applyFill="1" applyBorder="1" applyAlignment="1">
      <alignment horizontal="center"/>
    </xf>
    <xf numFmtId="165" fontId="14" fillId="18" borderId="17" xfId="0" applyNumberFormat="1" applyFont="1" applyFill="1" applyBorder="1" applyAlignment="1">
      <alignment horizontal="center"/>
    </xf>
    <xf numFmtId="165" fontId="14" fillId="18" borderId="21" xfId="0" applyNumberFormat="1" applyFont="1" applyFill="1" applyBorder="1" applyAlignment="1">
      <alignment horizontal="center"/>
    </xf>
    <xf numFmtId="167" fontId="61" fillId="0" borderId="0" xfId="41" applyNumberFormat="1" applyFont="1" applyFill="1" applyAlignment="1">
      <alignment horizontal="center" vertical="center" wrapText="1"/>
    </xf>
    <xf numFmtId="167" fontId="61" fillId="0" borderId="0" xfId="41" applyNumberFormat="1" applyFont="1" applyFill="1" applyAlignment="1">
      <alignment vertical="center" wrapText="1"/>
    </xf>
    <xf numFmtId="169" fontId="5" fillId="0" borderId="0" xfId="26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5" fillId="0" borderId="0" xfId="26" applyNumberFormat="1" applyFont="1" applyAlignment="1">
      <alignment horizontal="center" vertical="center" wrapText="1"/>
    </xf>
    <xf numFmtId="0" fontId="48" fillId="0" borderId="65" xfId="41" applyFont="1" applyFill="1" applyBorder="1" applyAlignment="1">
      <alignment horizontal="justify" vertical="center" wrapText="1"/>
    </xf>
    <xf numFmtId="0" fontId="60" fillId="0" borderId="0" xfId="4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7" fontId="40" fillId="0" borderId="66" xfId="41" applyNumberFormat="1" applyFont="1" applyFill="1" applyBorder="1" applyAlignment="1">
      <alignment horizontal="center" vertical="center"/>
    </xf>
    <xf numFmtId="167" fontId="40" fillId="0" borderId="67" xfId="41" applyNumberFormat="1" applyFont="1" applyFill="1" applyBorder="1" applyAlignment="1">
      <alignment horizontal="center" vertical="center"/>
    </xf>
    <xf numFmtId="167" fontId="40" fillId="0" borderId="68" xfId="41" applyNumberFormat="1" applyFont="1" applyFill="1" applyBorder="1" applyAlignment="1">
      <alignment horizontal="center" vertical="center"/>
    </xf>
    <xf numFmtId="167" fontId="40" fillId="0" borderId="69" xfId="41" applyNumberFormat="1" applyFont="1" applyFill="1" applyBorder="1" applyAlignment="1">
      <alignment horizontal="center" vertical="center"/>
    </xf>
    <xf numFmtId="167" fontId="40" fillId="0" borderId="70" xfId="41" applyNumberFormat="1" applyFont="1" applyFill="1" applyBorder="1" applyAlignment="1">
      <alignment horizontal="center" vertical="center"/>
    </xf>
    <xf numFmtId="167" fontId="40" fillId="0" borderId="26" xfId="41" applyNumberFormat="1" applyFont="1" applyFill="1" applyBorder="1" applyAlignment="1">
      <alignment horizontal="left" vertical="center" wrapText="1" indent="2"/>
    </xf>
    <xf numFmtId="167" fontId="40" fillId="0" borderId="71" xfId="41" applyNumberFormat="1" applyFont="1" applyFill="1" applyBorder="1" applyAlignment="1">
      <alignment horizontal="left" vertical="center" wrapText="1" indent="2"/>
    </xf>
    <xf numFmtId="0" fontId="62" fillId="0" borderId="0" xfId="0" applyFont="1" applyAlignment="1">
      <alignment horizontal="center" vertical="center" wrapText="1"/>
    </xf>
    <xf numFmtId="167" fontId="40" fillId="0" borderId="69" xfId="41" applyNumberFormat="1" applyFont="1" applyFill="1" applyBorder="1" applyAlignment="1">
      <alignment horizontal="center" vertical="center" wrapText="1"/>
    </xf>
    <xf numFmtId="167" fontId="40" fillId="0" borderId="70" xfId="41" applyNumberFormat="1" applyFont="1" applyFill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5" fillId="0" borderId="12" xfId="40" applyFont="1" applyBorder="1" applyAlignment="1">
      <alignment horizontal="right" wrapText="1"/>
    </xf>
    <xf numFmtId="0" fontId="6" fillId="0" borderId="50" xfId="40" applyFont="1" applyBorder="1" applyAlignment="1">
      <alignment horizontal="center" vertical="center" wrapText="1"/>
    </xf>
    <xf numFmtId="0" fontId="6" fillId="0" borderId="11" xfId="40" applyFont="1" applyBorder="1" applyAlignment="1">
      <alignment horizontal="center" vertical="center" wrapText="1"/>
    </xf>
    <xf numFmtId="0" fontId="7" fillId="0" borderId="16" xfId="40" applyFont="1" applyBorder="1" applyAlignment="1">
      <alignment horizontal="left"/>
    </xf>
    <xf numFmtId="0" fontId="4" fillId="0" borderId="16" xfId="40" applyFont="1" applyBorder="1" applyAlignment="1">
      <alignment horizontal="left" wrapText="1"/>
    </xf>
    <xf numFmtId="0" fontId="6" fillId="0" borderId="25" xfId="40" applyFont="1" applyBorder="1" applyAlignment="1">
      <alignment horizontal="center" vertical="center" wrapText="1"/>
    </xf>
    <xf numFmtId="0" fontId="12" fillId="0" borderId="14" xfId="40" applyFont="1" applyBorder="1" applyAlignment="1">
      <alignment horizontal="center" vertical="center" wrapText="1"/>
    </xf>
    <xf numFmtId="0" fontId="12" fillId="0" borderId="0" xfId="4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72" xfId="0" applyBorder="1" applyAlignment="1">
      <alignment horizontal="center"/>
    </xf>
    <xf numFmtId="0" fontId="12" fillId="0" borderId="42" xfId="40" applyFont="1" applyBorder="1" applyAlignment="1">
      <alignment horizontal="center" vertical="center" wrapText="1"/>
    </xf>
    <xf numFmtId="0" fontId="12" fillId="0" borderId="49" xfId="40" applyFont="1" applyBorder="1" applyAlignment="1">
      <alignment horizontal="center" vertical="center" wrapText="1"/>
    </xf>
    <xf numFmtId="0" fontId="5" fillId="0" borderId="16" xfId="40" applyFont="1" applyBorder="1" applyAlignment="1">
      <alignment horizontal="left"/>
    </xf>
    <xf numFmtId="0" fontId="5" fillId="0" borderId="16" xfId="40" applyFont="1" applyBorder="1" applyAlignment="1">
      <alignment horizontal="left" wrapText="1"/>
    </xf>
    <xf numFmtId="0" fontId="4" fillId="0" borderId="16" xfId="40" applyFont="1" applyBorder="1" applyAlignment="1">
      <alignment horizontal="left"/>
    </xf>
    <xf numFmtId="0" fontId="64" fillId="0" borderId="16" xfId="40" applyFont="1" applyBorder="1" applyAlignment="1">
      <alignment horizontal="left" wrapText="1"/>
    </xf>
    <xf numFmtId="0" fontId="7" fillId="0" borderId="16" xfId="40" applyFont="1" applyBorder="1" applyAlignment="1">
      <alignment horizontal="center"/>
    </xf>
    <xf numFmtId="0" fontId="5" fillId="0" borderId="16" xfId="40" applyFont="1" applyBorder="1" applyAlignment="1">
      <alignment horizontal="left" vertical="center" wrapText="1"/>
    </xf>
    <xf numFmtId="0" fontId="5" fillId="18" borderId="16" xfId="40" applyFont="1" applyFill="1" applyBorder="1" applyAlignment="1">
      <alignment horizontal="center"/>
    </xf>
    <xf numFmtId="0" fontId="0" fillId="0" borderId="16" xfId="0" applyBorder="1" applyAlignment="1">
      <alignment horizontal="right" vertical="center" wrapText="1"/>
    </xf>
    <xf numFmtId="0" fontId="5" fillId="0" borderId="16" xfId="40" applyFont="1" applyBorder="1" applyAlignment="1">
      <alignment horizontal="right" vertical="center"/>
    </xf>
    <xf numFmtId="0" fontId="5" fillId="0" borderId="16" xfId="40" applyFont="1" applyBorder="1" applyAlignment="1">
      <alignment horizontal="right" vertical="center" wrapText="1"/>
    </xf>
    <xf numFmtId="0" fontId="5" fillId="0" borderId="16" xfId="40" applyFont="1" applyBorder="1" applyAlignment="1">
      <alignment horizontal="left" vertical="center"/>
    </xf>
    <xf numFmtId="0" fontId="6" fillId="0" borderId="22" xfId="40" applyFont="1" applyBorder="1" applyAlignment="1">
      <alignment horizontal="center" vertical="center" wrapText="1"/>
    </xf>
    <xf numFmtId="0" fontId="7" fillId="0" borderId="61" xfId="40" applyFont="1" applyBorder="1" applyAlignment="1">
      <alignment horizontal="center" vertical="center"/>
    </xf>
    <xf numFmtId="0" fontId="7" fillId="0" borderId="16" xfId="4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0" fontId="67" fillId="0" borderId="0" xfId="0" applyFont="1" applyAlignment="1">
      <alignment horizontal="center"/>
    </xf>
    <xf numFmtId="1" fontId="5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9" fontId="5" fillId="0" borderId="50" xfId="26" applyNumberFormat="1" applyFont="1" applyBorder="1" applyAlignment="1">
      <alignment horizontal="center" vertical="center" wrapText="1"/>
    </xf>
    <xf numFmtId="169" fontId="5" fillId="0" borderId="11" xfId="26" applyNumberFormat="1" applyFont="1" applyBorder="1" applyAlignment="1">
      <alignment horizontal="center" vertical="center" wrapText="1"/>
    </xf>
    <xf numFmtId="0" fontId="5" fillId="0" borderId="11" xfId="40" applyFont="1" applyBorder="1" applyAlignment="1">
      <alignment horizontal="left"/>
    </xf>
    <xf numFmtId="0" fontId="12" fillId="0" borderId="73" xfId="4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55" xfId="0" applyBorder="1" applyAlignment="1"/>
    <xf numFmtId="0" fontId="65" fillId="21" borderId="12" xfId="40" applyFont="1" applyFill="1" applyBorder="1" applyAlignment="1">
      <alignment horizontal="left"/>
    </xf>
    <xf numFmtId="0" fontId="65" fillId="21" borderId="11" xfId="40" applyFont="1" applyFill="1" applyBorder="1" applyAlignment="1">
      <alignment horizontal="left"/>
    </xf>
    <xf numFmtId="0" fontId="4" fillId="0" borderId="11" xfId="40" applyFont="1" applyBorder="1" applyAlignment="1">
      <alignment horizontal="left"/>
    </xf>
    <xf numFmtId="0" fontId="7" fillId="0" borderId="11" xfId="40" applyFont="1" applyBorder="1" applyAlignment="1">
      <alignment horizontal="left"/>
    </xf>
    <xf numFmtId="0" fontId="4" fillId="0" borderId="11" xfId="40" applyFont="1" applyBorder="1" applyAlignment="1">
      <alignment horizontal="left" wrapText="1"/>
    </xf>
    <xf numFmtId="0" fontId="4" fillId="24" borderId="12" xfId="40" applyFont="1" applyFill="1" applyBorder="1" applyAlignment="1">
      <alignment horizontal="left"/>
    </xf>
    <xf numFmtId="0" fontId="4" fillId="24" borderId="11" xfId="40" applyFont="1" applyFill="1" applyBorder="1" applyAlignment="1">
      <alignment horizontal="left"/>
    </xf>
    <xf numFmtId="0" fontId="4" fillId="22" borderId="12" xfId="40" applyFont="1" applyFill="1" applyBorder="1" applyAlignment="1">
      <alignment horizontal="left"/>
    </xf>
    <xf numFmtId="0" fontId="4" fillId="22" borderId="11" xfId="40" applyFont="1" applyFill="1" applyBorder="1" applyAlignment="1">
      <alignment horizontal="left"/>
    </xf>
    <xf numFmtId="0" fontId="5" fillId="0" borderId="51" xfId="40" applyFont="1" applyBorder="1" applyAlignment="1">
      <alignment horizontal="left"/>
    </xf>
    <xf numFmtId="0" fontId="64" fillId="0" borderId="11" xfId="40" applyFont="1" applyBorder="1" applyAlignment="1">
      <alignment horizontal="left" wrapText="1"/>
    </xf>
    <xf numFmtId="0" fontId="4" fillId="24" borderId="16" xfId="40" applyFont="1" applyFill="1" applyBorder="1" applyAlignment="1">
      <alignment horizontal="left" vertical="center"/>
    </xf>
    <xf numFmtId="0" fontId="57" fillId="24" borderId="51" xfId="0" applyFont="1" applyFill="1" applyBorder="1" applyAlignment="1"/>
    <xf numFmtId="0" fontId="7" fillId="20" borderId="12" xfId="40" applyFont="1" applyFill="1" applyBorder="1" applyAlignment="1">
      <alignment horizontal="center"/>
    </xf>
    <xf numFmtId="0" fontId="7" fillId="20" borderId="11" xfId="40" applyFont="1" applyFill="1" applyBorder="1" applyAlignment="1">
      <alignment horizontal="center"/>
    </xf>
    <xf numFmtId="0" fontId="5" fillId="0" borderId="11" xfId="40" applyFont="1" applyBorder="1" applyAlignment="1">
      <alignment horizontal="left" wrapText="1"/>
    </xf>
    <xf numFmtId="0" fontId="65" fillId="21" borderId="12" xfId="40" applyFont="1" applyFill="1" applyBorder="1" applyAlignment="1">
      <alignment horizontal="left" wrapText="1"/>
    </xf>
    <xf numFmtId="0" fontId="65" fillId="21" borderId="11" xfId="40" applyFont="1" applyFill="1" applyBorder="1" applyAlignment="1">
      <alignment horizontal="left" wrapText="1"/>
    </xf>
    <xf numFmtId="0" fontId="5" fillId="18" borderId="11" xfId="40" applyFont="1" applyFill="1" applyBorder="1" applyAlignment="1">
      <alignment horizontal="center"/>
    </xf>
    <xf numFmtId="0" fontId="5" fillId="0" borderId="11" xfId="40" applyFont="1" applyBorder="1" applyAlignment="1">
      <alignment horizontal="left" vertical="center" wrapText="1"/>
    </xf>
    <xf numFmtId="0" fontId="4" fillId="24" borderId="12" xfId="40" applyFont="1" applyFill="1" applyBorder="1" applyAlignment="1">
      <alignment horizontal="left" vertical="center" wrapText="1"/>
    </xf>
    <xf numFmtId="0" fontId="4" fillId="24" borderId="11" xfId="40" applyFont="1" applyFill="1" applyBorder="1" applyAlignment="1">
      <alignment horizontal="left" vertical="center" wrapText="1"/>
    </xf>
    <xf numFmtId="0" fontId="0" fillId="0" borderId="11" xfId="0" applyBorder="1" applyAlignment="1">
      <alignment horizontal="right" vertical="center" wrapText="1"/>
    </xf>
    <xf numFmtId="0" fontId="5" fillId="0" borderId="11" xfId="40" applyFont="1" applyBorder="1" applyAlignment="1">
      <alignment horizontal="right" vertical="center"/>
    </xf>
    <xf numFmtId="0" fontId="5" fillId="0" borderId="51" xfId="40" applyFont="1" applyBorder="1" applyAlignment="1">
      <alignment horizontal="right" wrapText="1"/>
    </xf>
    <xf numFmtId="0" fontId="5" fillId="0" borderId="11" xfId="40" applyFont="1" applyBorder="1" applyAlignment="1">
      <alignment horizontal="right" vertical="center" wrapText="1"/>
    </xf>
    <xf numFmtId="0" fontId="5" fillId="0" borderId="11" xfId="40" applyFont="1" applyBorder="1" applyAlignment="1">
      <alignment horizontal="left" vertical="center"/>
    </xf>
    <xf numFmtId="0" fontId="12" fillId="0" borderId="10" xfId="40" applyFont="1" applyBorder="1" applyAlignment="1">
      <alignment horizontal="center" vertical="center" wrapText="1"/>
    </xf>
    <xf numFmtId="0" fontId="7" fillId="20" borderId="44" xfId="40" applyFont="1" applyFill="1" applyBorder="1" applyAlignment="1">
      <alignment horizontal="center" vertical="center"/>
    </xf>
    <xf numFmtId="0" fontId="7" fillId="20" borderId="43" xfId="40" applyFont="1" applyFill="1" applyBorder="1" applyAlignment="1">
      <alignment horizontal="center" vertical="center"/>
    </xf>
    <xf numFmtId="0" fontId="13" fillId="0" borderId="49" xfId="40" applyFont="1" applyBorder="1" applyAlignment="1">
      <alignment horizontal="center" vertical="center" wrapText="1"/>
    </xf>
    <xf numFmtId="0" fontId="7" fillId="0" borderId="50" xfId="40" applyFont="1" applyBorder="1" applyAlignment="1">
      <alignment horizontal="center" vertical="center"/>
    </xf>
    <xf numFmtId="0" fontId="7" fillId="0" borderId="11" xfId="40" applyFont="1" applyBorder="1" applyAlignment="1">
      <alignment horizontal="center" vertical="center"/>
    </xf>
    <xf numFmtId="0" fontId="7" fillId="0" borderId="22" xfId="40" applyFont="1" applyBorder="1" applyAlignment="1">
      <alignment horizontal="center" vertical="center"/>
    </xf>
    <xf numFmtId="0" fontId="7" fillId="0" borderId="25" xfId="40" applyFont="1" applyBorder="1" applyAlignment="1">
      <alignment horizontal="center" vertical="center"/>
    </xf>
    <xf numFmtId="0" fontId="12" fillId="0" borderId="56" xfId="40" applyFont="1" applyBorder="1" applyAlignment="1">
      <alignment horizontal="center" vertical="center" wrapText="1"/>
    </xf>
    <xf numFmtId="0" fontId="12" fillId="0" borderId="21" xfId="40" applyFont="1" applyBorder="1" applyAlignment="1">
      <alignment horizontal="center" vertical="center" wrapText="1"/>
    </xf>
    <xf numFmtId="0" fontId="6" fillId="0" borderId="61" xfId="40" applyFont="1" applyBorder="1" applyAlignment="1">
      <alignment horizontal="center" vertical="center" wrapText="1"/>
    </xf>
    <xf numFmtId="0" fontId="6" fillId="0" borderId="16" xfId="40" applyFont="1" applyBorder="1" applyAlignment="1">
      <alignment horizontal="center" vertical="center" wrapText="1"/>
    </xf>
    <xf numFmtId="165" fontId="5" fillId="0" borderId="21" xfId="40" applyNumberFormat="1" applyFont="1" applyFill="1" applyBorder="1" applyAlignment="1">
      <alignment horizontal="center" vertical="center"/>
    </xf>
    <xf numFmtId="167" fontId="53" fillId="0" borderId="38" xfId="41" applyNumberFormat="1" applyFont="1" applyFill="1" applyBorder="1" applyAlignment="1" applyProtection="1">
      <alignment horizontal="left" vertical="center" wrapText="1" indent="1"/>
      <protection locked="0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/>
    <cellStyle name="Normál_KVIREND" xfId="41"/>
    <cellStyle name="Normál_likviditási ter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9" sqref="B19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479"/>
      <c r="B1" s="479"/>
      <c r="C1" s="479"/>
      <c r="D1" s="1"/>
      <c r="E1" s="1"/>
      <c r="F1" s="1"/>
    </row>
    <row r="2" spans="1:10" ht="30" customHeight="1" x14ac:dyDescent="0.2">
      <c r="A2" s="480"/>
      <c r="B2" s="480"/>
      <c r="C2" s="480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481" t="s">
        <v>202</v>
      </c>
      <c r="B6" s="482"/>
      <c r="C6" s="483"/>
    </row>
    <row r="7" spans="1:10" ht="18.75" x14ac:dyDescent="0.2">
      <c r="A7" s="9" t="s">
        <v>203</v>
      </c>
      <c r="B7" s="477" t="s">
        <v>342</v>
      </c>
      <c r="C7" s="478"/>
    </row>
    <row r="8" spans="1:10" s="10" customFormat="1" ht="18.75" x14ac:dyDescent="0.2">
      <c r="A8" s="9"/>
      <c r="B8" s="477"/>
      <c r="C8" s="478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22"/>
  <sheetViews>
    <sheetView workbookViewId="0">
      <selection activeCell="J25" sqref="J25"/>
    </sheetView>
  </sheetViews>
  <sheetFormatPr defaultRowHeight="12.75" x14ac:dyDescent="0.2"/>
  <cols>
    <col min="1" max="1" width="39" bestFit="1" customWidth="1"/>
  </cols>
  <sheetData>
    <row r="1" spans="1:15" ht="15.75" x14ac:dyDescent="0.2">
      <c r="A1" s="666" t="s">
        <v>324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</row>
    <row r="2" spans="1:15" ht="15.75" x14ac:dyDescent="0.2">
      <c r="A2" s="666" t="s">
        <v>279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</row>
    <row r="3" spans="1:15" x14ac:dyDescent="0.2">
      <c r="A3" s="667" t="s">
        <v>365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</row>
    <row r="4" spans="1:15" x14ac:dyDescent="0.2">
      <c r="A4" s="667"/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</row>
    <row r="5" spans="1:15" ht="15.7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667" t="s">
        <v>3</v>
      </c>
      <c r="N5" s="667"/>
    </row>
    <row r="6" spans="1:15" ht="15.75" x14ac:dyDescent="0.2">
      <c r="A6" s="44" t="s">
        <v>196</v>
      </c>
      <c r="B6" s="45" t="s">
        <v>4</v>
      </c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45" t="s">
        <v>13</v>
      </c>
      <c r="L6" s="45" t="s">
        <v>14</v>
      </c>
      <c r="M6" s="45" t="s">
        <v>15</v>
      </c>
      <c r="N6" s="44" t="s">
        <v>16</v>
      </c>
    </row>
    <row r="7" spans="1:15" x14ac:dyDescent="0.2">
      <c r="A7" s="55" t="s">
        <v>197</v>
      </c>
      <c r="B7" s="50">
        <v>3903</v>
      </c>
      <c r="C7" s="50">
        <v>1956</v>
      </c>
      <c r="D7" s="50">
        <v>1956</v>
      </c>
      <c r="E7" s="50">
        <v>1956</v>
      </c>
      <c r="F7" s="50">
        <v>1956</v>
      </c>
      <c r="G7" s="50">
        <v>1956</v>
      </c>
      <c r="H7" s="50">
        <v>1956</v>
      </c>
      <c r="I7" s="50">
        <v>1956</v>
      </c>
      <c r="J7" s="50">
        <v>1956</v>
      </c>
      <c r="K7" s="50">
        <v>1956</v>
      </c>
      <c r="L7" s="50">
        <f>1956+707</f>
        <v>2663</v>
      </c>
      <c r="M7" s="50">
        <f>1956+2+262</f>
        <v>2220</v>
      </c>
      <c r="N7" s="51">
        <f t="shared" ref="N7:N12" si="0">SUM(B7:M7)</f>
        <v>26390</v>
      </c>
      <c r="O7">
        <f>'13'!E10</f>
        <v>26390</v>
      </c>
    </row>
    <row r="8" spans="1:15" x14ac:dyDescent="0.2">
      <c r="A8" s="55" t="s">
        <v>17</v>
      </c>
      <c r="B8" s="50">
        <v>1054</v>
      </c>
      <c r="C8" s="50">
        <v>532</v>
      </c>
      <c r="D8" s="50">
        <v>532</v>
      </c>
      <c r="E8" s="50">
        <v>532</v>
      </c>
      <c r="F8" s="50">
        <v>532</v>
      </c>
      <c r="G8" s="50">
        <v>532</v>
      </c>
      <c r="H8" s="50">
        <v>532</v>
      </c>
      <c r="I8" s="50">
        <v>532</v>
      </c>
      <c r="J8" s="50">
        <v>532</v>
      </c>
      <c r="K8" s="50">
        <v>532</v>
      </c>
      <c r="L8" s="50">
        <f>532+182</f>
        <v>714</v>
      </c>
      <c r="M8" s="50">
        <f>532+2</f>
        <v>534</v>
      </c>
      <c r="N8" s="51">
        <f t="shared" si="0"/>
        <v>7090</v>
      </c>
      <c r="O8">
        <f>'13'!E11</f>
        <v>7090</v>
      </c>
    </row>
    <row r="9" spans="1:15" x14ac:dyDescent="0.2">
      <c r="A9" s="55" t="s">
        <v>207</v>
      </c>
      <c r="B9" s="50">
        <v>561</v>
      </c>
      <c r="C9" s="50">
        <v>561</v>
      </c>
      <c r="D9" s="50">
        <v>561</v>
      </c>
      <c r="E9" s="50">
        <v>561</v>
      </c>
      <c r="F9" s="50">
        <v>561</v>
      </c>
      <c r="G9" s="50">
        <v>561</v>
      </c>
      <c r="H9" s="50">
        <v>561</v>
      </c>
      <c r="I9" s="50">
        <v>561</v>
      </c>
      <c r="J9" s="50">
        <v>561</v>
      </c>
      <c r="K9" s="50">
        <v>561</v>
      </c>
      <c r="L9" s="50">
        <v>561</v>
      </c>
      <c r="M9" s="50">
        <v>561</v>
      </c>
      <c r="N9" s="51">
        <f t="shared" si="0"/>
        <v>6732</v>
      </c>
      <c r="O9" s="323">
        <v>6732</v>
      </c>
    </row>
    <row r="10" spans="1:15" x14ac:dyDescent="0.2">
      <c r="A10" s="55" t="s">
        <v>18</v>
      </c>
      <c r="B10" s="50">
        <f>+O10/12</f>
        <v>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>
        <f t="shared" si="0"/>
        <v>0</v>
      </c>
    </row>
    <row r="11" spans="1:15" x14ac:dyDescent="0.2">
      <c r="A11" s="55" t="s">
        <v>19</v>
      </c>
      <c r="B11" s="50">
        <f>+O11/12</f>
        <v>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>
        <f t="shared" si="0"/>
        <v>0</v>
      </c>
    </row>
    <row r="12" spans="1:15" x14ac:dyDescent="0.2">
      <c r="A12" s="55" t="s">
        <v>201</v>
      </c>
      <c r="B12" s="50"/>
      <c r="C12" s="50"/>
      <c r="D12" s="50"/>
      <c r="E12" s="50"/>
      <c r="F12" s="50"/>
      <c r="G12" s="50">
        <v>16</v>
      </c>
      <c r="H12" s="50"/>
      <c r="I12" s="50"/>
      <c r="J12" s="50"/>
      <c r="K12" s="50"/>
      <c r="L12" s="50"/>
      <c r="M12" s="50"/>
      <c r="N12" s="51">
        <f t="shared" si="0"/>
        <v>16</v>
      </c>
      <c r="O12">
        <v>16</v>
      </c>
    </row>
    <row r="13" spans="1:15" x14ac:dyDescent="0.2">
      <c r="A13" s="55" t="s">
        <v>261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1:15" x14ac:dyDescent="0.2">
      <c r="A14" s="56" t="s">
        <v>20</v>
      </c>
      <c r="B14" s="50">
        <f>SUM(B7:B13)</f>
        <v>5518</v>
      </c>
      <c r="C14" s="50">
        <f t="shared" ref="C14:M14" si="1">SUM(C7:C13)</f>
        <v>3049</v>
      </c>
      <c r="D14" s="50">
        <f t="shared" si="1"/>
        <v>3049</v>
      </c>
      <c r="E14" s="50">
        <f t="shared" si="1"/>
        <v>3049</v>
      </c>
      <c r="F14" s="50">
        <f t="shared" si="1"/>
        <v>3049</v>
      </c>
      <c r="G14" s="50">
        <f t="shared" si="1"/>
        <v>3065</v>
      </c>
      <c r="H14" s="50">
        <f t="shared" si="1"/>
        <v>3049</v>
      </c>
      <c r="I14" s="50">
        <f t="shared" si="1"/>
        <v>3049</v>
      </c>
      <c r="J14" s="50">
        <f t="shared" si="1"/>
        <v>3049</v>
      </c>
      <c r="K14" s="50">
        <f t="shared" si="1"/>
        <v>3049</v>
      </c>
      <c r="L14" s="50">
        <f t="shared" si="1"/>
        <v>3938</v>
      </c>
      <c r="M14" s="50">
        <f t="shared" si="1"/>
        <v>3315</v>
      </c>
      <c r="N14" s="51">
        <f>SUM(N7:N13)</f>
        <v>40228</v>
      </c>
      <c r="O14" s="51">
        <f>SUM(O7:O13)</f>
        <v>40228</v>
      </c>
    </row>
    <row r="15" spans="1:15" ht="15" x14ac:dyDescent="0.2">
      <c r="A15" s="47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5" x14ac:dyDescent="0.2">
      <c r="A16" s="55" t="s">
        <v>21</v>
      </c>
      <c r="B16" s="50">
        <f>+O16/12</f>
        <v>2.9166666666666665</v>
      </c>
      <c r="C16" s="50"/>
      <c r="D16" s="50"/>
      <c r="E16" s="50"/>
      <c r="F16" s="50">
        <v>32</v>
      </c>
      <c r="G16" s="50"/>
      <c r="H16" s="50"/>
      <c r="I16" s="50"/>
      <c r="J16" s="50"/>
      <c r="K16" s="50"/>
      <c r="L16" s="50"/>
      <c r="M16" s="50"/>
      <c r="N16" s="51">
        <f t="shared" ref="N16:N22" si="2">SUM(B16:M16)</f>
        <v>34.916666666666664</v>
      </c>
      <c r="O16">
        <v>35</v>
      </c>
    </row>
    <row r="17" spans="1:15" x14ac:dyDescent="0.2">
      <c r="A17" s="55" t="s">
        <v>208</v>
      </c>
      <c r="B17" s="50">
        <f>+O17/12</f>
        <v>0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>
        <f t="shared" si="2"/>
        <v>0</v>
      </c>
    </row>
    <row r="18" spans="1:15" x14ac:dyDescent="0.2">
      <c r="A18" s="177" t="s">
        <v>152</v>
      </c>
      <c r="B18" s="50">
        <v>2855</v>
      </c>
      <c r="C18" s="50">
        <v>2855</v>
      </c>
      <c r="D18" s="50">
        <v>2855</v>
      </c>
      <c r="E18" s="50">
        <v>2855</v>
      </c>
      <c r="F18" s="50">
        <v>2855</v>
      </c>
      <c r="G18" s="50">
        <v>2855</v>
      </c>
      <c r="H18" s="50">
        <f>2855+741</f>
        <v>3596</v>
      </c>
      <c r="I18" s="50">
        <v>2855</v>
      </c>
      <c r="J18" s="50">
        <v>2855</v>
      </c>
      <c r="K18" s="50">
        <v>2855</v>
      </c>
      <c r="L18" s="50">
        <v>2855</v>
      </c>
      <c r="M18" s="50">
        <v>2860</v>
      </c>
      <c r="N18" s="51">
        <f t="shared" si="2"/>
        <v>35006</v>
      </c>
      <c r="O18" s="323">
        <v>35006</v>
      </c>
    </row>
    <row r="19" spans="1:15" x14ac:dyDescent="0.2">
      <c r="A19" s="55" t="s">
        <v>29</v>
      </c>
      <c r="B19" s="50"/>
      <c r="C19" s="50"/>
      <c r="D19" s="50">
        <v>372</v>
      </c>
      <c r="E19" s="50"/>
      <c r="F19" s="50"/>
      <c r="G19" s="50"/>
      <c r="H19" s="50"/>
      <c r="I19" s="50"/>
      <c r="J19" s="50"/>
      <c r="K19" s="50"/>
      <c r="L19" s="50"/>
      <c r="M19" s="50"/>
      <c r="N19" s="51">
        <f t="shared" si="2"/>
        <v>372</v>
      </c>
      <c r="O19">
        <v>372</v>
      </c>
    </row>
    <row r="20" spans="1:15" x14ac:dyDescent="0.2">
      <c r="A20" s="55" t="s">
        <v>200</v>
      </c>
      <c r="B20" s="50">
        <v>144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>
        <f t="shared" si="2"/>
        <v>144</v>
      </c>
      <c r="O20">
        <v>144</v>
      </c>
    </row>
    <row r="21" spans="1:15" x14ac:dyDescent="0.2">
      <c r="A21" s="55" t="s">
        <v>161</v>
      </c>
      <c r="B21" s="50">
        <v>4671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>
        <f t="shared" si="2"/>
        <v>4671</v>
      </c>
      <c r="O21">
        <v>4671</v>
      </c>
    </row>
    <row r="22" spans="1:15" ht="14.25" x14ac:dyDescent="0.2">
      <c r="A22" s="46" t="s">
        <v>23</v>
      </c>
      <c r="B22" s="54">
        <f>+B16+B17+B18+B19+B20+B21</f>
        <v>7672.9166666666661</v>
      </c>
      <c r="C22" s="54">
        <f>+C16+C17+C18+C19+C20+C21</f>
        <v>2855</v>
      </c>
      <c r="D22" s="54">
        <f t="shared" ref="D22:L22" si="3">+D16+D17+D18+D19+D20+D21</f>
        <v>3227</v>
      </c>
      <c r="E22" s="54">
        <f t="shared" si="3"/>
        <v>2855</v>
      </c>
      <c r="F22" s="54">
        <f t="shared" si="3"/>
        <v>2887</v>
      </c>
      <c r="G22" s="54">
        <f t="shared" si="3"/>
        <v>2855</v>
      </c>
      <c r="H22" s="54">
        <f t="shared" si="3"/>
        <v>3596</v>
      </c>
      <c r="I22" s="54">
        <f t="shared" si="3"/>
        <v>2855</v>
      </c>
      <c r="J22" s="54">
        <f t="shared" si="3"/>
        <v>2855</v>
      </c>
      <c r="K22" s="54">
        <f t="shared" si="3"/>
        <v>2855</v>
      </c>
      <c r="L22" s="54">
        <f t="shared" si="3"/>
        <v>2855</v>
      </c>
      <c r="M22" s="54">
        <f>SUM(M16:M20)+M21</f>
        <v>2860</v>
      </c>
      <c r="N22" s="51">
        <f t="shared" si="2"/>
        <v>40227.916666666664</v>
      </c>
      <c r="O22">
        <f>SUM(O16:O21)</f>
        <v>40228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04"/>
  <sheetViews>
    <sheetView zoomScale="75" workbookViewId="0">
      <selection activeCell="G86" sqref="G86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5" width="14.5703125" style="2" customWidth="1"/>
    <col min="6" max="6" width="16.7109375" style="2" customWidth="1"/>
    <col min="7" max="7" width="14.85546875" style="11" bestFit="1" customWidth="1"/>
  </cols>
  <sheetData>
    <row r="1" spans="1:7" ht="18.75" x14ac:dyDescent="0.3">
      <c r="A1" s="513" t="s">
        <v>310</v>
      </c>
      <c r="B1" s="518"/>
      <c r="C1" s="518"/>
      <c r="D1" s="518"/>
      <c r="E1" s="518"/>
      <c r="F1" s="518"/>
    </row>
    <row r="2" spans="1:7" x14ac:dyDescent="0.2">
      <c r="A2" s="480"/>
      <c r="B2" s="480"/>
      <c r="C2" s="480"/>
      <c r="D2" s="480"/>
      <c r="E2" s="480"/>
      <c r="F2" s="480"/>
    </row>
    <row r="3" spans="1:7" x14ac:dyDescent="0.25">
      <c r="A3" s="514" t="s">
        <v>279</v>
      </c>
      <c r="B3" s="514"/>
      <c r="C3" s="514"/>
      <c r="D3" s="514"/>
      <c r="E3" s="514"/>
      <c r="F3" s="514"/>
    </row>
    <row r="4" spans="1:7" x14ac:dyDescent="0.2">
      <c r="A4" s="480" t="s">
        <v>209</v>
      </c>
      <c r="B4" s="480"/>
      <c r="C4" s="480"/>
      <c r="D4" s="480"/>
      <c r="E4" s="480"/>
      <c r="F4" s="480"/>
    </row>
    <row r="5" spans="1:7" ht="16.5" thickBot="1" x14ac:dyDescent="0.3">
      <c r="A5" s="515" t="s">
        <v>364</v>
      </c>
      <c r="B5" s="515"/>
      <c r="C5" s="515"/>
      <c r="D5" s="515"/>
      <c r="E5" s="515"/>
      <c r="F5" s="515"/>
    </row>
    <row r="6" spans="1:7" ht="12.75" x14ac:dyDescent="0.2">
      <c r="A6" s="522" t="s">
        <v>210</v>
      </c>
      <c r="B6" s="509" t="s">
        <v>196</v>
      </c>
      <c r="C6" s="509"/>
      <c r="D6" s="526" t="s">
        <v>372</v>
      </c>
      <c r="E6" s="526" t="s">
        <v>371</v>
      </c>
      <c r="F6" s="526"/>
      <c r="G6" s="669"/>
    </row>
    <row r="7" spans="1:7" ht="32.450000000000003" customHeight="1" x14ac:dyDescent="0.2">
      <c r="A7" s="523"/>
      <c r="B7" s="510"/>
      <c r="C7" s="510"/>
      <c r="D7" s="527"/>
      <c r="E7" s="527"/>
      <c r="F7" s="527"/>
      <c r="G7" s="670"/>
    </row>
    <row r="8" spans="1:7" thickBot="1" x14ac:dyDescent="0.25">
      <c r="A8" s="524"/>
      <c r="B8" s="525"/>
      <c r="C8" s="525"/>
      <c r="D8" s="529"/>
      <c r="E8" s="529"/>
      <c r="F8" s="529"/>
      <c r="G8" s="249"/>
    </row>
    <row r="9" spans="1:7" x14ac:dyDescent="0.2">
      <c r="A9" s="248"/>
      <c r="B9" s="509" t="s">
        <v>211</v>
      </c>
      <c r="C9" s="509"/>
      <c r="D9" s="252"/>
      <c r="E9" s="252"/>
      <c r="F9" s="245"/>
      <c r="G9" s="245"/>
    </row>
    <row r="10" spans="1:7" x14ac:dyDescent="0.25">
      <c r="A10" s="9">
        <v>1</v>
      </c>
      <c r="B10" s="500" t="s">
        <v>197</v>
      </c>
      <c r="C10" s="500"/>
      <c r="D10" s="253">
        <v>25421</v>
      </c>
      <c r="E10" s="253">
        <f>25421+262+707</f>
        <v>26390</v>
      </c>
      <c r="F10" s="201"/>
      <c r="G10" s="250"/>
    </row>
    <row r="11" spans="1:7" x14ac:dyDescent="0.25">
      <c r="A11" s="9">
        <v>2</v>
      </c>
      <c r="B11" s="500" t="s">
        <v>206</v>
      </c>
      <c r="C11" s="500"/>
      <c r="D11" s="253">
        <v>6908</v>
      </c>
      <c r="E11" s="253">
        <f>6908+182</f>
        <v>7090</v>
      </c>
      <c r="F11" s="201"/>
      <c r="G11" s="250"/>
    </row>
    <row r="12" spans="1:7" x14ac:dyDescent="0.25">
      <c r="A12" s="9">
        <v>3</v>
      </c>
      <c r="B12" s="500" t="s">
        <v>207</v>
      </c>
      <c r="C12" s="500"/>
      <c r="D12" s="253">
        <v>4737</v>
      </c>
      <c r="E12" s="253">
        <f>4737+1995</f>
        <v>6732</v>
      </c>
      <c r="F12" s="201"/>
      <c r="G12" s="260"/>
    </row>
    <row r="13" spans="1:7" x14ac:dyDescent="0.25">
      <c r="A13" s="9" t="s">
        <v>54</v>
      </c>
      <c r="B13" s="500" t="s">
        <v>189</v>
      </c>
      <c r="C13" s="500"/>
      <c r="D13" s="253"/>
      <c r="E13" s="253"/>
      <c r="F13" s="201"/>
      <c r="G13" s="250"/>
    </row>
    <row r="14" spans="1:7" x14ac:dyDescent="0.2">
      <c r="A14" s="9" t="s">
        <v>56</v>
      </c>
      <c r="B14" s="506" t="s">
        <v>183</v>
      </c>
      <c r="C14" s="506"/>
      <c r="D14" s="253"/>
      <c r="E14" s="253"/>
      <c r="F14" s="13"/>
      <c r="G14" s="13"/>
    </row>
    <row r="15" spans="1:7" x14ac:dyDescent="0.25">
      <c r="A15" s="9" t="s">
        <v>174</v>
      </c>
      <c r="B15" s="502" t="s">
        <v>177</v>
      </c>
      <c r="C15" s="502"/>
      <c r="D15" s="253"/>
      <c r="E15" s="253"/>
      <c r="F15" s="201"/>
      <c r="G15" s="250"/>
    </row>
    <row r="16" spans="1:7" x14ac:dyDescent="0.25">
      <c r="A16" s="9" t="s">
        <v>175</v>
      </c>
      <c r="B16" s="502" t="s">
        <v>272</v>
      </c>
      <c r="C16" s="502"/>
      <c r="D16" s="253"/>
      <c r="E16" s="253"/>
      <c r="F16" s="201"/>
      <c r="G16" s="250"/>
    </row>
    <row r="17" spans="1:7" x14ac:dyDescent="0.25">
      <c r="A17" s="9"/>
      <c r="B17" s="668" t="s">
        <v>184</v>
      </c>
      <c r="C17" s="668"/>
      <c r="D17" s="253"/>
      <c r="E17" s="253"/>
      <c r="F17" s="201"/>
      <c r="G17" s="250"/>
    </row>
    <row r="18" spans="1:7" x14ac:dyDescent="0.25">
      <c r="A18" s="9" t="s">
        <v>176</v>
      </c>
      <c r="B18" s="489" t="s">
        <v>179</v>
      </c>
      <c r="C18" s="489"/>
      <c r="D18" s="253"/>
      <c r="E18" s="253"/>
      <c r="F18" s="201"/>
      <c r="G18" s="250"/>
    </row>
    <row r="19" spans="1:7" x14ac:dyDescent="0.25">
      <c r="A19" s="9" t="s">
        <v>82</v>
      </c>
      <c r="B19" s="489" t="s">
        <v>83</v>
      </c>
      <c r="C19" s="504"/>
      <c r="D19" s="253"/>
      <c r="E19" s="253"/>
      <c r="F19" s="201"/>
      <c r="G19" s="250"/>
    </row>
    <row r="20" spans="1:7" x14ac:dyDescent="0.25">
      <c r="A20" s="9"/>
      <c r="B20" s="500" t="s">
        <v>267</v>
      </c>
      <c r="C20" s="500"/>
      <c r="D20" s="254"/>
      <c r="E20" s="254"/>
      <c r="F20" s="308"/>
      <c r="G20" s="262"/>
    </row>
    <row r="21" spans="1:7" x14ac:dyDescent="0.2">
      <c r="A21" s="9" t="s">
        <v>203</v>
      </c>
      <c r="B21" s="244" t="s">
        <v>173</v>
      </c>
      <c r="C21" s="165"/>
      <c r="D21" s="303">
        <f>+D10+D11+D12+D13+D14+D20</f>
        <v>37066</v>
      </c>
      <c r="E21" s="303">
        <f>+E10+E11+E12+E13+E14+E20</f>
        <v>40212</v>
      </c>
      <c r="F21" s="253"/>
      <c r="G21" s="253"/>
    </row>
    <row r="22" spans="1:7" x14ac:dyDescent="0.25">
      <c r="A22" s="9" t="s">
        <v>57</v>
      </c>
      <c r="B22" s="500" t="s">
        <v>199</v>
      </c>
      <c r="C22" s="500"/>
      <c r="D22" s="254"/>
      <c r="E22" s="254">
        <v>16</v>
      </c>
      <c r="F22" s="201"/>
      <c r="G22" s="250"/>
    </row>
    <row r="23" spans="1:7" x14ac:dyDescent="0.25">
      <c r="A23" s="9" t="s">
        <v>58</v>
      </c>
      <c r="B23" s="500" t="s">
        <v>198</v>
      </c>
      <c r="C23" s="500"/>
      <c r="D23" s="254"/>
      <c r="E23" s="254"/>
      <c r="F23" s="201"/>
      <c r="G23" s="250"/>
    </row>
    <row r="24" spans="1:7" x14ac:dyDescent="0.25">
      <c r="A24" s="9" t="s">
        <v>60</v>
      </c>
      <c r="B24" s="500" t="s">
        <v>180</v>
      </c>
      <c r="C24" s="500"/>
      <c r="D24" s="254"/>
      <c r="E24" s="254"/>
      <c r="F24" s="201"/>
      <c r="G24" s="250"/>
    </row>
    <row r="25" spans="1:7" x14ac:dyDescent="0.25">
      <c r="A25" s="9" t="s">
        <v>204</v>
      </c>
      <c r="B25" s="500" t="s">
        <v>268</v>
      </c>
      <c r="C25" s="500"/>
      <c r="D25" s="254"/>
      <c r="E25" s="254">
        <v>16</v>
      </c>
      <c r="F25" s="201"/>
      <c r="G25" s="250"/>
    </row>
    <row r="26" spans="1:7" x14ac:dyDescent="0.25">
      <c r="A26" s="9" t="s">
        <v>205</v>
      </c>
      <c r="B26" s="500"/>
      <c r="C26" s="500"/>
      <c r="D26" s="254"/>
      <c r="E26" s="254"/>
      <c r="F26" s="201"/>
      <c r="G26" s="250"/>
    </row>
    <row r="27" spans="1:7" x14ac:dyDescent="0.25">
      <c r="A27" s="9" t="s">
        <v>190</v>
      </c>
      <c r="B27" s="542"/>
      <c r="C27" s="542"/>
      <c r="D27" s="255"/>
      <c r="E27" s="255"/>
      <c r="F27" s="201"/>
      <c r="G27" s="250"/>
    </row>
    <row r="28" spans="1:7" x14ac:dyDescent="0.25">
      <c r="A28" s="9" t="s">
        <v>191</v>
      </c>
      <c r="B28" s="542"/>
      <c r="C28" s="542"/>
      <c r="D28" s="300"/>
      <c r="E28" s="300"/>
      <c r="F28" s="201"/>
      <c r="G28" s="250"/>
    </row>
    <row r="29" spans="1:7" ht="19.5" x14ac:dyDescent="0.3">
      <c r="A29" s="171" t="s">
        <v>181</v>
      </c>
      <c r="B29" s="497" t="s">
        <v>182</v>
      </c>
      <c r="C29" s="497"/>
      <c r="D29" s="301">
        <f>+D21+D25+D26+D27+D28</f>
        <v>37066</v>
      </c>
      <c r="E29" s="301">
        <f>+E21+E25+E26+E27+E28</f>
        <v>40228</v>
      </c>
      <c r="F29" s="301"/>
      <c r="G29" s="301">
        <f>+G21+G25+G26+G27+G28</f>
        <v>0</v>
      </c>
    </row>
    <row r="30" spans="1:7" x14ac:dyDescent="0.25">
      <c r="A30" s="18"/>
      <c r="B30" s="496"/>
      <c r="C30" s="496"/>
      <c r="D30" s="257"/>
      <c r="E30" s="257"/>
      <c r="F30" s="19"/>
      <c r="G30" s="19"/>
    </row>
    <row r="31" spans="1:7" x14ac:dyDescent="0.25">
      <c r="A31" s="9"/>
      <c r="B31" s="495" t="s">
        <v>212</v>
      </c>
      <c r="C31" s="495"/>
      <c r="D31" s="254"/>
      <c r="E31" s="254"/>
      <c r="F31" s="201"/>
      <c r="G31" s="250"/>
    </row>
    <row r="32" spans="1:7" x14ac:dyDescent="0.25">
      <c r="A32" s="9" t="s">
        <v>30</v>
      </c>
      <c r="B32" s="490" t="s">
        <v>265</v>
      </c>
      <c r="C32" s="490"/>
      <c r="D32" s="254"/>
      <c r="E32" s="254">
        <v>35</v>
      </c>
      <c r="F32" s="201"/>
      <c r="G32" s="250">
        <v>0</v>
      </c>
    </row>
    <row r="33" spans="1:7" x14ac:dyDescent="0.25">
      <c r="A33" s="9" t="s">
        <v>52</v>
      </c>
      <c r="B33" s="490" t="s">
        <v>208</v>
      </c>
      <c r="C33" s="490"/>
      <c r="D33" s="254">
        <f>SUM(D34:D36)</f>
        <v>0</v>
      </c>
      <c r="E33" s="254"/>
      <c r="F33" s="254"/>
      <c r="G33" s="250"/>
    </row>
    <row r="34" spans="1:7" x14ac:dyDescent="0.25">
      <c r="A34" s="9"/>
      <c r="B34" s="208" t="s">
        <v>84</v>
      </c>
      <c r="C34" s="145" t="s">
        <v>185</v>
      </c>
      <c r="D34" s="254"/>
      <c r="E34" s="254"/>
      <c r="F34" s="201"/>
      <c r="G34" s="250"/>
    </row>
    <row r="35" spans="1:7" x14ac:dyDescent="0.25">
      <c r="A35" s="9"/>
      <c r="B35" s="208" t="s">
        <v>85</v>
      </c>
      <c r="C35" s="145" t="s">
        <v>186</v>
      </c>
      <c r="D35" s="254"/>
      <c r="E35" s="254"/>
      <c r="F35" s="201"/>
      <c r="G35" s="250"/>
    </row>
    <row r="36" spans="1:7" x14ac:dyDescent="0.25">
      <c r="A36" s="9"/>
      <c r="B36" s="208" t="s">
        <v>86</v>
      </c>
      <c r="C36" s="145" t="s">
        <v>187</v>
      </c>
      <c r="D36" s="254"/>
      <c r="E36" s="254"/>
      <c r="F36" s="201"/>
      <c r="G36" s="250"/>
    </row>
    <row r="37" spans="1:7" x14ac:dyDescent="0.25">
      <c r="A37" s="9" t="s">
        <v>53</v>
      </c>
      <c r="B37" s="490" t="s">
        <v>152</v>
      </c>
      <c r="C37" s="490"/>
      <c r="D37" s="254"/>
      <c r="E37" s="254"/>
      <c r="F37" s="201"/>
      <c r="G37" s="250"/>
    </row>
    <row r="38" spans="1:7" x14ac:dyDescent="0.25">
      <c r="A38" s="9"/>
      <c r="B38" s="209" t="s">
        <v>87</v>
      </c>
      <c r="C38" s="207" t="s">
        <v>269</v>
      </c>
      <c r="D38" s="254"/>
      <c r="E38" s="254"/>
      <c r="F38" s="201"/>
      <c r="G38" s="250"/>
    </row>
    <row r="39" spans="1:7" x14ac:dyDescent="0.25">
      <c r="A39" s="9"/>
      <c r="B39" s="209" t="s">
        <v>88</v>
      </c>
      <c r="C39" s="207" t="s">
        <v>90</v>
      </c>
      <c r="D39" s="254"/>
      <c r="E39" s="254"/>
      <c r="F39" s="201"/>
      <c r="G39" s="250"/>
    </row>
    <row r="40" spans="1:7" x14ac:dyDescent="0.25">
      <c r="A40" s="9"/>
      <c r="B40" s="209" t="s">
        <v>89</v>
      </c>
      <c r="C40" s="207" t="s">
        <v>271</v>
      </c>
      <c r="D40" s="254"/>
      <c r="E40" s="254"/>
      <c r="F40" s="201"/>
      <c r="G40" s="250"/>
    </row>
    <row r="41" spans="1:7" x14ac:dyDescent="0.25">
      <c r="A41" s="9" t="s">
        <v>54</v>
      </c>
      <c r="B41" s="490" t="s">
        <v>153</v>
      </c>
      <c r="C41" s="490"/>
      <c r="D41" s="254">
        <f>SUM(D42:D45)</f>
        <v>995</v>
      </c>
      <c r="E41" s="254">
        <v>372</v>
      </c>
      <c r="F41" s="254"/>
      <c r="G41" s="250"/>
    </row>
    <row r="42" spans="1:7" x14ac:dyDescent="0.25">
      <c r="A42" s="9"/>
      <c r="B42" s="209" t="s">
        <v>91</v>
      </c>
      <c r="C42" s="207" t="s">
        <v>95</v>
      </c>
      <c r="D42" s="254">
        <v>995</v>
      </c>
      <c r="E42" s="254">
        <f>995-741+118</f>
        <v>372</v>
      </c>
      <c r="F42" s="201"/>
      <c r="G42" s="250"/>
    </row>
    <row r="43" spans="1:7" x14ac:dyDescent="0.25">
      <c r="A43" s="9"/>
      <c r="B43" s="209" t="s">
        <v>92</v>
      </c>
      <c r="C43" s="207" t="s">
        <v>96</v>
      </c>
      <c r="D43" s="254"/>
      <c r="E43" s="254"/>
      <c r="F43" s="201"/>
      <c r="G43" s="250"/>
    </row>
    <row r="44" spans="1:7" x14ac:dyDescent="0.25">
      <c r="A44" s="9"/>
      <c r="B44" s="209" t="s">
        <v>93</v>
      </c>
      <c r="C44" s="207" t="s">
        <v>319</v>
      </c>
      <c r="D44" s="254"/>
      <c r="E44" s="254"/>
      <c r="F44" s="201"/>
      <c r="G44" s="250"/>
    </row>
    <row r="45" spans="1:7" x14ac:dyDescent="0.25">
      <c r="A45" s="9"/>
      <c r="B45" s="209" t="s">
        <v>94</v>
      </c>
      <c r="C45" s="207" t="s">
        <v>97</v>
      </c>
      <c r="D45" s="254"/>
      <c r="E45" s="254"/>
      <c r="F45" s="201"/>
      <c r="G45" s="250"/>
    </row>
    <row r="46" spans="1:7" x14ac:dyDescent="0.25">
      <c r="A46" s="210" t="s">
        <v>203</v>
      </c>
      <c r="B46" s="532" t="s">
        <v>98</v>
      </c>
      <c r="C46" s="532"/>
      <c r="D46" s="254">
        <f>+D32+D33+D37+D41</f>
        <v>995</v>
      </c>
      <c r="E46" s="267">
        <v>372</v>
      </c>
      <c r="F46" s="304"/>
      <c r="G46" s="304">
        <f>+G32+G33+G37+G41</f>
        <v>0</v>
      </c>
    </row>
    <row r="47" spans="1:7" x14ac:dyDescent="0.25">
      <c r="A47" s="9" t="s">
        <v>56</v>
      </c>
      <c r="B47" s="490" t="s">
        <v>200</v>
      </c>
      <c r="C47" s="490"/>
      <c r="D47" s="254">
        <f>SUM(D48:D49)</f>
        <v>0</v>
      </c>
      <c r="E47" s="254">
        <v>144</v>
      </c>
      <c r="F47" s="254"/>
      <c r="G47" s="250"/>
    </row>
    <row r="48" spans="1:7" x14ac:dyDescent="0.25">
      <c r="A48" s="9"/>
      <c r="B48" s="209" t="s">
        <v>99</v>
      </c>
      <c r="C48" s="207" t="s">
        <v>101</v>
      </c>
      <c r="D48" s="254"/>
      <c r="E48" s="254">
        <v>144</v>
      </c>
      <c r="F48" s="201"/>
      <c r="G48" s="250"/>
    </row>
    <row r="49" spans="1:7" x14ac:dyDescent="0.25">
      <c r="A49" s="9"/>
      <c r="B49" s="209" t="s">
        <v>100</v>
      </c>
      <c r="C49" s="207" t="s">
        <v>1</v>
      </c>
      <c r="D49" s="254"/>
      <c r="E49" s="254"/>
      <c r="F49" s="201"/>
      <c r="G49" s="250"/>
    </row>
    <row r="50" spans="1:7" x14ac:dyDescent="0.25">
      <c r="A50" s="9" t="s">
        <v>57</v>
      </c>
      <c r="B50" s="490" t="s">
        <v>155</v>
      </c>
      <c r="C50" s="490"/>
      <c r="D50" s="254">
        <f>SUM(D51:D52)</f>
        <v>0</v>
      </c>
      <c r="E50" s="254"/>
      <c r="F50" s="201"/>
      <c r="G50" s="250"/>
    </row>
    <row r="51" spans="1:7" x14ac:dyDescent="0.25">
      <c r="A51" s="9"/>
      <c r="B51" s="209" t="s">
        <v>102</v>
      </c>
      <c r="C51" s="207" t="s">
        <v>104</v>
      </c>
      <c r="D51" s="254"/>
      <c r="E51" s="254"/>
      <c r="F51" s="201"/>
      <c r="G51" s="250"/>
    </row>
    <row r="52" spans="1:7" x14ac:dyDescent="0.25">
      <c r="A52" s="9"/>
      <c r="B52" s="209" t="s">
        <v>103</v>
      </c>
      <c r="C52" s="207" t="s">
        <v>105</v>
      </c>
      <c r="D52" s="254"/>
      <c r="E52" s="254"/>
      <c r="F52" s="201"/>
      <c r="G52" s="250"/>
    </row>
    <row r="53" spans="1:7" x14ac:dyDescent="0.25">
      <c r="A53" s="9" t="s">
        <v>58</v>
      </c>
      <c r="B53" s="490" t="s">
        <v>156</v>
      </c>
      <c r="C53" s="490"/>
      <c r="D53" s="254">
        <f>SUM(D54:D56)</f>
        <v>0</v>
      </c>
      <c r="E53" s="254"/>
      <c r="F53" s="201"/>
      <c r="G53" s="250"/>
    </row>
    <row r="54" spans="1:7" x14ac:dyDescent="0.25">
      <c r="A54" s="9"/>
      <c r="B54" s="209" t="s">
        <v>106</v>
      </c>
      <c r="C54" s="207" t="s">
        <v>109</v>
      </c>
      <c r="D54" s="254"/>
      <c r="E54" s="254"/>
      <c r="F54" s="201"/>
      <c r="G54" s="250"/>
    </row>
    <row r="55" spans="1:7" x14ac:dyDescent="0.25">
      <c r="A55" s="9"/>
      <c r="B55" s="209" t="s">
        <v>107</v>
      </c>
      <c r="C55" s="207" t="s">
        <v>2</v>
      </c>
      <c r="D55" s="254"/>
      <c r="E55" s="254"/>
      <c r="F55" s="201"/>
      <c r="G55" s="250"/>
    </row>
    <row r="56" spans="1:7" x14ac:dyDescent="0.25">
      <c r="A56" s="9"/>
      <c r="B56" s="209" t="s">
        <v>108</v>
      </c>
      <c r="C56" s="207" t="s">
        <v>110</v>
      </c>
      <c r="D56" s="254"/>
      <c r="E56" s="254"/>
      <c r="F56" s="201"/>
      <c r="G56" s="250"/>
    </row>
    <row r="57" spans="1:7" x14ac:dyDescent="0.25">
      <c r="A57" s="210" t="s">
        <v>204</v>
      </c>
      <c r="B57" s="532" t="s">
        <v>247</v>
      </c>
      <c r="C57" s="532"/>
      <c r="D57" s="305">
        <f>+D47+D50+D53</f>
        <v>0</v>
      </c>
      <c r="E57" s="305">
        <v>144</v>
      </c>
      <c r="F57" s="305"/>
      <c r="G57" s="305">
        <f>+G47+G50+G53</f>
        <v>0</v>
      </c>
    </row>
    <row r="58" spans="1:7" x14ac:dyDescent="0.25">
      <c r="A58" s="210" t="s">
        <v>205</v>
      </c>
      <c r="B58" s="532" t="s">
        <v>157</v>
      </c>
      <c r="C58" s="532"/>
      <c r="D58" s="255"/>
      <c r="E58" s="255"/>
      <c r="F58" s="302"/>
      <c r="G58" s="307"/>
    </row>
    <row r="59" spans="1:7" x14ac:dyDescent="0.25">
      <c r="A59" s="210" t="s">
        <v>190</v>
      </c>
      <c r="B59" s="532" t="s">
        <v>22</v>
      </c>
      <c r="C59" s="532"/>
      <c r="D59" s="255"/>
      <c r="E59" s="255"/>
      <c r="F59" s="302"/>
      <c r="G59" s="307"/>
    </row>
    <row r="60" spans="1:7" ht="18.75" x14ac:dyDescent="0.3">
      <c r="A60" s="171" t="s">
        <v>158</v>
      </c>
      <c r="B60" s="484" t="s">
        <v>159</v>
      </c>
      <c r="C60" s="484"/>
      <c r="D60" s="301">
        <f>+D46+D57+D58+D59</f>
        <v>995</v>
      </c>
      <c r="E60" s="301">
        <f>+E46+E57+E58+E59+E32</f>
        <v>551</v>
      </c>
      <c r="F60" s="301">
        <f>+F46+F57+F58+F59</f>
        <v>0</v>
      </c>
      <c r="G60" s="301">
        <f>+G46+G57+G58+G59</f>
        <v>0</v>
      </c>
    </row>
    <row r="61" spans="1:7" ht="18.75" x14ac:dyDescent="0.3">
      <c r="A61" s="171"/>
      <c r="B61" s="484" t="s">
        <v>160</v>
      </c>
      <c r="C61" s="484"/>
      <c r="D61" s="301">
        <f>+D29-D60</f>
        <v>36071</v>
      </c>
      <c r="E61" s="301">
        <f>+E29-E60</f>
        <v>39677</v>
      </c>
      <c r="F61" s="301">
        <f>+F29-F60</f>
        <v>0</v>
      </c>
      <c r="G61" s="301">
        <f>+G29-G60</f>
        <v>0</v>
      </c>
    </row>
    <row r="62" spans="1:7" ht="18.75" x14ac:dyDescent="0.3">
      <c r="A62" s="171"/>
      <c r="B62" s="532" t="s">
        <v>322</v>
      </c>
      <c r="C62" s="532"/>
      <c r="D62" s="268">
        <f>36071-1806</f>
        <v>34265</v>
      </c>
      <c r="E62" s="268">
        <f>36071-1806+741</f>
        <v>35006</v>
      </c>
      <c r="F62" s="295"/>
      <c r="G62" s="301"/>
    </row>
    <row r="63" spans="1:7" x14ac:dyDescent="0.25">
      <c r="A63" s="210" t="s">
        <v>191</v>
      </c>
      <c r="B63" s="532" t="s">
        <v>161</v>
      </c>
      <c r="C63" s="532"/>
      <c r="D63" s="254">
        <v>1806</v>
      </c>
      <c r="E63" s="254">
        <f>1806+2865</f>
        <v>4671</v>
      </c>
      <c r="F63" s="201"/>
      <c r="G63" s="250"/>
    </row>
    <row r="64" spans="1:7" ht="18.75" x14ac:dyDescent="0.3">
      <c r="A64" s="171"/>
      <c r="B64" s="246" t="s">
        <v>30</v>
      </c>
      <c r="C64" s="207" t="s">
        <v>111</v>
      </c>
      <c r="D64" s="254">
        <v>1806</v>
      </c>
      <c r="E64" s="254">
        <v>4671</v>
      </c>
      <c r="F64" s="247"/>
      <c r="G64" s="251"/>
    </row>
    <row r="65" spans="1:7" ht="18.75" x14ac:dyDescent="0.3">
      <c r="A65" s="171"/>
      <c r="B65" s="246" t="s">
        <v>52</v>
      </c>
      <c r="C65" s="207" t="s">
        <v>112</v>
      </c>
      <c r="D65" s="256"/>
      <c r="E65" s="256"/>
      <c r="F65" s="201"/>
      <c r="G65" s="251"/>
    </row>
    <row r="66" spans="1:7" ht="18.75" x14ac:dyDescent="0.3">
      <c r="A66" s="171" t="s">
        <v>162</v>
      </c>
      <c r="B66" s="497" t="s">
        <v>166</v>
      </c>
      <c r="C66" s="497"/>
      <c r="D66" s="301">
        <v>1806</v>
      </c>
      <c r="E66" s="301">
        <v>4671</v>
      </c>
      <c r="F66" s="301">
        <f>+F63</f>
        <v>0</v>
      </c>
      <c r="G66" s="251"/>
    </row>
    <row r="67" spans="1:7" ht="18.75" x14ac:dyDescent="0.3">
      <c r="A67" s="9" t="s">
        <v>192</v>
      </c>
      <c r="B67" s="490" t="s">
        <v>163</v>
      </c>
      <c r="C67" s="490"/>
      <c r="D67" s="256"/>
      <c r="E67" s="256"/>
      <c r="F67" s="202">
        <f>SUM(D67:D67)</f>
        <v>0</v>
      </c>
      <c r="G67" s="251"/>
    </row>
    <row r="68" spans="1:7" ht="18.75" x14ac:dyDescent="0.3">
      <c r="A68" s="9" t="s">
        <v>193</v>
      </c>
      <c r="B68" s="490" t="s">
        <v>164</v>
      </c>
      <c r="C68" s="490"/>
      <c r="D68" s="256"/>
      <c r="E68" s="256"/>
      <c r="F68" s="202">
        <f>SUM(D68:D68)</f>
        <v>0</v>
      </c>
      <c r="G68" s="251"/>
    </row>
    <row r="69" spans="1:7" ht="18.75" x14ac:dyDescent="0.3">
      <c r="A69" s="9"/>
      <c r="B69" s="209" t="s">
        <v>30</v>
      </c>
      <c r="C69" s="207" t="s">
        <v>113</v>
      </c>
      <c r="D69" s="258"/>
      <c r="E69" s="258"/>
      <c r="F69" s="247">
        <f>SUM(D69:D69)</f>
        <v>0</v>
      </c>
      <c r="G69" s="251"/>
    </row>
    <row r="70" spans="1:7" ht="18.75" x14ac:dyDescent="0.3">
      <c r="A70" s="9"/>
      <c r="B70" s="209" t="s">
        <v>52</v>
      </c>
      <c r="C70" s="207" t="s">
        <v>114</v>
      </c>
      <c r="D70" s="256"/>
      <c r="E70" s="256"/>
      <c r="F70" s="202">
        <f>SUM(D70:D70)</f>
        <v>0</v>
      </c>
      <c r="G70" s="251"/>
    </row>
    <row r="71" spans="1:7" ht="18.75" x14ac:dyDescent="0.3">
      <c r="A71" s="9"/>
      <c r="B71" s="209" t="s">
        <v>53</v>
      </c>
      <c r="C71" s="207" t="s">
        <v>263</v>
      </c>
      <c r="D71" s="256"/>
      <c r="E71" s="256"/>
      <c r="F71" s="202"/>
      <c r="G71" s="251"/>
    </row>
    <row r="72" spans="1:7" ht="18.75" x14ac:dyDescent="0.3">
      <c r="A72" s="9"/>
      <c r="B72" s="209" t="s">
        <v>54</v>
      </c>
      <c r="C72" s="207" t="s">
        <v>264</v>
      </c>
      <c r="D72" s="256"/>
      <c r="E72" s="256"/>
      <c r="F72" s="202"/>
      <c r="G72" s="251"/>
    </row>
    <row r="73" spans="1:7" ht="19.5" x14ac:dyDescent="0.3">
      <c r="A73" s="171" t="s">
        <v>165</v>
      </c>
      <c r="B73" s="537" t="s">
        <v>167</v>
      </c>
      <c r="C73" s="537"/>
      <c r="D73" s="256"/>
      <c r="E73" s="256"/>
      <c r="F73" s="202">
        <f>SUM(D73:D73)</f>
        <v>0</v>
      </c>
      <c r="G73" s="251"/>
    </row>
    <row r="74" spans="1:7" ht="18.75" x14ac:dyDescent="0.3">
      <c r="A74" s="171" t="s">
        <v>168</v>
      </c>
      <c r="B74" s="484" t="s">
        <v>169</v>
      </c>
      <c r="C74" s="484"/>
      <c r="D74" s="256">
        <f>+D66+D73</f>
        <v>1806</v>
      </c>
      <c r="E74" s="256">
        <v>4671</v>
      </c>
      <c r="F74" s="256">
        <f>+F66+F73</f>
        <v>0</v>
      </c>
      <c r="G74" s="251"/>
    </row>
    <row r="75" spans="1:7" ht="18.75" x14ac:dyDescent="0.3">
      <c r="A75" s="9" t="s">
        <v>194</v>
      </c>
      <c r="B75" s="490" t="s">
        <v>323</v>
      </c>
      <c r="C75" s="490"/>
      <c r="D75" s="256"/>
      <c r="E75" s="256"/>
      <c r="F75" s="202">
        <f t="shared" ref="F75:F80" si="0">SUM(D75:D75)</f>
        <v>0</v>
      </c>
      <c r="G75" s="251"/>
    </row>
    <row r="76" spans="1:7" ht="18.75" x14ac:dyDescent="0.3">
      <c r="A76" s="9" t="s">
        <v>195</v>
      </c>
      <c r="B76" s="490" t="s">
        <v>170</v>
      </c>
      <c r="C76" s="490"/>
      <c r="D76" s="258"/>
      <c r="E76" s="258"/>
      <c r="F76" s="247">
        <f t="shared" si="0"/>
        <v>0</v>
      </c>
      <c r="G76" s="251"/>
    </row>
    <row r="77" spans="1:7" ht="18.75" x14ac:dyDescent="0.3">
      <c r="A77" s="9"/>
      <c r="B77" s="209" t="s">
        <v>30</v>
      </c>
      <c r="C77" s="207" t="s">
        <v>259</v>
      </c>
      <c r="D77" s="258"/>
      <c r="E77" s="258"/>
      <c r="F77" s="247">
        <f t="shared" si="0"/>
        <v>0</v>
      </c>
      <c r="G77" s="251"/>
    </row>
    <row r="78" spans="1:7" ht="18.75" x14ac:dyDescent="0.3">
      <c r="A78" s="9"/>
      <c r="B78" s="209" t="s">
        <v>52</v>
      </c>
      <c r="C78" s="207" t="s">
        <v>258</v>
      </c>
      <c r="D78" s="258"/>
      <c r="E78" s="258"/>
      <c r="F78" s="247">
        <f t="shared" si="0"/>
        <v>0</v>
      </c>
      <c r="G78" s="251"/>
    </row>
    <row r="79" spans="1:7" ht="18.75" x14ac:dyDescent="0.3">
      <c r="A79" s="9"/>
      <c r="B79" s="209" t="s">
        <v>53</v>
      </c>
      <c r="C79" s="207" t="s">
        <v>115</v>
      </c>
      <c r="D79" s="258"/>
      <c r="E79" s="258"/>
      <c r="F79" s="247">
        <f t="shared" si="0"/>
        <v>0</v>
      </c>
      <c r="G79" s="251"/>
    </row>
    <row r="80" spans="1:7" ht="18.75" x14ac:dyDescent="0.3">
      <c r="A80" s="171" t="s">
        <v>171</v>
      </c>
      <c r="B80" s="484" t="s">
        <v>172</v>
      </c>
      <c r="C80" s="484"/>
      <c r="D80" s="256">
        <f>+D75+D76</f>
        <v>0</v>
      </c>
      <c r="E80" s="256"/>
      <c r="F80" s="202">
        <f t="shared" si="0"/>
        <v>0</v>
      </c>
      <c r="G80" s="251"/>
    </row>
    <row r="81" spans="1:7" ht="18.75" x14ac:dyDescent="0.3">
      <c r="A81" s="171" t="s">
        <v>215</v>
      </c>
      <c r="B81" s="484" t="s">
        <v>217</v>
      </c>
      <c r="C81" s="484"/>
      <c r="D81" s="188">
        <f>+D29+D80</f>
        <v>37066</v>
      </c>
      <c r="E81" s="188">
        <f>+E29+E80</f>
        <v>40228</v>
      </c>
      <c r="F81" s="188">
        <f>+F29+F80</f>
        <v>0</v>
      </c>
      <c r="G81" s="188">
        <f>+G29+G80</f>
        <v>0</v>
      </c>
    </row>
    <row r="82" spans="1:7" ht="19.5" thickBot="1" x14ac:dyDescent="0.35">
      <c r="A82" s="189" t="s">
        <v>216</v>
      </c>
      <c r="B82" s="190" t="s">
        <v>218</v>
      </c>
      <c r="C82" s="190"/>
      <c r="D82" s="191">
        <f>+D60+D74+D62</f>
        <v>37066</v>
      </c>
      <c r="E82" s="191">
        <f>+E60+E74+E62</f>
        <v>40228</v>
      </c>
      <c r="F82" s="191">
        <f>+F60+F74</f>
        <v>0</v>
      </c>
      <c r="G82" s="191">
        <f>+G60+G74</f>
        <v>0</v>
      </c>
    </row>
    <row r="83" spans="1:7" x14ac:dyDescent="0.2">
      <c r="B83" s="15"/>
      <c r="C83" s="15"/>
      <c r="D83" s="16"/>
      <c r="E83" s="16"/>
      <c r="F83" s="16"/>
    </row>
    <row r="84" spans="1:7" x14ac:dyDescent="0.2">
      <c r="B84" s="15"/>
      <c r="C84" s="15"/>
      <c r="D84" s="194">
        <f>+D82-D81</f>
        <v>0</v>
      </c>
      <c r="E84" s="194"/>
      <c r="F84" s="194">
        <f>+F81-F82</f>
        <v>0</v>
      </c>
      <c r="G84" s="194">
        <f>+G82-G81</f>
        <v>0</v>
      </c>
    </row>
    <row r="85" spans="1:7" x14ac:dyDescent="0.2">
      <c r="B85" s="15"/>
      <c r="C85" s="15"/>
      <c r="D85" s="16"/>
      <c r="E85" s="16"/>
      <c r="F85" s="16"/>
    </row>
    <row r="86" spans="1:7" x14ac:dyDescent="0.2">
      <c r="B86" s="15"/>
      <c r="C86" s="15"/>
      <c r="D86" s="16"/>
      <c r="E86" s="16"/>
      <c r="F86" s="16"/>
    </row>
    <row r="87" spans="1:7" x14ac:dyDescent="0.2">
      <c r="B87" s="15"/>
      <c r="C87" s="15"/>
      <c r="D87" s="16"/>
      <c r="E87" s="16"/>
      <c r="F87" s="16"/>
    </row>
    <row r="88" spans="1:7" x14ac:dyDescent="0.2">
      <c r="B88" s="15"/>
      <c r="C88" s="15"/>
      <c r="D88" s="16"/>
      <c r="E88" s="16"/>
      <c r="F88" s="16"/>
    </row>
    <row r="89" spans="1:7" x14ac:dyDescent="0.2">
      <c r="B89" s="15"/>
      <c r="C89" s="15"/>
      <c r="D89" s="16"/>
      <c r="E89" s="16"/>
      <c r="F89" s="16"/>
    </row>
    <row r="90" spans="1:7" x14ac:dyDescent="0.2">
      <c r="B90" s="15"/>
      <c r="C90" s="15"/>
      <c r="D90" s="16"/>
      <c r="E90" s="16"/>
      <c r="F90" s="16"/>
    </row>
    <row r="91" spans="1:7" x14ac:dyDescent="0.2">
      <c r="B91" s="15"/>
      <c r="C91" s="15"/>
      <c r="D91" s="16"/>
      <c r="E91" s="16"/>
      <c r="F91" s="16"/>
    </row>
    <row r="92" spans="1:7" x14ac:dyDescent="0.2">
      <c r="B92" s="15"/>
      <c r="C92" s="15"/>
      <c r="D92" s="16"/>
      <c r="E92" s="16"/>
      <c r="F92" s="16"/>
    </row>
    <row r="93" spans="1:7" x14ac:dyDescent="0.2">
      <c r="B93" s="15"/>
      <c r="C93" s="15"/>
      <c r="D93" s="16"/>
      <c r="E93" s="16"/>
      <c r="F93" s="16"/>
    </row>
    <row r="94" spans="1:7" x14ac:dyDescent="0.2">
      <c r="B94" s="15"/>
      <c r="C94" s="15"/>
      <c r="D94" s="16"/>
      <c r="E94" s="16"/>
      <c r="F94" s="16"/>
    </row>
    <row r="95" spans="1:7" x14ac:dyDescent="0.2">
      <c r="B95" s="15"/>
      <c r="C95" s="15"/>
      <c r="D95" s="16"/>
      <c r="E95" s="16"/>
      <c r="F95" s="16"/>
    </row>
    <row r="96" spans="1:7" x14ac:dyDescent="0.2">
      <c r="B96" s="15"/>
      <c r="C96" s="15"/>
      <c r="D96" s="16"/>
      <c r="E96" s="16"/>
      <c r="F96" s="16"/>
    </row>
    <row r="97" spans="2:6" x14ac:dyDescent="0.2">
      <c r="B97" s="15"/>
      <c r="C97" s="15"/>
      <c r="D97" s="16"/>
      <c r="E97" s="16"/>
      <c r="F97" s="16"/>
    </row>
    <row r="98" spans="2:6" x14ac:dyDescent="0.2">
      <c r="B98" s="15"/>
      <c r="C98" s="15"/>
      <c r="D98" s="16"/>
      <c r="E98" s="16"/>
      <c r="F98" s="16"/>
    </row>
    <row r="99" spans="2:6" x14ac:dyDescent="0.2">
      <c r="B99" s="15"/>
      <c r="C99" s="15"/>
      <c r="D99" s="16"/>
      <c r="E99" s="16"/>
      <c r="F99" s="16"/>
    </row>
    <row r="100" spans="2:6" x14ac:dyDescent="0.2">
      <c r="B100" s="15"/>
      <c r="C100" s="15"/>
      <c r="D100" s="16"/>
      <c r="E100" s="16"/>
      <c r="F100" s="16"/>
    </row>
    <row r="101" spans="2:6" x14ac:dyDescent="0.2">
      <c r="B101" s="15"/>
      <c r="C101" s="15"/>
      <c r="D101" s="16"/>
      <c r="E101" s="16"/>
      <c r="F101" s="16"/>
    </row>
    <row r="102" spans="2:6" x14ac:dyDescent="0.2">
      <c r="B102" s="15"/>
      <c r="C102" s="15"/>
      <c r="D102" s="16"/>
      <c r="E102" s="16"/>
      <c r="F102" s="16"/>
    </row>
    <row r="103" spans="2:6" x14ac:dyDescent="0.2">
      <c r="B103" s="15"/>
      <c r="C103" s="15"/>
      <c r="D103" s="16"/>
      <c r="E103" s="16"/>
      <c r="F103" s="16"/>
    </row>
    <row r="104" spans="2:6" x14ac:dyDescent="0.2">
      <c r="B104" s="15"/>
      <c r="C104" s="15"/>
      <c r="D104" s="16"/>
      <c r="E104" s="16"/>
      <c r="F104" s="16"/>
    </row>
  </sheetData>
  <mergeCells count="58">
    <mergeCell ref="A6:A8"/>
    <mergeCell ref="B6:C8"/>
    <mergeCell ref="D6:D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D8:F8"/>
    <mergeCell ref="B9:C9"/>
    <mergeCell ref="B10:C10"/>
    <mergeCell ref="E6:E7"/>
    <mergeCell ref="B19:C19"/>
    <mergeCell ref="B20:C20"/>
    <mergeCell ref="B22:C22"/>
    <mergeCell ref="B23:C23"/>
    <mergeCell ref="B15:C15"/>
    <mergeCell ref="B16:C16"/>
    <mergeCell ref="B17:C17"/>
    <mergeCell ref="B18:C18"/>
    <mergeCell ref="B28:C28"/>
    <mergeCell ref="B29:C29"/>
    <mergeCell ref="B30:C30"/>
    <mergeCell ref="B31:C31"/>
    <mergeCell ref="B24:C24"/>
    <mergeCell ref="B25:C25"/>
    <mergeCell ref="B26:C26"/>
    <mergeCell ref="B27:C27"/>
    <mergeCell ref="B46:C46"/>
    <mergeCell ref="B47:C47"/>
    <mergeCell ref="B50:C50"/>
    <mergeCell ref="B53:C53"/>
    <mergeCell ref="B32:C32"/>
    <mergeCell ref="B33:C33"/>
    <mergeCell ref="B37:C37"/>
    <mergeCell ref="B41:C41"/>
    <mergeCell ref="B61:C61"/>
    <mergeCell ref="B62:C62"/>
    <mergeCell ref="B63:C63"/>
    <mergeCell ref="B66:C66"/>
    <mergeCell ref="B57:C57"/>
    <mergeCell ref="B58:C58"/>
    <mergeCell ref="B59:C59"/>
    <mergeCell ref="B60:C60"/>
    <mergeCell ref="B75:C75"/>
    <mergeCell ref="B76:C76"/>
    <mergeCell ref="B80:C80"/>
    <mergeCell ref="B81:C81"/>
    <mergeCell ref="B67:C67"/>
    <mergeCell ref="B68:C68"/>
    <mergeCell ref="B73:C73"/>
    <mergeCell ref="B74:C74"/>
  </mergeCells>
  <phoneticPr fontId="20" type="noConversion"/>
  <pageMargins left="0.15748031496062992" right="0.15748031496062992" top="0.19685039370078741" bottom="0.98425196850393704" header="0.1574803149606299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22"/>
  <sheetViews>
    <sheetView workbookViewId="0">
      <selection activeCell="L24" sqref="L24"/>
    </sheetView>
  </sheetViews>
  <sheetFormatPr defaultRowHeight="12.75" x14ac:dyDescent="0.2"/>
  <cols>
    <col min="1" max="1" width="39" bestFit="1" customWidth="1"/>
  </cols>
  <sheetData>
    <row r="1" spans="1:15" ht="15.75" x14ac:dyDescent="0.2">
      <c r="A1" s="666" t="s">
        <v>324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</row>
    <row r="2" spans="1:15" ht="15.75" x14ac:dyDescent="0.2">
      <c r="A2" s="666" t="s">
        <v>321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</row>
    <row r="3" spans="1:15" x14ac:dyDescent="0.2">
      <c r="A3" s="667" t="s">
        <v>363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</row>
    <row r="4" spans="1:15" x14ac:dyDescent="0.2">
      <c r="A4" s="667"/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</row>
    <row r="5" spans="1:15" ht="15.7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667" t="s">
        <v>3</v>
      </c>
      <c r="N5" s="667"/>
    </row>
    <row r="6" spans="1:15" ht="15.75" x14ac:dyDescent="0.2">
      <c r="A6" s="44" t="s">
        <v>196</v>
      </c>
      <c r="B6" s="45" t="s">
        <v>4</v>
      </c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45" t="s">
        <v>13</v>
      </c>
      <c r="L6" s="45" t="s">
        <v>14</v>
      </c>
      <c r="M6" s="45" t="s">
        <v>15</v>
      </c>
      <c r="N6" s="44" t="s">
        <v>16</v>
      </c>
    </row>
    <row r="7" spans="1:15" x14ac:dyDescent="0.2">
      <c r="A7" s="55" t="s">
        <v>197</v>
      </c>
      <c r="B7" s="50">
        <f>O7/12</f>
        <v>3325.75</v>
      </c>
      <c r="C7" s="50">
        <v>3326</v>
      </c>
      <c r="D7" s="50">
        <v>3326</v>
      </c>
      <c r="E7" s="50">
        <v>3326</v>
      </c>
      <c r="F7" s="50">
        <v>3326</v>
      </c>
      <c r="G7" s="50">
        <v>3326</v>
      </c>
      <c r="H7" s="50">
        <v>3326</v>
      </c>
      <c r="I7" s="50">
        <v>3326</v>
      </c>
      <c r="J7" s="50">
        <v>3326</v>
      </c>
      <c r="K7" s="50">
        <v>3326</v>
      </c>
      <c r="L7" s="50">
        <v>3326</v>
      </c>
      <c r="M7" s="50">
        <v>3323</v>
      </c>
      <c r="N7" s="51">
        <f t="shared" ref="N7:N12" si="0">SUM(B7:M7)</f>
        <v>39908.75</v>
      </c>
      <c r="O7" s="323">
        <v>39909</v>
      </c>
    </row>
    <row r="8" spans="1:15" x14ac:dyDescent="0.2">
      <c r="A8" s="55" t="s">
        <v>17</v>
      </c>
      <c r="B8" s="50">
        <f t="shared" ref="B8:B9" si="1">O8/12</f>
        <v>908</v>
      </c>
      <c r="C8" s="50">
        <v>908</v>
      </c>
      <c r="D8" s="50">
        <v>908</v>
      </c>
      <c r="E8" s="50">
        <v>908</v>
      </c>
      <c r="F8" s="50">
        <v>908</v>
      </c>
      <c r="G8" s="50">
        <v>908</v>
      </c>
      <c r="H8" s="50">
        <v>908</v>
      </c>
      <c r="I8" s="50">
        <v>908</v>
      </c>
      <c r="J8" s="50">
        <v>908</v>
      </c>
      <c r="K8" s="50">
        <v>908</v>
      </c>
      <c r="L8" s="50">
        <v>908</v>
      </c>
      <c r="M8" s="50">
        <v>908</v>
      </c>
      <c r="N8" s="51">
        <f t="shared" si="0"/>
        <v>10896</v>
      </c>
      <c r="O8" s="323">
        <v>10896</v>
      </c>
    </row>
    <row r="9" spans="1:15" x14ac:dyDescent="0.2">
      <c r="A9" s="55" t="s">
        <v>207</v>
      </c>
      <c r="B9" s="50">
        <f t="shared" si="1"/>
        <v>851</v>
      </c>
      <c r="C9" s="50">
        <v>851</v>
      </c>
      <c r="D9" s="50">
        <v>851</v>
      </c>
      <c r="E9" s="50">
        <v>851</v>
      </c>
      <c r="F9" s="50">
        <v>851</v>
      </c>
      <c r="G9" s="50">
        <v>851</v>
      </c>
      <c r="H9" s="50">
        <v>851</v>
      </c>
      <c r="I9" s="50">
        <v>851</v>
      </c>
      <c r="J9" s="50">
        <v>851</v>
      </c>
      <c r="K9" s="50">
        <v>851</v>
      </c>
      <c r="L9" s="50">
        <v>851</v>
      </c>
      <c r="M9" s="50">
        <v>851</v>
      </c>
      <c r="N9" s="51">
        <f t="shared" si="0"/>
        <v>10212</v>
      </c>
      <c r="O9" s="323">
        <v>10212</v>
      </c>
    </row>
    <row r="10" spans="1:15" x14ac:dyDescent="0.2">
      <c r="A10" s="55" t="s">
        <v>18</v>
      </c>
      <c r="B10" s="50"/>
      <c r="C10" s="50">
        <v>1939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1">
        <f t="shared" si="0"/>
        <v>1939</v>
      </c>
      <c r="O10">
        <v>1939</v>
      </c>
    </row>
    <row r="11" spans="1:15" x14ac:dyDescent="0.2">
      <c r="A11" s="55" t="s">
        <v>19</v>
      </c>
      <c r="B11" s="50">
        <f>+O11/12</f>
        <v>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>
        <f t="shared" si="0"/>
        <v>0</v>
      </c>
    </row>
    <row r="12" spans="1:15" x14ac:dyDescent="0.2">
      <c r="A12" s="55" t="s">
        <v>201</v>
      </c>
      <c r="B12" s="50"/>
      <c r="C12" s="50"/>
      <c r="D12" s="50"/>
      <c r="E12" s="50"/>
      <c r="F12" s="50">
        <v>300</v>
      </c>
      <c r="G12" s="50"/>
      <c r="H12" s="50"/>
      <c r="I12" s="50"/>
      <c r="J12" s="50"/>
      <c r="K12" s="50"/>
      <c r="L12" s="50"/>
      <c r="M12" s="50">
        <v>662</v>
      </c>
      <c r="N12" s="51">
        <f t="shared" si="0"/>
        <v>962</v>
      </c>
      <c r="O12" s="462">
        <v>962</v>
      </c>
    </row>
    <row r="13" spans="1:15" x14ac:dyDescent="0.2">
      <c r="A13" s="55" t="s">
        <v>261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/>
    </row>
    <row r="14" spans="1:15" x14ac:dyDescent="0.2">
      <c r="A14" s="56" t="s">
        <v>20</v>
      </c>
      <c r="B14" s="50">
        <f>SUM(B7:B13)</f>
        <v>5084.75</v>
      </c>
      <c r="C14" s="50">
        <f t="shared" ref="C14:M14" si="2">SUM(C7:C13)</f>
        <v>7024</v>
      </c>
      <c r="D14" s="50">
        <f t="shared" si="2"/>
        <v>5085</v>
      </c>
      <c r="E14" s="50">
        <f t="shared" si="2"/>
        <v>5085</v>
      </c>
      <c r="F14" s="50">
        <f t="shared" si="2"/>
        <v>5385</v>
      </c>
      <c r="G14" s="50">
        <f t="shared" si="2"/>
        <v>5085</v>
      </c>
      <c r="H14" s="50">
        <f t="shared" si="2"/>
        <v>5085</v>
      </c>
      <c r="I14" s="50">
        <f t="shared" si="2"/>
        <v>5085</v>
      </c>
      <c r="J14" s="50">
        <f t="shared" si="2"/>
        <v>5085</v>
      </c>
      <c r="K14" s="50">
        <f t="shared" si="2"/>
        <v>5085</v>
      </c>
      <c r="L14" s="50">
        <f t="shared" si="2"/>
        <v>5085</v>
      </c>
      <c r="M14" s="50">
        <f t="shared" si="2"/>
        <v>5744</v>
      </c>
      <c r="N14" s="51">
        <f>SUM(N7:N13)</f>
        <v>63917.75</v>
      </c>
      <c r="O14" s="463">
        <f>SUM(O7:O13)</f>
        <v>63918</v>
      </c>
    </row>
    <row r="15" spans="1:15" ht="15" x14ac:dyDescent="0.2">
      <c r="A15" s="47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5" x14ac:dyDescent="0.2">
      <c r="A16" s="55" t="s">
        <v>21</v>
      </c>
      <c r="B16" s="50">
        <v>28</v>
      </c>
      <c r="C16" s="50">
        <v>28</v>
      </c>
      <c r="D16" s="50">
        <v>28</v>
      </c>
      <c r="E16" s="50">
        <v>28</v>
      </c>
      <c r="F16" s="50">
        <v>28</v>
      </c>
      <c r="G16" s="50">
        <v>28</v>
      </c>
      <c r="H16" s="50">
        <v>28</v>
      </c>
      <c r="I16" s="50">
        <v>28</v>
      </c>
      <c r="J16" s="50">
        <v>28</v>
      </c>
      <c r="K16" s="50">
        <v>28</v>
      </c>
      <c r="L16" s="50">
        <v>28</v>
      </c>
      <c r="M16" s="50">
        <v>29</v>
      </c>
      <c r="N16" s="51">
        <f t="shared" ref="N16:N22" si="3">SUM(B16:M16)</f>
        <v>337</v>
      </c>
      <c r="O16" s="323">
        <v>337</v>
      </c>
    </row>
    <row r="17" spans="1:15" x14ac:dyDescent="0.2">
      <c r="A17" s="55" t="s">
        <v>208</v>
      </c>
      <c r="B17" s="50">
        <f>+O17/12</f>
        <v>0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>
        <f t="shared" si="3"/>
        <v>0</v>
      </c>
    </row>
    <row r="18" spans="1:15" x14ac:dyDescent="0.2">
      <c r="A18" s="177" t="s">
        <v>152</v>
      </c>
      <c r="B18" s="50"/>
      <c r="C18" s="50">
        <v>1935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>
        <f t="shared" si="3"/>
        <v>1935</v>
      </c>
      <c r="O18">
        <v>1935</v>
      </c>
    </row>
    <row r="19" spans="1:15" x14ac:dyDescent="0.2">
      <c r="A19" s="55" t="s">
        <v>29</v>
      </c>
      <c r="B19" s="50">
        <v>5015</v>
      </c>
      <c r="C19" s="50">
        <v>5015</v>
      </c>
      <c r="D19" s="50">
        <v>5015</v>
      </c>
      <c r="E19" s="50">
        <v>5015</v>
      </c>
      <c r="F19" s="50">
        <v>5015</v>
      </c>
      <c r="G19" s="50">
        <v>5015</v>
      </c>
      <c r="H19" s="50">
        <v>5015</v>
      </c>
      <c r="I19" s="50">
        <v>5015</v>
      </c>
      <c r="J19" s="50">
        <v>5015</v>
      </c>
      <c r="K19" s="50">
        <v>5015</v>
      </c>
      <c r="L19" s="50">
        <v>5015</v>
      </c>
      <c r="M19" s="50">
        <f>4017+2351</f>
        <v>6368</v>
      </c>
      <c r="N19" s="51">
        <f t="shared" si="3"/>
        <v>61533</v>
      </c>
      <c r="O19">
        <f>59182+2351</f>
        <v>61533</v>
      </c>
    </row>
    <row r="20" spans="1:15" x14ac:dyDescent="0.2">
      <c r="A20" s="55" t="s">
        <v>200</v>
      </c>
      <c r="B20" s="50">
        <f>+O20/12</f>
        <v>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1">
        <f t="shared" si="3"/>
        <v>0</v>
      </c>
    </row>
    <row r="21" spans="1:15" x14ac:dyDescent="0.2">
      <c r="A21" s="55" t="s">
        <v>161</v>
      </c>
      <c r="B21" s="50">
        <v>113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>
        <f t="shared" si="3"/>
        <v>113</v>
      </c>
      <c r="O21">
        <v>113</v>
      </c>
    </row>
    <row r="22" spans="1:15" ht="14.25" x14ac:dyDescent="0.2">
      <c r="A22" s="46" t="s">
        <v>23</v>
      </c>
      <c r="B22" s="54">
        <f>+B16+B17+B18+B19+B20+B21</f>
        <v>5156</v>
      </c>
      <c r="C22" s="54">
        <f>+C16+C17+C18+C19+C20+C21</f>
        <v>6978</v>
      </c>
      <c r="D22" s="54">
        <f t="shared" ref="D22:L22" si="4">+D16+D17+D18+D19+D20+D21</f>
        <v>5043</v>
      </c>
      <c r="E22" s="54">
        <f t="shared" si="4"/>
        <v>5043</v>
      </c>
      <c r="F22" s="54">
        <f t="shared" si="4"/>
        <v>5043</v>
      </c>
      <c r="G22" s="54">
        <f t="shared" si="4"/>
        <v>5043</v>
      </c>
      <c r="H22" s="54">
        <f t="shared" si="4"/>
        <v>5043</v>
      </c>
      <c r="I22" s="54">
        <f t="shared" si="4"/>
        <v>5043</v>
      </c>
      <c r="J22" s="54">
        <f t="shared" si="4"/>
        <v>5043</v>
      </c>
      <c r="K22" s="54">
        <f t="shared" si="4"/>
        <v>5043</v>
      </c>
      <c r="L22" s="54">
        <f t="shared" si="4"/>
        <v>5043</v>
      </c>
      <c r="M22" s="54">
        <f>SUM(M16:M20)+M21</f>
        <v>6397</v>
      </c>
      <c r="N22" s="51">
        <f t="shared" si="3"/>
        <v>63918</v>
      </c>
      <c r="O22" s="51">
        <f>SUM(O16:O21)</f>
        <v>63918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04"/>
  <sheetViews>
    <sheetView topLeftCell="A4" zoomScale="75" workbookViewId="0">
      <selection activeCell="F22" sqref="F22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4.42578125" style="2" customWidth="1"/>
    <col min="5" max="5" width="14.5703125" style="2" customWidth="1"/>
    <col min="6" max="7" width="16.7109375" style="2" customWidth="1"/>
    <col min="8" max="8" width="14.85546875" style="11" bestFit="1" customWidth="1"/>
    <col min="9" max="9" width="15.85546875" customWidth="1"/>
  </cols>
  <sheetData>
    <row r="1" spans="1:9" ht="18.75" x14ac:dyDescent="0.3">
      <c r="A1" s="513" t="s">
        <v>310</v>
      </c>
      <c r="B1" s="518"/>
      <c r="C1" s="518"/>
      <c r="D1" s="518"/>
      <c r="E1" s="518"/>
      <c r="F1" s="518"/>
      <c r="G1" s="330"/>
    </row>
    <row r="2" spans="1:9" x14ac:dyDescent="0.2">
      <c r="A2" s="480"/>
      <c r="B2" s="480"/>
      <c r="C2" s="480"/>
      <c r="D2" s="480"/>
      <c r="E2" s="480"/>
      <c r="F2" s="480"/>
      <c r="G2" s="4"/>
    </row>
    <row r="3" spans="1:9" x14ac:dyDescent="0.25">
      <c r="A3" s="514" t="s">
        <v>321</v>
      </c>
      <c r="B3" s="514"/>
      <c r="C3" s="514"/>
      <c r="D3" s="514"/>
      <c r="E3" s="514"/>
      <c r="F3" s="514"/>
      <c r="G3" s="514"/>
      <c r="H3" s="514"/>
    </row>
    <row r="4" spans="1:9" x14ac:dyDescent="0.2">
      <c r="A4" s="480" t="s">
        <v>209</v>
      </c>
      <c r="B4" s="480"/>
      <c r="C4" s="480"/>
      <c r="D4" s="480"/>
      <c r="E4" s="480"/>
      <c r="F4" s="480"/>
      <c r="G4" s="4"/>
    </row>
    <row r="5" spans="1:9" ht="16.5" thickBot="1" x14ac:dyDescent="0.3">
      <c r="A5" s="515" t="s">
        <v>325</v>
      </c>
      <c r="B5" s="515"/>
      <c r="C5" s="515"/>
      <c r="D5" s="515"/>
      <c r="E5" s="515"/>
      <c r="F5" s="515"/>
      <c r="G5" s="187"/>
    </row>
    <row r="6" spans="1:9" ht="12.6" customHeight="1" x14ac:dyDescent="0.2">
      <c r="A6" s="522" t="s">
        <v>210</v>
      </c>
      <c r="B6" s="509" t="s">
        <v>196</v>
      </c>
      <c r="C6" s="692"/>
      <c r="D6" s="678" t="s">
        <v>376</v>
      </c>
      <c r="E6" s="526" t="s">
        <v>372</v>
      </c>
      <c r="F6" s="669" t="s">
        <v>375</v>
      </c>
      <c r="G6" s="678" t="s">
        <v>377</v>
      </c>
      <c r="H6" s="526" t="s">
        <v>371</v>
      </c>
      <c r="I6" s="669" t="s">
        <v>373</v>
      </c>
    </row>
    <row r="7" spans="1:9" ht="33.950000000000003" customHeight="1" thickBot="1" x14ac:dyDescent="0.25">
      <c r="A7" s="523"/>
      <c r="B7" s="510"/>
      <c r="C7" s="693"/>
      <c r="D7" s="679"/>
      <c r="E7" s="691"/>
      <c r="F7" s="673"/>
      <c r="G7" s="679"/>
      <c r="H7" s="691"/>
      <c r="I7" s="673"/>
    </row>
    <row r="8" spans="1:9" ht="13.5" thickBot="1" x14ac:dyDescent="0.25">
      <c r="A8" s="524"/>
      <c r="B8" s="525"/>
      <c r="C8" s="525"/>
      <c r="D8" s="674" t="s">
        <v>374</v>
      </c>
      <c r="E8" s="675"/>
      <c r="F8" s="675"/>
      <c r="G8" s="675"/>
      <c r="H8" s="676"/>
      <c r="I8" s="677"/>
    </row>
    <row r="9" spans="1:9" ht="16.5" thickBot="1" x14ac:dyDescent="0.25">
      <c r="A9" s="248"/>
      <c r="B9" s="509" t="s">
        <v>211</v>
      </c>
      <c r="C9" s="509"/>
      <c r="D9" s="336"/>
      <c r="E9" s="337"/>
      <c r="F9" s="338"/>
      <c r="G9" s="338"/>
      <c r="H9" s="338"/>
      <c r="I9" s="353"/>
    </row>
    <row r="10" spans="1:9" x14ac:dyDescent="0.25">
      <c r="A10" s="9">
        <v>1</v>
      </c>
      <c r="B10" s="500" t="s">
        <v>197</v>
      </c>
      <c r="C10" s="685"/>
      <c r="D10" s="340">
        <f>+E10+F10</f>
        <v>38815</v>
      </c>
      <c r="E10" s="341">
        <f>38815-452</f>
        <v>38363</v>
      </c>
      <c r="F10" s="342">
        <v>452</v>
      </c>
      <c r="G10" s="354">
        <f>+H10+I10</f>
        <v>39909</v>
      </c>
      <c r="H10" s="355">
        <v>39909</v>
      </c>
      <c r="I10" s="342"/>
    </row>
    <row r="11" spans="1:9" x14ac:dyDescent="0.25">
      <c r="A11" s="9">
        <v>2</v>
      </c>
      <c r="B11" s="500" t="s">
        <v>206</v>
      </c>
      <c r="C11" s="685"/>
      <c r="D11" s="343">
        <f>+E11+F11</f>
        <v>10549</v>
      </c>
      <c r="E11" s="13">
        <f>10554-150</f>
        <v>10404</v>
      </c>
      <c r="F11" s="14">
        <v>145</v>
      </c>
      <c r="G11" s="356">
        <f>+H11+I11</f>
        <v>10896</v>
      </c>
      <c r="H11" s="253">
        <v>10896</v>
      </c>
      <c r="I11" s="14"/>
    </row>
    <row r="12" spans="1:9" x14ac:dyDescent="0.25">
      <c r="A12" s="9">
        <v>3</v>
      </c>
      <c r="B12" s="500" t="s">
        <v>207</v>
      </c>
      <c r="C12" s="685"/>
      <c r="D12" s="343">
        <f>+E12+F12</f>
        <v>9966</v>
      </c>
      <c r="E12" s="13">
        <f>9453-4591+372+244</f>
        <v>5478</v>
      </c>
      <c r="F12" s="14">
        <f>5488-1000</f>
        <v>4488</v>
      </c>
      <c r="G12" s="356">
        <f>+H12+I12</f>
        <v>10212</v>
      </c>
      <c r="H12" s="253">
        <v>10212</v>
      </c>
      <c r="I12" s="14"/>
    </row>
    <row r="13" spans="1:9" x14ac:dyDescent="0.25">
      <c r="A13" s="9" t="s">
        <v>54</v>
      </c>
      <c r="B13" s="500" t="s">
        <v>189</v>
      </c>
      <c r="C13" s="685"/>
      <c r="D13" s="343"/>
      <c r="E13" s="13"/>
      <c r="F13" s="14"/>
      <c r="G13" s="356"/>
      <c r="H13" s="253"/>
      <c r="I13" s="14"/>
    </row>
    <row r="14" spans="1:9" x14ac:dyDescent="0.2">
      <c r="A14" s="9" t="s">
        <v>56</v>
      </c>
      <c r="B14" s="506" t="s">
        <v>183</v>
      </c>
      <c r="C14" s="690"/>
      <c r="D14" s="343">
        <f>+D15+D16+D17+D18+D19</f>
        <v>1935</v>
      </c>
      <c r="E14" s="13"/>
      <c r="F14" s="303"/>
      <c r="G14" s="343">
        <v>1939</v>
      </c>
      <c r="H14" s="253">
        <v>1939</v>
      </c>
      <c r="I14" s="303"/>
    </row>
    <row r="15" spans="1:9" x14ac:dyDescent="0.25">
      <c r="A15" s="9" t="s">
        <v>174</v>
      </c>
      <c r="B15" s="502" t="s">
        <v>177</v>
      </c>
      <c r="C15" s="688"/>
      <c r="D15" s="343"/>
      <c r="E15" s="13"/>
      <c r="F15" s="14"/>
      <c r="G15" s="356"/>
      <c r="H15" s="253"/>
      <c r="I15" s="14"/>
    </row>
    <row r="16" spans="1:9" x14ac:dyDescent="0.25">
      <c r="A16" s="9" t="s">
        <v>175</v>
      </c>
      <c r="B16" s="502" t="s">
        <v>272</v>
      </c>
      <c r="C16" s="688"/>
      <c r="D16" s="343">
        <v>1935</v>
      </c>
      <c r="E16" s="13"/>
      <c r="F16" s="14">
        <v>1935</v>
      </c>
      <c r="G16" s="356">
        <v>1939</v>
      </c>
      <c r="H16" s="253">
        <v>1939</v>
      </c>
      <c r="I16" s="14"/>
    </row>
    <row r="17" spans="1:9" x14ac:dyDescent="0.25">
      <c r="A17" s="9"/>
      <c r="B17" s="668" t="s">
        <v>184</v>
      </c>
      <c r="C17" s="533"/>
      <c r="D17" s="343"/>
      <c r="E17" s="13"/>
      <c r="F17" s="14"/>
      <c r="G17" s="356"/>
      <c r="H17" s="253"/>
      <c r="I17" s="14"/>
    </row>
    <row r="18" spans="1:9" x14ac:dyDescent="0.25">
      <c r="A18" s="9" t="s">
        <v>176</v>
      </c>
      <c r="B18" s="489" t="s">
        <v>179</v>
      </c>
      <c r="C18" s="689"/>
      <c r="D18" s="343"/>
      <c r="E18" s="13"/>
      <c r="F18" s="14"/>
      <c r="G18" s="356"/>
      <c r="H18" s="253"/>
      <c r="I18" s="14"/>
    </row>
    <row r="19" spans="1:9" x14ac:dyDescent="0.25">
      <c r="A19" s="9" t="s">
        <v>82</v>
      </c>
      <c r="B19" s="489" t="s">
        <v>83</v>
      </c>
      <c r="C19" s="687"/>
      <c r="D19" s="343"/>
      <c r="E19" s="13"/>
      <c r="F19" s="14"/>
      <c r="G19" s="356"/>
      <c r="H19" s="253"/>
      <c r="I19" s="14"/>
    </row>
    <row r="20" spans="1:9" x14ac:dyDescent="0.25">
      <c r="A20" s="9"/>
      <c r="B20" s="500" t="s">
        <v>267</v>
      </c>
      <c r="C20" s="685"/>
      <c r="D20" s="344"/>
      <c r="E20" s="272"/>
      <c r="F20" s="14"/>
      <c r="G20" s="357"/>
      <c r="H20" s="254"/>
      <c r="I20" s="352"/>
    </row>
    <row r="21" spans="1:9" x14ac:dyDescent="0.2">
      <c r="A21" s="9" t="s">
        <v>203</v>
      </c>
      <c r="B21" s="244" t="s">
        <v>173</v>
      </c>
      <c r="C21" s="332"/>
      <c r="D21" s="343">
        <f>+D10+D11+D12+D13+D14+D20</f>
        <v>61265</v>
      </c>
      <c r="E21" s="13">
        <f>+E10+E11+E12+E13+E14+E20</f>
        <v>54245</v>
      </c>
      <c r="F21" s="303">
        <f>+F10+F11+F12+F13+F14+F20+F16</f>
        <v>7020</v>
      </c>
      <c r="G21" s="358">
        <f>+H21+I21</f>
        <v>62956</v>
      </c>
      <c r="H21" s="266">
        <f>+H10+H11+H12+H13+H14+H20</f>
        <v>62956</v>
      </c>
      <c r="I21" s="303">
        <f>+I10+I11+I12+I13+I14+I20</f>
        <v>0</v>
      </c>
    </row>
    <row r="22" spans="1:9" x14ac:dyDescent="0.25">
      <c r="A22" s="9" t="s">
        <v>57</v>
      </c>
      <c r="B22" s="500" t="s">
        <v>199</v>
      </c>
      <c r="C22" s="685"/>
      <c r="D22" s="344">
        <f>+E22+F22</f>
        <v>300</v>
      </c>
      <c r="E22" s="272"/>
      <c r="F22" s="14">
        <v>300</v>
      </c>
      <c r="G22" s="359">
        <v>962</v>
      </c>
      <c r="H22" s="254">
        <v>962</v>
      </c>
      <c r="I22" s="205"/>
    </row>
    <row r="23" spans="1:9" x14ac:dyDescent="0.25">
      <c r="A23" s="9" t="s">
        <v>58</v>
      </c>
      <c r="B23" s="500" t="s">
        <v>198</v>
      </c>
      <c r="C23" s="685"/>
      <c r="D23" s="344"/>
      <c r="E23" s="272"/>
      <c r="F23" s="14"/>
      <c r="G23" s="356"/>
      <c r="H23" s="254"/>
      <c r="I23" s="14"/>
    </row>
    <row r="24" spans="1:9" x14ac:dyDescent="0.25">
      <c r="A24" s="9" t="s">
        <v>60</v>
      </c>
      <c r="B24" s="500" t="s">
        <v>180</v>
      </c>
      <c r="C24" s="685"/>
      <c r="D24" s="344"/>
      <c r="E24" s="272"/>
      <c r="F24" s="14"/>
      <c r="G24" s="356"/>
      <c r="H24" s="254"/>
      <c r="I24" s="14"/>
    </row>
    <row r="25" spans="1:9" x14ac:dyDescent="0.25">
      <c r="A25" s="9" t="s">
        <v>204</v>
      </c>
      <c r="B25" s="500" t="s">
        <v>268</v>
      </c>
      <c r="C25" s="685"/>
      <c r="D25" s="344">
        <f>+D22+D23+D24</f>
        <v>300</v>
      </c>
      <c r="E25" s="272"/>
      <c r="F25" s="14">
        <f>SUM(F22:F24)</f>
        <v>300</v>
      </c>
      <c r="G25" s="356">
        <f>+I25+H25</f>
        <v>962</v>
      </c>
      <c r="H25" s="254">
        <v>962</v>
      </c>
      <c r="I25" s="14">
        <f>SUM(I22:I24)</f>
        <v>0</v>
      </c>
    </row>
    <row r="26" spans="1:9" x14ac:dyDescent="0.25">
      <c r="A26" s="9" t="s">
        <v>205</v>
      </c>
      <c r="B26" s="500"/>
      <c r="C26" s="685"/>
      <c r="D26" s="344"/>
      <c r="E26" s="272"/>
      <c r="F26" s="14"/>
      <c r="G26" s="356"/>
      <c r="H26" s="254"/>
      <c r="I26" s="14"/>
    </row>
    <row r="27" spans="1:9" x14ac:dyDescent="0.25">
      <c r="A27" s="9" t="s">
        <v>190</v>
      </c>
      <c r="B27" s="542"/>
      <c r="C27" s="681"/>
      <c r="D27" s="345"/>
      <c r="E27" s="270"/>
      <c r="F27" s="14">
        <f>+D27+E27</f>
        <v>0</v>
      </c>
      <c r="G27" s="356"/>
      <c r="H27" s="255"/>
      <c r="I27" s="14">
        <f>+F27+H27</f>
        <v>0</v>
      </c>
    </row>
    <row r="28" spans="1:9" x14ac:dyDescent="0.25">
      <c r="A28" s="9" t="s">
        <v>191</v>
      </c>
      <c r="B28" s="542"/>
      <c r="C28" s="681"/>
      <c r="D28" s="345"/>
      <c r="E28" s="339"/>
      <c r="F28" s="14">
        <f>+D28+E28</f>
        <v>0</v>
      </c>
      <c r="G28" s="356"/>
      <c r="H28" s="300"/>
      <c r="I28" s="14">
        <f>+F28+H28</f>
        <v>0</v>
      </c>
    </row>
    <row r="29" spans="1:9" ht="19.5" x14ac:dyDescent="0.3">
      <c r="A29" s="171" t="s">
        <v>181</v>
      </c>
      <c r="B29" s="497" t="s">
        <v>182</v>
      </c>
      <c r="C29" s="672"/>
      <c r="D29" s="346">
        <f t="shared" ref="D29:I29" si="0">+D21+D25+D26+D27+D28</f>
        <v>61565</v>
      </c>
      <c r="E29" s="271">
        <f t="shared" si="0"/>
        <v>54245</v>
      </c>
      <c r="F29" s="301">
        <f t="shared" si="0"/>
        <v>7320</v>
      </c>
      <c r="G29" s="346">
        <f t="shared" si="0"/>
        <v>63918</v>
      </c>
      <c r="H29" s="295">
        <f t="shared" si="0"/>
        <v>63918</v>
      </c>
      <c r="I29" s="301">
        <f t="shared" si="0"/>
        <v>0</v>
      </c>
    </row>
    <row r="30" spans="1:9" x14ac:dyDescent="0.25">
      <c r="A30" s="18"/>
      <c r="B30" s="496"/>
      <c r="C30" s="686"/>
      <c r="D30" s="347"/>
      <c r="E30" s="19"/>
      <c r="F30" s="20"/>
      <c r="G30" s="347"/>
      <c r="H30" s="257"/>
      <c r="I30" s="20"/>
    </row>
    <row r="31" spans="1:9" x14ac:dyDescent="0.25">
      <c r="A31" s="9"/>
      <c r="B31" s="495" t="s">
        <v>212</v>
      </c>
      <c r="C31" s="684"/>
      <c r="D31" s="344"/>
      <c r="E31" s="272"/>
      <c r="F31" s="14"/>
      <c r="G31" s="356"/>
      <c r="H31" s="254"/>
      <c r="I31" s="14"/>
    </row>
    <row r="32" spans="1:9" x14ac:dyDescent="0.25">
      <c r="A32" s="9" t="s">
        <v>30</v>
      </c>
      <c r="B32" s="490" t="s">
        <v>265</v>
      </c>
      <c r="C32" s="680"/>
      <c r="D32" s="344">
        <f>+E32+F32</f>
        <v>335</v>
      </c>
      <c r="E32" s="272"/>
      <c r="F32" s="14">
        <v>335</v>
      </c>
      <c r="G32" s="344">
        <f>+H32+I32</f>
        <v>337</v>
      </c>
      <c r="H32" s="254">
        <v>337</v>
      </c>
      <c r="I32" s="14"/>
    </row>
    <row r="33" spans="1:9" x14ac:dyDescent="0.25">
      <c r="A33" s="9" t="s">
        <v>52</v>
      </c>
      <c r="B33" s="490" t="s">
        <v>208</v>
      </c>
      <c r="C33" s="680"/>
      <c r="D33" s="344">
        <f t="shared" ref="D33:I33" si="1">SUM(D34:D36)</f>
        <v>0</v>
      </c>
      <c r="E33" s="272">
        <f t="shared" si="1"/>
        <v>0</v>
      </c>
      <c r="F33" s="304">
        <f t="shared" si="1"/>
        <v>0</v>
      </c>
      <c r="G33" s="344">
        <f t="shared" si="1"/>
        <v>0</v>
      </c>
      <c r="H33" s="254">
        <f t="shared" si="1"/>
        <v>0</v>
      </c>
      <c r="I33" s="335">
        <f t="shared" si="1"/>
        <v>0</v>
      </c>
    </row>
    <row r="34" spans="1:9" x14ac:dyDescent="0.25">
      <c r="A34" s="9"/>
      <c r="B34" s="208" t="s">
        <v>84</v>
      </c>
      <c r="C34" s="333" t="s">
        <v>185</v>
      </c>
      <c r="D34" s="344"/>
      <c r="E34" s="272"/>
      <c r="F34" s="14"/>
      <c r="G34" s="344"/>
      <c r="H34" s="254"/>
      <c r="I34" s="14"/>
    </row>
    <row r="35" spans="1:9" x14ac:dyDescent="0.25">
      <c r="A35" s="9"/>
      <c r="B35" s="208" t="s">
        <v>85</v>
      </c>
      <c r="C35" s="333" t="s">
        <v>186</v>
      </c>
      <c r="D35" s="344"/>
      <c r="E35" s="272"/>
      <c r="F35" s="14"/>
      <c r="G35" s="344"/>
      <c r="H35" s="254"/>
      <c r="I35" s="14"/>
    </row>
    <row r="36" spans="1:9" x14ac:dyDescent="0.25">
      <c r="A36" s="9"/>
      <c r="B36" s="208" t="s">
        <v>86</v>
      </c>
      <c r="C36" s="333" t="s">
        <v>187</v>
      </c>
      <c r="D36" s="344"/>
      <c r="E36" s="272"/>
      <c r="F36" s="14"/>
      <c r="G36" s="344"/>
      <c r="H36" s="254"/>
      <c r="I36" s="14"/>
    </row>
    <row r="37" spans="1:9" x14ac:dyDescent="0.25">
      <c r="A37" s="9" t="s">
        <v>53</v>
      </c>
      <c r="B37" s="490" t="s">
        <v>152</v>
      </c>
      <c r="C37" s="680"/>
      <c r="D37" s="344">
        <f>SUM(D38:D40)</f>
        <v>0</v>
      </c>
      <c r="E37" s="272"/>
      <c r="F37" s="14">
        <f>SUM(F38:F40)</f>
        <v>0</v>
      </c>
      <c r="G37" s="344">
        <f>SUM(G38:G40)</f>
        <v>0</v>
      </c>
      <c r="H37" s="254"/>
      <c r="I37" s="14">
        <f>SUM(I38:I40)</f>
        <v>0</v>
      </c>
    </row>
    <row r="38" spans="1:9" x14ac:dyDescent="0.25">
      <c r="A38" s="9"/>
      <c r="B38" s="209" t="s">
        <v>87</v>
      </c>
      <c r="C38" s="331" t="s">
        <v>269</v>
      </c>
      <c r="D38" s="344"/>
      <c r="E38" s="272"/>
      <c r="F38" s="14"/>
      <c r="G38" s="344"/>
      <c r="H38" s="254"/>
      <c r="I38" s="14"/>
    </row>
    <row r="39" spans="1:9" x14ac:dyDescent="0.25">
      <c r="A39" s="9"/>
      <c r="B39" s="209" t="s">
        <v>88</v>
      </c>
      <c r="C39" s="331" t="s">
        <v>90</v>
      </c>
      <c r="D39" s="344"/>
      <c r="E39" s="272"/>
      <c r="F39" s="14">
        <f t="shared" ref="F39:F45" si="2">SUM(D39:D39)</f>
        <v>0</v>
      </c>
      <c r="G39" s="344"/>
      <c r="H39" s="254"/>
      <c r="I39" s="14">
        <f>SUM(F39:F39)</f>
        <v>0</v>
      </c>
    </row>
    <row r="40" spans="1:9" x14ac:dyDescent="0.25">
      <c r="A40" s="9"/>
      <c r="B40" s="209" t="s">
        <v>89</v>
      </c>
      <c r="C40" s="331" t="s">
        <v>271</v>
      </c>
      <c r="D40" s="344"/>
      <c r="E40" s="272"/>
      <c r="F40" s="14"/>
      <c r="G40" s="344"/>
      <c r="H40" s="254"/>
      <c r="I40" s="14"/>
    </row>
    <row r="41" spans="1:9" x14ac:dyDescent="0.25">
      <c r="A41" s="9" t="s">
        <v>54</v>
      </c>
      <c r="B41" s="490" t="s">
        <v>153</v>
      </c>
      <c r="C41" s="680"/>
      <c r="D41" s="344">
        <f>+F41</f>
        <v>1935</v>
      </c>
      <c r="E41" s="272">
        <f>SUM(E42:E45)</f>
        <v>0</v>
      </c>
      <c r="F41" s="304">
        <f>SUM(F42:F45)</f>
        <v>1935</v>
      </c>
      <c r="G41" s="344">
        <v>1935</v>
      </c>
      <c r="H41" s="254">
        <f>SUM(H42:H45)</f>
        <v>1935</v>
      </c>
      <c r="I41" s="335">
        <f>SUM(I42:I45)</f>
        <v>0</v>
      </c>
    </row>
    <row r="42" spans="1:9" x14ac:dyDescent="0.25">
      <c r="A42" s="9"/>
      <c r="B42" s="209" t="s">
        <v>91</v>
      </c>
      <c r="C42" s="331" t="s">
        <v>95</v>
      </c>
      <c r="D42" s="344">
        <f>+F42</f>
        <v>1935</v>
      </c>
      <c r="E42" s="272"/>
      <c r="F42" s="14">
        <v>1935</v>
      </c>
      <c r="G42" s="344">
        <v>1935</v>
      </c>
      <c r="H42" s="254">
        <v>1935</v>
      </c>
      <c r="I42" s="14"/>
    </row>
    <row r="43" spans="1:9" x14ac:dyDescent="0.25">
      <c r="A43" s="9"/>
      <c r="B43" s="209" t="s">
        <v>92</v>
      </c>
      <c r="C43" s="331" t="s">
        <v>96</v>
      </c>
      <c r="D43" s="344"/>
      <c r="E43" s="272"/>
      <c r="F43" s="14">
        <f t="shared" si="2"/>
        <v>0</v>
      </c>
      <c r="G43" s="344"/>
      <c r="H43" s="254"/>
      <c r="I43" s="14">
        <f>SUM(F43:F43)</f>
        <v>0</v>
      </c>
    </row>
    <row r="44" spans="1:9" x14ac:dyDescent="0.25">
      <c r="A44" s="9"/>
      <c r="B44" s="209" t="s">
        <v>93</v>
      </c>
      <c r="C44" s="331" t="s">
        <v>319</v>
      </c>
      <c r="D44" s="344"/>
      <c r="E44" s="272"/>
      <c r="F44" s="14">
        <f t="shared" si="2"/>
        <v>0</v>
      </c>
      <c r="G44" s="344"/>
      <c r="H44" s="254"/>
      <c r="I44" s="14">
        <f>SUM(F44:F44)</f>
        <v>0</v>
      </c>
    </row>
    <row r="45" spans="1:9" x14ac:dyDescent="0.25">
      <c r="A45" s="9"/>
      <c r="B45" s="209" t="s">
        <v>94</v>
      </c>
      <c r="C45" s="331" t="s">
        <v>97</v>
      </c>
      <c r="D45" s="344"/>
      <c r="E45" s="272"/>
      <c r="F45" s="14">
        <f t="shared" si="2"/>
        <v>0</v>
      </c>
      <c r="G45" s="344"/>
      <c r="H45" s="254"/>
      <c r="I45" s="14">
        <f>SUM(F45:F45)</f>
        <v>0</v>
      </c>
    </row>
    <row r="46" spans="1:9" x14ac:dyDescent="0.25">
      <c r="A46" s="210" t="s">
        <v>203</v>
      </c>
      <c r="B46" s="532" t="s">
        <v>98</v>
      </c>
      <c r="C46" s="671"/>
      <c r="D46" s="344">
        <f t="shared" ref="D46:I46" si="3">+D32+D33+D37+D41</f>
        <v>2270</v>
      </c>
      <c r="E46" s="272">
        <f t="shared" si="3"/>
        <v>0</v>
      </c>
      <c r="F46" s="304">
        <f t="shared" si="3"/>
        <v>2270</v>
      </c>
      <c r="G46" s="344">
        <f t="shared" si="3"/>
        <v>2272</v>
      </c>
      <c r="H46" s="254">
        <f t="shared" si="3"/>
        <v>2272</v>
      </c>
      <c r="I46" s="304">
        <f t="shared" si="3"/>
        <v>0</v>
      </c>
    </row>
    <row r="47" spans="1:9" x14ac:dyDescent="0.25">
      <c r="A47" s="9" t="s">
        <v>56</v>
      </c>
      <c r="B47" s="490" t="s">
        <v>200</v>
      </c>
      <c r="C47" s="680"/>
      <c r="D47" s="344">
        <f t="shared" ref="D47:I47" si="4">SUM(D48:D49)</f>
        <v>0</v>
      </c>
      <c r="E47" s="272">
        <f t="shared" si="4"/>
        <v>0</v>
      </c>
      <c r="F47" s="304">
        <f t="shared" si="4"/>
        <v>0</v>
      </c>
      <c r="G47" s="344">
        <f t="shared" si="4"/>
        <v>0</v>
      </c>
      <c r="H47" s="254">
        <f t="shared" si="4"/>
        <v>0</v>
      </c>
      <c r="I47" s="335">
        <f t="shared" si="4"/>
        <v>0</v>
      </c>
    </row>
    <row r="48" spans="1:9" x14ac:dyDescent="0.25">
      <c r="A48" s="9"/>
      <c r="B48" s="209" t="s">
        <v>99</v>
      </c>
      <c r="C48" s="331" t="s">
        <v>101</v>
      </c>
      <c r="D48" s="344"/>
      <c r="E48" s="272"/>
      <c r="F48" s="14">
        <f t="shared" ref="F48:F56" si="5">SUM(D48:D48)</f>
        <v>0</v>
      </c>
      <c r="G48" s="344"/>
      <c r="H48" s="254"/>
      <c r="I48" s="14">
        <f>SUM(F48:F48)</f>
        <v>0</v>
      </c>
    </row>
    <row r="49" spans="1:9" x14ac:dyDescent="0.25">
      <c r="A49" s="9"/>
      <c r="B49" s="209" t="s">
        <v>100</v>
      </c>
      <c r="C49" s="331" t="s">
        <v>1</v>
      </c>
      <c r="D49" s="344"/>
      <c r="E49" s="272"/>
      <c r="F49" s="14"/>
      <c r="G49" s="344"/>
      <c r="H49" s="254"/>
      <c r="I49" s="14"/>
    </row>
    <row r="50" spans="1:9" x14ac:dyDescent="0.25">
      <c r="A50" s="9" t="s">
        <v>57</v>
      </c>
      <c r="B50" s="490" t="s">
        <v>155</v>
      </c>
      <c r="C50" s="680"/>
      <c r="D50" s="344">
        <f>SUM(D51:D52)</f>
        <v>0</v>
      </c>
      <c r="E50" s="272">
        <f>SUM(E51:E52)</f>
        <v>0</v>
      </c>
      <c r="F50" s="14">
        <f t="shared" si="5"/>
        <v>0</v>
      </c>
      <c r="G50" s="344">
        <f>SUM(G51:G52)</f>
        <v>0</v>
      </c>
      <c r="H50" s="254">
        <f>SUM(H51:H52)</f>
        <v>0</v>
      </c>
      <c r="I50" s="14">
        <f>SUM(F50:F50)</f>
        <v>0</v>
      </c>
    </row>
    <row r="51" spans="1:9" x14ac:dyDescent="0.25">
      <c r="A51" s="9"/>
      <c r="B51" s="209" t="s">
        <v>102</v>
      </c>
      <c r="C51" s="331" t="s">
        <v>104</v>
      </c>
      <c r="D51" s="344"/>
      <c r="E51" s="272"/>
      <c r="F51" s="14">
        <f t="shared" si="5"/>
        <v>0</v>
      </c>
      <c r="G51" s="344"/>
      <c r="H51" s="254"/>
      <c r="I51" s="14">
        <f>SUM(F51:F51)</f>
        <v>0</v>
      </c>
    </row>
    <row r="52" spans="1:9" x14ac:dyDescent="0.25">
      <c r="A52" s="9"/>
      <c r="B52" s="209" t="s">
        <v>103</v>
      </c>
      <c r="C52" s="331" t="s">
        <v>105</v>
      </c>
      <c r="D52" s="344">
        <v>0</v>
      </c>
      <c r="E52" s="272"/>
      <c r="F52" s="14">
        <f t="shared" si="5"/>
        <v>0</v>
      </c>
      <c r="G52" s="344">
        <v>0</v>
      </c>
      <c r="H52" s="254"/>
      <c r="I52" s="14">
        <f>SUM(F52:F52)</f>
        <v>0</v>
      </c>
    </row>
    <row r="53" spans="1:9" x14ac:dyDescent="0.25">
      <c r="A53" s="9" t="s">
        <v>58</v>
      </c>
      <c r="B53" s="490" t="s">
        <v>156</v>
      </c>
      <c r="C53" s="680"/>
      <c r="D53" s="344">
        <f t="shared" ref="D53:I53" si="6">SUM(D54:D56)</f>
        <v>0</v>
      </c>
      <c r="E53" s="272">
        <f t="shared" si="6"/>
        <v>0</v>
      </c>
      <c r="F53" s="14">
        <f t="shared" si="6"/>
        <v>0</v>
      </c>
      <c r="G53" s="344">
        <f t="shared" si="6"/>
        <v>0</v>
      </c>
      <c r="H53" s="254">
        <f t="shared" si="6"/>
        <v>0</v>
      </c>
      <c r="I53" s="14">
        <f t="shared" si="6"/>
        <v>0</v>
      </c>
    </row>
    <row r="54" spans="1:9" x14ac:dyDescent="0.25">
      <c r="A54" s="9"/>
      <c r="B54" s="209" t="s">
        <v>106</v>
      </c>
      <c r="C54" s="331" t="s">
        <v>109</v>
      </c>
      <c r="D54" s="344"/>
      <c r="E54" s="272"/>
      <c r="F54" s="14"/>
      <c r="G54" s="344"/>
      <c r="H54" s="254"/>
      <c r="I54" s="14"/>
    </row>
    <row r="55" spans="1:9" x14ac:dyDescent="0.25">
      <c r="A55" s="9"/>
      <c r="B55" s="209" t="s">
        <v>107</v>
      </c>
      <c r="C55" s="331" t="s">
        <v>2</v>
      </c>
      <c r="D55" s="344"/>
      <c r="E55" s="272"/>
      <c r="F55" s="14">
        <f t="shared" si="5"/>
        <v>0</v>
      </c>
      <c r="G55" s="344"/>
      <c r="H55" s="254"/>
      <c r="I55" s="14">
        <f>SUM(F55:F55)</f>
        <v>0</v>
      </c>
    </row>
    <row r="56" spans="1:9" x14ac:dyDescent="0.25">
      <c r="A56" s="9"/>
      <c r="B56" s="209" t="s">
        <v>108</v>
      </c>
      <c r="C56" s="331" t="s">
        <v>110</v>
      </c>
      <c r="D56" s="344"/>
      <c r="E56" s="272"/>
      <c r="F56" s="14">
        <f t="shared" si="5"/>
        <v>0</v>
      </c>
      <c r="G56" s="344"/>
      <c r="H56" s="254"/>
      <c r="I56" s="14">
        <f>SUM(F56:F56)</f>
        <v>0</v>
      </c>
    </row>
    <row r="57" spans="1:9" x14ac:dyDescent="0.25">
      <c r="A57" s="210" t="s">
        <v>204</v>
      </c>
      <c r="B57" s="532" t="s">
        <v>247</v>
      </c>
      <c r="C57" s="671"/>
      <c r="D57" s="345">
        <f t="shared" ref="D57:I57" si="7">+D47+D50+D53</f>
        <v>0</v>
      </c>
      <c r="E57" s="270">
        <f t="shared" si="7"/>
        <v>0</v>
      </c>
      <c r="F57" s="305">
        <f t="shared" si="7"/>
        <v>0</v>
      </c>
      <c r="G57" s="345">
        <f t="shared" si="7"/>
        <v>0</v>
      </c>
      <c r="H57" s="306">
        <f t="shared" si="7"/>
        <v>0</v>
      </c>
      <c r="I57" s="305">
        <f t="shared" si="7"/>
        <v>0</v>
      </c>
    </row>
    <row r="58" spans="1:9" x14ac:dyDescent="0.25">
      <c r="A58" s="210" t="s">
        <v>205</v>
      </c>
      <c r="B58" s="532" t="s">
        <v>157</v>
      </c>
      <c r="C58" s="671"/>
      <c r="D58" s="345"/>
      <c r="E58" s="270"/>
      <c r="F58" s="17"/>
      <c r="G58" s="345"/>
      <c r="H58" s="255"/>
      <c r="I58" s="17"/>
    </row>
    <row r="59" spans="1:9" x14ac:dyDescent="0.25">
      <c r="A59" s="210" t="s">
        <v>190</v>
      </c>
      <c r="B59" s="532" t="s">
        <v>22</v>
      </c>
      <c r="C59" s="671"/>
      <c r="D59" s="345"/>
      <c r="E59" s="270"/>
      <c r="F59" s="17"/>
      <c r="G59" s="345"/>
      <c r="H59" s="255"/>
      <c r="I59" s="17"/>
    </row>
    <row r="60" spans="1:9" ht="18.75" x14ac:dyDescent="0.3">
      <c r="A60" s="171" t="s">
        <v>158</v>
      </c>
      <c r="B60" s="484" t="s">
        <v>159</v>
      </c>
      <c r="C60" s="682"/>
      <c r="D60" s="346">
        <f t="shared" ref="D60:I60" si="8">+D46+D57+D58+D59</f>
        <v>2270</v>
      </c>
      <c r="E60" s="271">
        <f t="shared" si="8"/>
        <v>0</v>
      </c>
      <c r="F60" s="301">
        <f t="shared" si="8"/>
        <v>2270</v>
      </c>
      <c r="G60" s="346">
        <f t="shared" si="8"/>
        <v>2272</v>
      </c>
      <c r="H60" s="295">
        <f t="shared" si="8"/>
        <v>2272</v>
      </c>
      <c r="I60" s="301">
        <f t="shared" si="8"/>
        <v>0</v>
      </c>
    </row>
    <row r="61" spans="1:9" ht="18.75" x14ac:dyDescent="0.3">
      <c r="A61" s="171"/>
      <c r="B61" s="484" t="s">
        <v>160</v>
      </c>
      <c r="C61" s="682"/>
      <c r="D61" s="346">
        <f t="shared" ref="D61:I61" si="9">+D29-D60</f>
        <v>59295</v>
      </c>
      <c r="E61" s="271">
        <f t="shared" si="9"/>
        <v>54245</v>
      </c>
      <c r="F61" s="301">
        <f t="shared" si="9"/>
        <v>5050</v>
      </c>
      <c r="G61" s="346">
        <f t="shared" si="9"/>
        <v>61646</v>
      </c>
      <c r="H61" s="295">
        <f t="shared" si="9"/>
        <v>61646</v>
      </c>
      <c r="I61" s="301">
        <f t="shared" si="9"/>
        <v>0</v>
      </c>
    </row>
    <row r="62" spans="1:9" ht="18.75" x14ac:dyDescent="0.3">
      <c r="A62" s="171"/>
      <c r="B62" s="532" t="s">
        <v>322</v>
      </c>
      <c r="C62" s="671"/>
      <c r="D62" s="346">
        <f>+F62+E62</f>
        <v>59182</v>
      </c>
      <c r="E62" s="271">
        <f>53883+249</f>
        <v>54132</v>
      </c>
      <c r="F62" s="301">
        <f>6050-1000</f>
        <v>5050</v>
      </c>
      <c r="G62" s="346">
        <f>+I62+H62</f>
        <v>61533</v>
      </c>
      <c r="H62" s="268">
        <v>61533</v>
      </c>
      <c r="I62" s="301"/>
    </row>
    <row r="63" spans="1:9" x14ac:dyDescent="0.25">
      <c r="A63" s="210" t="s">
        <v>191</v>
      </c>
      <c r="B63" s="532" t="s">
        <v>161</v>
      </c>
      <c r="C63" s="671"/>
      <c r="D63" s="344">
        <f>SUM(E63:F63)</f>
        <v>113</v>
      </c>
      <c r="E63" s="272">
        <v>113</v>
      </c>
      <c r="F63" s="14"/>
      <c r="G63" s="344">
        <f>SUM(H63:I63)</f>
        <v>113</v>
      </c>
      <c r="H63" s="267">
        <v>113</v>
      </c>
      <c r="I63" s="14"/>
    </row>
    <row r="64" spans="1:9" ht="18.75" x14ac:dyDescent="0.3">
      <c r="A64" s="171"/>
      <c r="B64" s="246" t="s">
        <v>30</v>
      </c>
      <c r="C64" s="331" t="s">
        <v>111</v>
      </c>
      <c r="D64" s="344">
        <v>113</v>
      </c>
      <c r="E64" s="272">
        <v>113</v>
      </c>
      <c r="F64" s="348"/>
      <c r="G64" s="344">
        <v>113</v>
      </c>
      <c r="H64" s="267">
        <v>113</v>
      </c>
      <c r="I64" s="348"/>
    </row>
    <row r="65" spans="1:9" ht="18.75" x14ac:dyDescent="0.3">
      <c r="A65" s="171"/>
      <c r="B65" s="246" t="s">
        <v>52</v>
      </c>
      <c r="C65" s="331" t="s">
        <v>112</v>
      </c>
      <c r="D65" s="349"/>
      <c r="E65" s="271"/>
      <c r="F65" s="14"/>
      <c r="G65" s="349"/>
      <c r="H65" s="268"/>
      <c r="I65" s="14"/>
    </row>
    <row r="66" spans="1:9" ht="18.75" x14ac:dyDescent="0.3">
      <c r="A66" s="171" t="s">
        <v>162</v>
      </c>
      <c r="B66" s="497" t="s">
        <v>166</v>
      </c>
      <c r="C66" s="672"/>
      <c r="D66" s="346">
        <f t="shared" ref="D66:I66" si="10">+D63</f>
        <v>113</v>
      </c>
      <c r="E66" s="271">
        <f t="shared" si="10"/>
        <v>113</v>
      </c>
      <c r="F66" s="301">
        <f t="shared" si="10"/>
        <v>0</v>
      </c>
      <c r="G66" s="346">
        <f t="shared" si="10"/>
        <v>113</v>
      </c>
      <c r="H66" s="268">
        <f t="shared" si="10"/>
        <v>113</v>
      </c>
      <c r="I66" s="301">
        <f t="shared" si="10"/>
        <v>0</v>
      </c>
    </row>
    <row r="67" spans="1:9" ht="18.75" x14ac:dyDescent="0.3">
      <c r="A67" s="9" t="s">
        <v>192</v>
      </c>
      <c r="B67" s="490" t="s">
        <v>163</v>
      </c>
      <c r="C67" s="680"/>
      <c r="D67" s="346"/>
      <c r="E67" s="271"/>
      <c r="F67" s="12">
        <f t="shared" ref="F67:F80" si="11">SUM(D67:E67)</f>
        <v>0</v>
      </c>
      <c r="G67" s="346"/>
      <c r="H67" s="256"/>
      <c r="I67" s="12">
        <f>SUM(F67:H67)</f>
        <v>0</v>
      </c>
    </row>
    <row r="68" spans="1:9" ht="18.75" x14ac:dyDescent="0.3">
      <c r="A68" s="9" t="s">
        <v>193</v>
      </c>
      <c r="B68" s="490" t="s">
        <v>164</v>
      </c>
      <c r="C68" s="680"/>
      <c r="D68" s="346">
        <f>SUM(D69:D72)</f>
        <v>0</v>
      </c>
      <c r="E68" s="271"/>
      <c r="F68" s="12">
        <f t="shared" si="11"/>
        <v>0</v>
      </c>
      <c r="G68" s="346">
        <f>SUM(G69:G72)</f>
        <v>0</v>
      </c>
      <c r="H68" s="256"/>
      <c r="I68" s="12">
        <f>SUM(F68:H68)</f>
        <v>0</v>
      </c>
    </row>
    <row r="69" spans="1:9" ht="18.75" x14ac:dyDescent="0.3">
      <c r="A69" s="9"/>
      <c r="B69" s="209" t="s">
        <v>30</v>
      </c>
      <c r="C69" s="331" t="s">
        <v>113</v>
      </c>
      <c r="D69" s="349"/>
      <c r="E69" s="283"/>
      <c r="F69" s="348">
        <f t="shared" si="11"/>
        <v>0</v>
      </c>
      <c r="G69" s="349"/>
      <c r="H69" s="258"/>
      <c r="I69" s="348">
        <f>SUM(F69:H69)</f>
        <v>0</v>
      </c>
    </row>
    <row r="70" spans="1:9" ht="18.75" x14ac:dyDescent="0.3">
      <c r="A70" s="9"/>
      <c r="B70" s="209" t="s">
        <v>52</v>
      </c>
      <c r="C70" s="331" t="s">
        <v>114</v>
      </c>
      <c r="D70" s="346"/>
      <c r="E70" s="271"/>
      <c r="F70" s="12">
        <f t="shared" si="11"/>
        <v>0</v>
      </c>
      <c r="G70" s="346"/>
      <c r="H70" s="256"/>
      <c r="I70" s="12">
        <f>SUM(F70:H70)</f>
        <v>0</v>
      </c>
    </row>
    <row r="71" spans="1:9" ht="18.75" x14ac:dyDescent="0.3">
      <c r="A71" s="9"/>
      <c r="B71" s="209" t="s">
        <v>53</v>
      </c>
      <c r="C71" s="331" t="s">
        <v>263</v>
      </c>
      <c r="D71" s="349"/>
      <c r="E71" s="271"/>
      <c r="F71" s="12"/>
      <c r="G71" s="349"/>
      <c r="H71" s="256"/>
      <c r="I71" s="12"/>
    </row>
    <row r="72" spans="1:9" ht="18.75" x14ac:dyDescent="0.3">
      <c r="A72" s="9"/>
      <c r="B72" s="209" t="s">
        <v>54</v>
      </c>
      <c r="C72" s="331" t="s">
        <v>264</v>
      </c>
      <c r="D72" s="349"/>
      <c r="E72" s="271"/>
      <c r="F72" s="12"/>
      <c r="G72" s="349"/>
      <c r="H72" s="256"/>
      <c r="I72" s="12"/>
    </row>
    <row r="73" spans="1:9" ht="19.5" x14ac:dyDescent="0.3">
      <c r="A73" s="171" t="s">
        <v>165</v>
      </c>
      <c r="B73" s="537" t="s">
        <v>167</v>
      </c>
      <c r="C73" s="683"/>
      <c r="D73" s="346">
        <f>+D67+D68</f>
        <v>0</v>
      </c>
      <c r="E73" s="271"/>
      <c r="F73" s="12">
        <f t="shared" si="11"/>
        <v>0</v>
      </c>
      <c r="G73" s="346">
        <f>+G67+G68</f>
        <v>0</v>
      </c>
      <c r="H73" s="256"/>
      <c r="I73" s="12">
        <f>SUM(F73:H73)</f>
        <v>0</v>
      </c>
    </row>
    <row r="74" spans="1:9" ht="18.75" x14ac:dyDescent="0.3">
      <c r="A74" s="171" t="s">
        <v>168</v>
      </c>
      <c r="B74" s="484" t="s">
        <v>169</v>
      </c>
      <c r="C74" s="682"/>
      <c r="D74" s="346">
        <f t="shared" ref="D74:I74" si="12">+D66+D73+D62</f>
        <v>59295</v>
      </c>
      <c r="E74" s="271">
        <f t="shared" si="12"/>
        <v>54245</v>
      </c>
      <c r="F74" s="301">
        <f t="shared" si="12"/>
        <v>5050</v>
      </c>
      <c r="G74" s="346">
        <f t="shared" si="12"/>
        <v>61646</v>
      </c>
      <c r="H74" s="256">
        <f t="shared" si="12"/>
        <v>61646</v>
      </c>
      <c r="I74" s="269">
        <f t="shared" si="12"/>
        <v>0</v>
      </c>
    </row>
    <row r="75" spans="1:9" ht="18.75" x14ac:dyDescent="0.3">
      <c r="A75" s="9" t="s">
        <v>194</v>
      </c>
      <c r="B75" s="490" t="s">
        <v>323</v>
      </c>
      <c r="C75" s="680"/>
      <c r="D75" s="346"/>
      <c r="E75" s="271"/>
      <c r="F75" s="12">
        <f t="shared" si="11"/>
        <v>0</v>
      </c>
      <c r="G75" s="346"/>
      <c r="H75" s="256"/>
      <c r="I75" s="12">
        <f t="shared" ref="I75:I80" si="13">SUM(F75:H75)</f>
        <v>0</v>
      </c>
    </row>
    <row r="76" spans="1:9" ht="18.75" x14ac:dyDescent="0.3">
      <c r="A76" s="9" t="s">
        <v>195</v>
      </c>
      <c r="B76" s="490" t="s">
        <v>170</v>
      </c>
      <c r="C76" s="680"/>
      <c r="D76" s="349">
        <f>SUM(D77:D79)</f>
        <v>0</v>
      </c>
      <c r="E76" s="283"/>
      <c r="F76" s="348">
        <f t="shared" si="11"/>
        <v>0</v>
      </c>
      <c r="G76" s="349">
        <f>SUM(G77:G79)</f>
        <v>0</v>
      </c>
      <c r="H76" s="258"/>
      <c r="I76" s="348">
        <f t="shared" si="13"/>
        <v>0</v>
      </c>
    </row>
    <row r="77" spans="1:9" ht="18.75" x14ac:dyDescent="0.3">
      <c r="A77" s="9"/>
      <c r="B77" s="209" t="s">
        <v>30</v>
      </c>
      <c r="C77" s="331" t="s">
        <v>259</v>
      </c>
      <c r="D77" s="349"/>
      <c r="E77" s="283"/>
      <c r="F77" s="348">
        <f t="shared" si="11"/>
        <v>0</v>
      </c>
      <c r="G77" s="349"/>
      <c r="H77" s="258"/>
      <c r="I77" s="348">
        <f t="shared" si="13"/>
        <v>0</v>
      </c>
    </row>
    <row r="78" spans="1:9" ht="18.75" x14ac:dyDescent="0.3">
      <c r="A78" s="9"/>
      <c r="B78" s="209" t="s">
        <v>52</v>
      </c>
      <c r="C78" s="331" t="s">
        <v>258</v>
      </c>
      <c r="D78" s="349"/>
      <c r="E78" s="283"/>
      <c r="F78" s="348">
        <f t="shared" si="11"/>
        <v>0</v>
      </c>
      <c r="G78" s="349"/>
      <c r="H78" s="258"/>
      <c r="I78" s="348">
        <f t="shared" si="13"/>
        <v>0</v>
      </c>
    </row>
    <row r="79" spans="1:9" ht="18.75" x14ac:dyDescent="0.3">
      <c r="A79" s="9"/>
      <c r="B79" s="209" t="s">
        <v>53</v>
      </c>
      <c r="C79" s="331" t="s">
        <v>115</v>
      </c>
      <c r="D79" s="349"/>
      <c r="E79" s="283"/>
      <c r="F79" s="348">
        <f t="shared" si="11"/>
        <v>0</v>
      </c>
      <c r="G79" s="349"/>
      <c r="H79" s="258"/>
      <c r="I79" s="348">
        <f t="shared" si="13"/>
        <v>0</v>
      </c>
    </row>
    <row r="80" spans="1:9" ht="18.75" x14ac:dyDescent="0.3">
      <c r="A80" s="171" t="s">
        <v>171</v>
      </c>
      <c r="B80" s="484" t="s">
        <v>172</v>
      </c>
      <c r="C80" s="682"/>
      <c r="D80" s="346">
        <f>+D75+D76</f>
        <v>0</v>
      </c>
      <c r="E80" s="271">
        <f>+E75+E76</f>
        <v>0</v>
      </c>
      <c r="F80" s="12">
        <f t="shared" si="11"/>
        <v>0</v>
      </c>
      <c r="G80" s="346">
        <f>+G75+G76</f>
        <v>0</v>
      </c>
      <c r="H80" s="256">
        <f>+H75+H76</f>
        <v>0</v>
      </c>
      <c r="I80" s="12">
        <f t="shared" si="13"/>
        <v>0</v>
      </c>
    </row>
    <row r="81" spans="1:9" ht="18.75" x14ac:dyDescent="0.3">
      <c r="A81" s="171" t="s">
        <v>215</v>
      </c>
      <c r="B81" s="484" t="s">
        <v>217</v>
      </c>
      <c r="C81" s="682"/>
      <c r="D81" s="350">
        <f t="shared" ref="D81:I81" si="14">+D29+D80</f>
        <v>61565</v>
      </c>
      <c r="E81" s="285">
        <f t="shared" si="14"/>
        <v>54245</v>
      </c>
      <c r="F81" s="188">
        <f t="shared" si="14"/>
        <v>7320</v>
      </c>
      <c r="G81" s="350">
        <f t="shared" si="14"/>
        <v>63918</v>
      </c>
      <c r="H81" s="188">
        <f t="shared" si="14"/>
        <v>63918</v>
      </c>
      <c r="I81" s="188">
        <f t="shared" si="14"/>
        <v>0</v>
      </c>
    </row>
    <row r="82" spans="1:9" ht="19.5" thickBot="1" x14ac:dyDescent="0.35">
      <c r="A82" s="189" t="s">
        <v>216</v>
      </c>
      <c r="B82" s="190" t="s">
        <v>218</v>
      </c>
      <c r="C82" s="334"/>
      <c r="D82" s="351">
        <f t="shared" ref="D82:I82" si="15">+D60+D74</f>
        <v>61565</v>
      </c>
      <c r="E82" s="49">
        <f t="shared" si="15"/>
        <v>54245</v>
      </c>
      <c r="F82" s="191">
        <f t="shared" si="15"/>
        <v>7320</v>
      </c>
      <c r="G82" s="351">
        <f t="shared" si="15"/>
        <v>63918</v>
      </c>
      <c r="H82" s="191">
        <f t="shared" si="15"/>
        <v>63918</v>
      </c>
      <c r="I82" s="191">
        <f t="shared" si="15"/>
        <v>0</v>
      </c>
    </row>
    <row r="83" spans="1:9" x14ac:dyDescent="0.2">
      <c r="B83" s="15"/>
      <c r="C83" s="15"/>
      <c r="D83" s="16"/>
      <c r="E83" s="16"/>
      <c r="F83" s="16"/>
      <c r="G83" s="16"/>
    </row>
    <row r="84" spans="1:9" x14ac:dyDescent="0.2">
      <c r="B84" s="15"/>
      <c r="C84" s="15"/>
      <c r="D84" s="194">
        <f>+D82-D81</f>
        <v>0</v>
      </c>
      <c r="E84" s="194">
        <f>+E82-E81</f>
        <v>0</v>
      </c>
      <c r="F84" s="194">
        <f>+F82-F81</f>
        <v>0</v>
      </c>
      <c r="G84" s="194"/>
      <c r="H84" s="194">
        <f>+H82-H81</f>
        <v>0</v>
      </c>
    </row>
    <row r="85" spans="1:9" x14ac:dyDescent="0.2">
      <c r="B85" s="15"/>
      <c r="C85" s="15"/>
      <c r="D85" s="16"/>
      <c r="E85" s="16"/>
      <c r="F85" s="16"/>
      <c r="G85" s="16"/>
    </row>
    <row r="86" spans="1:9" x14ac:dyDescent="0.2">
      <c r="B86" s="15"/>
      <c r="C86" s="15"/>
      <c r="D86" s="16"/>
      <c r="E86" s="16"/>
      <c r="F86" s="16"/>
      <c r="G86" s="16"/>
    </row>
    <row r="87" spans="1:9" x14ac:dyDescent="0.2">
      <c r="B87" s="15"/>
      <c r="C87" s="15"/>
      <c r="D87" s="16"/>
      <c r="E87" s="16"/>
      <c r="F87" s="16"/>
      <c r="G87" s="16"/>
    </row>
    <row r="88" spans="1:9" x14ac:dyDescent="0.2">
      <c r="B88" s="15"/>
      <c r="C88" s="15"/>
      <c r="D88" s="16"/>
      <c r="E88" s="16"/>
      <c r="F88" s="16"/>
      <c r="G88" s="16"/>
    </row>
    <row r="89" spans="1:9" x14ac:dyDescent="0.2">
      <c r="B89" s="15"/>
      <c r="C89" s="15"/>
      <c r="D89" s="16"/>
      <c r="E89" s="16"/>
      <c r="F89" s="16"/>
      <c r="G89" s="16"/>
    </row>
    <row r="90" spans="1:9" x14ac:dyDescent="0.2">
      <c r="B90" s="15"/>
      <c r="C90" s="15"/>
      <c r="D90" s="16"/>
      <c r="E90" s="16"/>
      <c r="F90" s="16"/>
      <c r="G90" s="16"/>
    </row>
    <row r="91" spans="1:9" x14ac:dyDescent="0.2">
      <c r="B91" s="15"/>
      <c r="C91" s="15"/>
      <c r="D91" s="16"/>
      <c r="E91" s="16"/>
      <c r="F91" s="16"/>
      <c r="G91" s="16"/>
    </row>
    <row r="92" spans="1:9" x14ac:dyDescent="0.2">
      <c r="B92" s="15"/>
      <c r="C92" s="15"/>
      <c r="D92" s="16"/>
      <c r="E92" s="16"/>
      <c r="F92" s="16"/>
      <c r="G92" s="16"/>
    </row>
    <row r="93" spans="1:9" x14ac:dyDescent="0.2">
      <c r="B93" s="15"/>
      <c r="C93" s="15"/>
      <c r="D93" s="16"/>
      <c r="E93" s="16"/>
      <c r="F93" s="16"/>
      <c r="G93" s="16"/>
    </row>
    <row r="94" spans="1:9" x14ac:dyDescent="0.2">
      <c r="B94" s="15"/>
      <c r="C94" s="15"/>
      <c r="D94" s="16"/>
      <c r="E94" s="16"/>
      <c r="F94" s="16"/>
      <c r="G94" s="16"/>
    </row>
    <row r="95" spans="1:9" x14ac:dyDescent="0.2">
      <c r="B95" s="15"/>
      <c r="C95" s="15"/>
      <c r="D95" s="16"/>
      <c r="E95" s="16"/>
      <c r="F95" s="16"/>
      <c r="G95" s="16"/>
    </row>
    <row r="96" spans="1:9" x14ac:dyDescent="0.2">
      <c r="B96" s="15"/>
      <c r="C96" s="15"/>
      <c r="D96" s="16"/>
      <c r="E96" s="16"/>
      <c r="F96" s="16"/>
      <c r="G96" s="16"/>
    </row>
    <row r="97" spans="2:7" x14ac:dyDescent="0.2">
      <c r="B97" s="15"/>
      <c r="C97" s="15"/>
      <c r="D97" s="16"/>
      <c r="E97" s="16"/>
      <c r="F97" s="16"/>
      <c r="G97" s="16"/>
    </row>
    <row r="98" spans="2:7" x14ac:dyDescent="0.2">
      <c r="B98" s="15"/>
      <c r="C98" s="15"/>
      <c r="D98" s="16"/>
      <c r="E98" s="16"/>
      <c r="F98" s="16"/>
      <c r="G98" s="16"/>
    </row>
    <row r="99" spans="2:7" x14ac:dyDescent="0.2">
      <c r="B99" s="15"/>
      <c r="C99" s="15"/>
      <c r="D99" s="16"/>
      <c r="E99" s="16"/>
      <c r="F99" s="16"/>
      <c r="G99" s="16"/>
    </row>
    <row r="100" spans="2:7" x14ac:dyDescent="0.2">
      <c r="B100" s="15"/>
      <c r="C100" s="15"/>
      <c r="D100" s="16"/>
      <c r="E100" s="16"/>
      <c r="F100" s="16"/>
      <c r="G100" s="16"/>
    </row>
    <row r="101" spans="2:7" x14ac:dyDescent="0.2">
      <c r="B101" s="15"/>
      <c r="C101" s="15"/>
      <c r="D101" s="16"/>
      <c r="E101" s="16"/>
      <c r="F101" s="16"/>
      <c r="G101" s="16"/>
    </row>
    <row r="102" spans="2:7" x14ac:dyDescent="0.2">
      <c r="B102" s="15"/>
      <c r="C102" s="15"/>
      <c r="D102" s="16"/>
      <c r="E102" s="16"/>
      <c r="F102" s="16"/>
      <c r="G102" s="16"/>
    </row>
    <row r="103" spans="2:7" x14ac:dyDescent="0.2">
      <c r="B103" s="15"/>
      <c r="C103" s="15"/>
      <c r="D103" s="16"/>
      <c r="E103" s="16"/>
      <c r="F103" s="16"/>
      <c r="G103" s="16"/>
    </row>
    <row r="104" spans="2:7" x14ac:dyDescent="0.2">
      <c r="B104" s="15"/>
      <c r="C104" s="15"/>
      <c r="D104" s="16"/>
      <c r="E104" s="16"/>
      <c r="F104" s="16"/>
      <c r="G104" s="16"/>
    </row>
  </sheetData>
  <mergeCells count="60">
    <mergeCell ref="A6:A8"/>
    <mergeCell ref="B6:C8"/>
    <mergeCell ref="D6:D7"/>
    <mergeCell ref="E6:E7"/>
    <mergeCell ref="F6:F7"/>
    <mergeCell ref="A1:F1"/>
    <mergeCell ref="A2:F2"/>
    <mergeCell ref="A3:H3"/>
    <mergeCell ref="A4:F4"/>
    <mergeCell ref="A5:F5"/>
    <mergeCell ref="B11:C11"/>
    <mergeCell ref="B12:C12"/>
    <mergeCell ref="B13:C13"/>
    <mergeCell ref="B14:C14"/>
    <mergeCell ref="H6:H7"/>
    <mergeCell ref="B9:C9"/>
    <mergeCell ref="B10:C10"/>
    <mergeCell ref="B19:C19"/>
    <mergeCell ref="B20:C20"/>
    <mergeCell ref="B22:C22"/>
    <mergeCell ref="B23:C23"/>
    <mergeCell ref="B15:C15"/>
    <mergeCell ref="B16:C16"/>
    <mergeCell ref="B17:C17"/>
    <mergeCell ref="B18:C18"/>
    <mergeCell ref="B31:C31"/>
    <mergeCell ref="B24:C24"/>
    <mergeCell ref="B25:C25"/>
    <mergeCell ref="B26:C26"/>
    <mergeCell ref="B27:C27"/>
    <mergeCell ref="B30:C30"/>
    <mergeCell ref="B81:C81"/>
    <mergeCell ref="B67:C67"/>
    <mergeCell ref="B68:C68"/>
    <mergeCell ref="B73:C73"/>
    <mergeCell ref="B74:C74"/>
    <mergeCell ref="B80:C80"/>
    <mergeCell ref="B75:C75"/>
    <mergeCell ref="B76:C76"/>
    <mergeCell ref="B57:C57"/>
    <mergeCell ref="B58:C58"/>
    <mergeCell ref="B59:C59"/>
    <mergeCell ref="B60:C60"/>
    <mergeCell ref="B61:C61"/>
    <mergeCell ref="B62:C62"/>
    <mergeCell ref="B63:C63"/>
    <mergeCell ref="B66:C66"/>
    <mergeCell ref="I6:I7"/>
    <mergeCell ref="D8:I8"/>
    <mergeCell ref="G6:G7"/>
    <mergeCell ref="B46:C46"/>
    <mergeCell ref="B47:C47"/>
    <mergeCell ref="B50:C50"/>
    <mergeCell ref="B53:C53"/>
    <mergeCell ref="B32:C32"/>
    <mergeCell ref="B33:C33"/>
    <mergeCell ref="B37:C37"/>
    <mergeCell ref="B41:C41"/>
    <mergeCell ref="B28:C28"/>
    <mergeCell ref="B29:C29"/>
  </mergeCells>
  <phoneticPr fontId="20" type="noConversion"/>
  <pageMargins left="0.15748031496062992" right="0.15748031496062992" top="0.19685039370078741" bottom="0.15748031496062992" header="0.15748031496062992" footer="0.15748031496062992"/>
  <pageSetup paperSize="9" scale="5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V24"/>
  <sheetViews>
    <sheetView topLeftCell="A10" zoomScaleNormal="100" zoomScaleSheetLayoutView="100" workbookViewId="0">
      <selection activeCell="B9" sqref="B9"/>
    </sheetView>
  </sheetViews>
  <sheetFormatPr defaultRowHeight="12.75" x14ac:dyDescent="0.2"/>
  <cols>
    <col min="1" max="1" width="14.85546875" style="57" customWidth="1"/>
    <col min="2" max="2" width="31.5703125" style="57" customWidth="1"/>
    <col min="3" max="3" width="5" style="57" customWidth="1"/>
    <col min="4" max="4" width="7" style="57" customWidth="1"/>
    <col min="5" max="5" width="4.5703125" style="57" customWidth="1"/>
    <col min="6" max="6" width="9.7109375" style="57" customWidth="1"/>
    <col min="8" max="8" width="10.28515625" bestFit="1" customWidth="1"/>
    <col min="9" max="9" width="21.7109375" bestFit="1" customWidth="1"/>
    <col min="16" max="16" width="15.7109375" bestFit="1" customWidth="1"/>
  </cols>
  <sheetData>
    <row r="1" spans="1:22" x14ac:dyDescent="0.2">
      <c r="H1" s="57"/>
      <c r="I1" s="57"/>
      <c r="J1" s="57"/>
      <c r="K1" s="57"/>
      <c r="L1" s="57"/>
      <c r="M1" s="57"/>
      <c r="O1" s="57"/>
      <c r="P1" s="57"/>
      <c r="Q1" s="57"/>
      <c r="R1" s="57"/>
      <c r="S1" s="57"/>
      <c r="T1" s="57"/>
    </row>
    <row r="2" spans="1:22" ht="24.75" customHeight="1" x14ac:dyDescent="0.3">
      <c r="A2" s="651" t="s">
        <v>318</v>
      </c>
      <c r="B2" s="651"/>
      <c r="C2" s="651"/>
      <c r="D2" s="651"/>
      <c r="E2" s="651"/>
      <c r="F2" s="651"/>
      <c r="H2" s="651" t="s">
        <v>318</v>
      </c>
      <c r="I2" s="651"/>
      <c r="J2" s="651"/>
      <c r="K2" s="651"/>
      <c r="L2" s="651"/>
      <c r="M2" s="651"/>
      <c r="O2" s="651" t="s">
        <v>318</v>
      </c>
      <c r="P2" s="651"/>
      <c r="Q2" s="651"/>
      <c r="R2" s="651"/>
      <c r="S2" s="651"/>
      <c r="T2" s="651"/>
      <c r="V2" t="s">
        <v>339</v>
      </c>
    </row>
    <row r="3" spans="1:22" ht="21" customHeight="1" x14ac:dyDescent="0.3">
      <c r="A3" s="651"/>
      <c r="B3" s="651"/>
      <c r="C3" s="651"/>
      <c r="D3" s="651"/>
      <c r="E3" s="651"/>
      <c r="F3" s="651"/>
      <c r="H3" s="651"/>
      <c r="I3" s="651"/>
      <c r="J3" s="651"/>
      <c r="K3" s="651"/>
      <c r="L3" s="651"/>
      <c r="M3" s="651"/>
      <c r="O3" s="651" t="s">
        <v>333</v>
      </c>
      <c r="P3" s="651"/>
      <c r="Q3" s="651"/>
      <c r="R3" s="651"/>
      <c r="S3" s="651"/>
      <c r="T3" s="651"/>
    </row>
    <row r="4" spans="1:22" ht="21" customHeight="1" x14ac:dyDescent="0.3">
      <c r="A4" s="651" t="s">
        <v>280</v>
      </c>
      <c r="B4" s="651"/>
      <c r="C4" s="651"/>
      <c r="D4" s="651"/>
      <c r="E4" s="651"/>
      <c r="F4" s="651"/>
      <c r="H4" s="712" t="s">
        <v>279</v>
      </c>
      <c r="I4" s="712"/>
      <c r="J4" s="712"/>
      <c r="K4" s="712"/>
      <c r="L4" s="712"/>
      <c r="M4" s="712"/>
      <c r="O4" s="714"/>
      <c r="P4" s="714"/>
      <c r="Q4" s="714"/>
      <c r="R4" s="714"/>
      <c r="S4" s="714"/>
      <c r="T4" s="714"/>
    </row>
    <row r="5" spans="1:22" ht="21" customHeight="1" x14ac:dyDescent="0.3">
      <c r="A5" s="651" t="s">
        <v>341</v>
      </c>
      <c r="B5" s="651"/>
      <c r="C5" s="651"/>
      <c r="D5" s="651"/>
      <c r="E5" s="651"/>
      <c r="F5" s="651"/>
      <c r="H5" s="651" t="s">
        <v>341</v>
      </c>
      <c r="I5" s="651"/>
      <c r="J5" s="651"/>
      <c r="K5" s="651"/>
      <c r="L5" s="651"/>
      <c r="M5" s="651"/>
      <c r="O5" s="651" t="s">
        <v>341</v>
      </c>
      <c r="P5" s="651"/>
      <c r="Q5" s="651"/>
      <c r="R5" s="651"/>
      <c r="S5" s="651"/>
      <c r="T5" s="651"/>
    </row>
    <row r="6" spans="1:22" ht="21" customHeight="1" x14ac:dyDescent="0.2">
      <c r="H6" s="57"/>
      <c r="I6" s="57"/>
      <c r="J6" s="57"/>
      <c r="K6" s="57"/>
      <c r="L6" s="57"/>
      <c r="M6" s="57"/>
      <c r="O6" s="57"/>
      <c r="P6" s="57"/>
      <c r="Q6" s="57"/>
      <c r="R6" s="57"/>
      <c r="S6" s="57"/>
      <c r="T6" s="57"/>
    </row>
    <row r="7" spans="1:22" ht="45.75" customHeight="1" x14ac:dyDescent="0.2">
      <c r="A7" s="59" t="s">
        <v>42</v>
      </c>
      <c r="B7" s="59" t="s">
        <v>43</v>
      </c>
      <c r="C7" s="695" t="s">
        <v>117</v>
      </c>
      <c r="D7" s="695"/>
      <c r="E7" s="695"/>
      <c r="F7" s="695"/>
      <c r="H7" s="59" t="s">
        <v>42</v>
      </c>
      <c r="I7" s="59" t="s">
        <v>43</v>
      </c>
      <c r="J7" s="695" t="s">
        <v>117</v>
      </c>
      <c r="K7" s="695"/>
      <c r="L7" s="695"/>
      <c r="M7" s="695"/>
      <c r="O7" s="59" t="s">
        <v>42</v>
      </c>
      <c r="P7" s="59" t="s">
        <v>43</v>
      </c>
      <c r="Q7" s="695" t="s">
        <v>117</v>
      </c>
      <c r="R7" s="695"/>
      <c r="S7" s="695"/>
      <c r="T7" s="695"/>
    </row>
    <row r="8" spans="1:22" ht="36" customHeight="1" x14ac:dyDescent="0.2">
      <c r="A8" s="288" t="s">
        <v>302</v>
      </c>
      <c r="B8" s="61" t="s">
        <v>392</v>
      </c>
      <c r="C8" s="696">
        <v>2</v>
      </c>
      <c r="D8" s="696"/>
      <c r="E8" s="696"/>
      <c r="F8" s="696"/>
      <c r="H8" s="288" t="s">
        <v>307</v>
      </c>
      <c r="I8" s="61" t="s">
        <v>329</v>
      </c>
      <c r="J8" s="713">
        <v>7</v>
      </c>
      <c r="K8" s="713"/>
      <c r="L8" s="713"/>
      <c r="M8" s="713"/>
      <c r="O8" s="288" t="s">
        <v>334</v>
      </c>
      <c r="P8" s="61" t="s">
        <v>335</v>
      </c>
      <c r="Q8" s="696">
        <v>6</v>
      </c>
      <c r="R8" s="696"/>
      <c r="S8" s="696"/>
      <c r="T8" s="696"/>
    </row>
    <row r="9" spans="1:22" ht="36" customHeight="1" x14ac:dyDescent="0.2">
      <c r="A9" s="288" t="s">
        <v>303</v>
      </c>
      <c r="B9" s="61" t="s">
        <v>304</v>
      </c>
      <c r="C9" s="700">
        <f>4+1/6</f>
        <v>4.166666666666667</v>
      </c>
      <c r="D9" s="701"/>
      <c r="E9" s="701"/>
      <c r="F9" s="702"/>
      <c r="H9" s="288" t="s">
        <v>330</v>
      </c>
      <c r="I9" s="61" t="s">
        <v>331</v>
      </c>
      <c r="J9" s="703">
        <v>1</v>
      </c>
      <c r="K9" s="704"/>
      <c r="L9" s="704"/>
      <c r="M9" s="705"/>
      <c r="O9" s="288" t="s">
        <v>336</v>
      </c>
      <c r="P9" s="61" t="s">
        <v>337</v>
      </c>
      <c r="Q9" s="700">
        <f>1+(6/8)</f>
        <v>1.75</v>
      </c>
      <c r="R9" s="701"/>
      <c r="S9" s="701"/>
      <c r="T9" s="702"/>
    </row>
    <row r="10" spans="1:22" ht="23.25" customHeight="1" x14ac:dyDescent="0.2">
      <c r="A10" s="288" t="s">
        <v>307</v>
      </c>
      <c r="B10" s="299" t="s">
        <v>308</v>
      </c>
      <c r="C10" s="703">
        <v>1</v>
      </c>
      <c r="D10" s="704"/>
      <c r="E10" s="704"/>
      <c r="F10" s="705"/>
      <c r="H10" s="288" t="s">
        <v>332</v>
      </c>
      <c r="I10" s="61" t="s">
        <v>185</v>
      </c>
      <c r="J10" s="703">
        <v>1</v>
      </c>
      <c r="K10" s="704"/>
      <c r="L10" s="704"/>
      <c r="M10" s="705"/>
      <c r="O10" s="60">
        <v>104030</v>
      </c>
      <c r="P10" s="61" t="s">
        <v>338</v>
      </c>
      <c r="Q10" s="703">
        <v>1</v>
      </c>
      <c r="R10" s="704"/>
      <c r="S10" s="704"/>
      <c r="T10" s="705"/>
    </row>
    <row r="11" spans="1:22" ht="31.5" x14ac:dyDescent="0.25">
      <c r="A11" s="288" t="s">
        <v>317</v>
      </c>
      <c r="B11" s="61" t="s">
        <v>316</v>
      </c>
      <c r="C11" s="697">
        <v>1</v>
      </c>
      <c r="D11" s="698"/>
      <c r="E11" s="698"/>
      <c r="F11" s="699"/>
      <c r="H11" s="60"/>
      <c r="I11" s="61"/>
      <c r="J11" s="697"/>
      <c r="K11" s="698"/>
      <c r="L11" s="698"/>
      <c r="M11" s="699"/>
      <c r="O11" s="60">
        <v>91140</v>
      </c>
      <c r="P11" s="61" t="s">
        <v>340</v>
      </c>
      <c r="Q11" s="697">
        <v>5</v>
      </c>
      <c r="R11" s="698"/>
      <c r="S11" s="698"/>
      <c r="T11" s="699"/>
    </row>
    <row r="12" spans="1:22" ht="15.75" x14ac:dyDescent="0.25">
      <c r="A12" s="60"/>
      <c r="B12" s="61"/>
      <c r="C12" s="694"/>
      <c r="D12" s="694"/>
      <c r="E12" s="694"/>
      <c r="F12" s="694"/>
      <c r="H12" s="60"/>
      <c r="I12" s="61"/>
      <c r="J12" s="694"/>
      <c r="K12" s="694"/>
      <c r="L12" s="694"/>
      <c r="M12" s="694"/>
      <c r="O12" s="60"/>
      <c r="P12" s="61"/>
      <c r="Q12" s="694"/>
      <c r="R12" s="694"/>
      <c r="S12" s="694"/>
      <c r="T12" s="694"/>
    </row>
    <row r="13" spans="1:22" ht="32.25" customHeight="1" x14ac:dyDescent="0.2">
      <c r="A13" s="60"/>
      <c r="B13" s="61"/>
      <c r="C13" s="703"/>
      <c r="D13" s="707"/>
      <c r="E13" s="707"/>
      <c r="F13" s="708"/>
      <c r="H13" s="60"/>
      <c r="I13" s="61"/>
      <c r="J13" s="703"/>
      <c r="K13" s="707"/>
      <c r="L13" s="707"/>
      <c r="M13" s="708"/>
      <c r="O13" s="60"/>
      <c r="P13" s="61"/>
      <c r="Q13" s="703"/>
      <c r="R13" s="707"/>
      <c r="S13" s="707"/>
      <c r="T13" s="708"/>
    </row>
    <row r="14" spans="1:22" ht="21" customHeight="1" x14ac:dyDescent="0.25">
      <c r="A14" s="695" t="s">
        <v>45</v>
      </c>
      <c r="B14" s="695"/>
      <c r="C14" s="706">
        <f>SUM(C8:F13)</f>
        <v>8.1666666666666679</v>
      </c>
      <c r="D14" s="706"/>
      <c r="E14" s="706"/>
      <c r="F14" s="706"/>
      <c r="H14" s="695" t="s">
        <v>45</v>
      </c>
      <c r="I14" s="695"/>
      <c r="J14" s="706">
        <f>SUM(J8:M13)</f>
        <v>9</v>
      </c>
      <c r="K14" s="706"/>
      <c r="L14" s="706"/>
      <c r="M14" s="706"/>
      <c r="O14" s="695" t="s">
        <v>45</v>
      </c>
      <c r="P14" s="695"/>
      <c r="Q14" s="706">
        <f>SUM(Q8:T13)</f>
        <v>13.75</v>
      </c>
      <c r="R14" s="706"/>
      <c r="S14" s="706"/>
      <c r="T14" s="706"/>
    </row>
    <row r="15" spans="1:22" ht="21" customHeight="1" x14ac:dyDescent="0.2">
      <c r="A15" s="62"/>
      <c r="B15" s="62"/>
    </row>
    <row r="16" spans="1:22" ht="21" customHeight="1" x14ac:dyDescent="0.3">
      <c r="A16" s="651" t="s">
        <v>188</v>
      </c>
      <c r="B16" s="651"/>
      <c r="C16" s="651"/>
      <c r="D16" s="651"/>
      <c r="E16" s="651"/>
      <c r="F16" s="651"/>
    </row>
    <row r="17" spans="1:6" ht="21" customHeight="1" x14ac:dyDescent="0.2"/>
    <row r="18" spans="1:6" ht="32.25" customHeight="1" x14ac:dyDescent="0.2">
      <c r="A18" s="59" t="s">
        <v>42</v>
      </c>
      <c r="B18" s="59" t="s">
        <v>43</v>
      </c>
      <c r="C18" s="695" t="s">
        <v>44</v>
      </c>
      <c r="D18" s="695"/>
      <c r="E18" s="695"/>
      <c r="F18" s="695"/>
    </row>
    <row r="19" spans="1:6" ht="30.75" customHeight="1" x14ac:dyDescent="0.25">
      <c r="A19" s="288" t="s">
        <v>305</v>
      </c>
      <c r="B19" s="61" t="s">
        <v>306</v>
      </c>
      <c r="C19" s="709">
        <v>6.65</v>
      </c>
      <c r="D19" s="710"/>
      <c r="E19" s="710"/>
      <c r="F19" s="711"/>
    </row>
    <row r="20" spans="1:6" ht="21" customHeight="1" x14ac:dyDescent="0.25">
      <c r="A20" s="695" t="s">
        <v>45</v>
      </c>
      <c r="B20" s="695"/>
      <c r="C20" s="706">
        <f>SUM(C14:F19)</f>
        <v>14.816666666666668</v>
      </c>
      <c r="D20" s="706"/>
      <c r="E20" s="706"/>
      <c r="F20" s="706"/>
    </row>
    <row r="21" spans="1:6" ht="21" customHeight="1" x14ac:dyDescent="0.2"/>
    <row r="24" spans="1:6" x14ac:dyDescent="0.2">
      <c r="D24" s="261"/>
    </row>
  </sheetData>
  <mergeCells count="44">
    <mergeCell ref="J10:M10"/>
    <mergeCell ref="O14:P14"/>
    <mergeCell ref="O2:T2"/>
    <mergeCell ref="O3:T3"/>
    <mergeCell ref="O4:T4"/>
    <mergeCell ref="Q7:T7"/>
    <mergeCell ref="Q14:T14"/>
    <mergeCell ref="Q10:T10"/>
    <mergeCell ref="Q11:T11"/>
    <mergeCell ref="Q12:T12"/>
    <mergeCell ref="Q13:T13"/>
    <mergeCell ref="O5:T5"/>
    <mergeCell ref="Q8:T8"/>
    <mergeCell ref="H3:M3"/>
    <mergeCell ref="Q9:T9"/>
    <mergeCell ref="H4:M4"/>
    <mergeCell ref="H5:M5"/>
    <mergeCell ref="H2:M2"/>
    <mergeCell ref="J7:M7"/>
    <mergeCell ref="J8:M8"/>
    <mergeCell ref="J9:M9"/>
    <mergeCell ref="H14:I14"/>
    <mergeCell ref="J12:M12"/>
    <mergeCell ref="J13:M13"/>
    <mergeCell ref="J14:M14"/>
    <mergeCell ref="J11:M11"/>
    <mergeCell ref="A20:B20"/>
    <mergeCell ref="C20:F20"/>
    <mergeCell ref="C13:F13"/>
    <mergeCell ref="A14:B14"/>
    <mergeCell ref="C14:F14"/>
    <mergeCell ref="C18:F18"/>
    <mergeCell ref="C19:F19"/>
    <mergeCell ref="A16:F16"/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</mergeCells>
  <phoneticPr fontId="20" type="noConversion"/>
  <pageMargins left="0.17" right="0.16" top="0.43" bottom="0.54" header="0.16" footer="0.19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06"/>
  <sheetViews>
    <sheetView tabSelected="1" zoomScale="75" workbookViewId="0">
      <selection activeCell="G25" sqref="G25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7.7109375" style="2" bestFit="1" customWidth="1"/>
    <col min="5" max="5" width="14.5703125" style="2" customWidth="1"/>
    <col min="6" max="6" width="16.7109375" style="2" customWidth="1"/>
    <col min="7" max="7" width="14.85546875" style="11" bestFit="1" customWidth="1"/>
    <col min="8" max="8" width="15.42578125" customWidth="1"/>
    <col min="9" max="9" width="16.28515625" style="222" customWidth="1"/>
  </cols>
  <sheetData>
    <row r="1" spans="1:9" ht="18.75" x14ac:dyDescent="0.3">
      <c r="A1" s="513" t="s">
        <v>310</v>
      </c>
      <c r="B1" s="518"/>
      <c r="C1" s="518"/>
      <c r="D1" s="518"/>
      <c r="E1" s="518"/>
      <c r="F1" s="518"/>
    </row>
    <row r="2" spans="1:9" x14ac:dyDescent="0.2">
      <c r="A2" s="480"/>
      <c r="B2" s="480"/>
      <c r="C2" s="480"/>
      <c r="D2" s="480"/>
      <c r="E2" s="480"/>
      <c r="F2" s="480"/>
    </row>
    <row r="3" spans="1:9" x14ac:dyDescent="0.25">
      <c r="A3" s="514" t="s">
        <v>280</v>
      </c>
      <c r="B3" s="514"/>
      <c r="C3" s="514"/>
      <c r="D3" s="514"/>
      <c r="E3" s="514"/>
      <c r="F3" s="514"/>
    </row>
    <row r="4" spans="1:9" x14ac:dyDescent="0.2">
      <c r="A4" s="480" t="s">
        <v>209</v>
      </c>
      <c r="B4" s="480"/>
      <c r="C4" s="480"/>
      <c r="D4" s="480"/>
      <c r="E4" s="480"/>
      <c r="F4" s="480"/>
    </row>
    <row r="5" spans="1:9" ht="16.5" thickBot="1" x14ac:dyDescent="0.3">
      <c r="A5" s="515" t="s">
        <v>273</v>
      </c>
      <c r="B5" s="515"/>
      <c r="C5" s="515"/>
      <c r="D5" s="515"/>
      <c r="E5" s="515"/>
      <c r="F5" s="515"/>
    </row>
    <row r="6" spans="1:9" ht="12.75" customHeight="1" x14ac:dyDescent="0.2">
      <c r="A6" s="522" t="s">
        <v>210</v>
      </c>
      <c r="B6" s="509" t="s">
        <v>196</v>
      </c>
      <c r="C6" s="752"/>
      <c r="D6" s="756" t="s">
        <v>390</v>
      </c>
      <c r="E6" s="526" t="s">
        <v>372</v>
      </c>
      <c r="F6" s="758" t="s">
        <v>391</v>
      </c>
      <c r="G6" s="678" t="s">
        <v>390</v>
      </c>
      <c r="H6" s="526" t="s">
        <v>372</v>
      </c>
      <c r="I6" s="715" t="s">
        <v>391</v>
      </c>
    </row>
    <row r="7" spans="1:9" ht="38.1" customHeight="1" x14ac:dyDescent="0.2">
      <c r="A7" s="523"/>
      <c r="B7" s="510"/>
      <c r="C7" s="753"/>
      <c r="D7" s="757"/>
      <c r="E7" s="527"/>
      <c r="F7" s="759"/>
      <c r="G7" s="748"/>
      <c r="H7" s="527"/>
      <c r="I7" s="716"/>
    </row>
    <row r="8" spans="1:9" ht="15.75" customHeight="1" thickBot="1" x14ac:dyDescent="0.25">
      <c r="A8" s="751"/>
      <c r="B8" s="754"/>
      <c r="C8" s="755"/>
      <c r="D8" s="718" t="s">
        <v>320</v>
      </c>
      <c r="E8" s="540"/>
      <c r="F8" s="540"/>
      <c r="G8" s="719"/>
      <c r="H8" s="719"/>
      <c r="I8" s="720"/>
    </row>
    <row r="9" spans="1:9" x14ac:dyDescent="0.2">
      <c r="A9" s="309"/>
      <c r="B9" s="749" t="s">
        <v>211</v>
      </c>
      <c r="C9" s="750"/>
      <c r="D9" s="310"/>
      <c r="E9" s="310"/>
      <c r="F9" s="373"/>
      <c r="G9" s="388"/>
      <c r="H9" s="425"/>
      <c r="I9" s="426"/>
    </row>
    <row r="10" spans="1:9" ht="15.75" customHeight="1" x14ac:dyDescent="0.25">
      <c r="A10" s="9">
        <v>1</v>
      </c>
      <c r="B10" s="500" t="s">
        <v>197</v>
      </c>
      <c r="C10" s="740"/>
      <c r="D10" s="253">
        <f>SUM(E10:F10)</f>
        <v>89184</v>
      </c>
      <c r="E10" s="253">
        <f>'11'!E10+'13'!D10+'15'!E10</f>
        <v>88732</v>
      </c>
      <c r="F10" s="374">
        <f>'11'!F10+'13'!F10+'15'!F10</f>
        <v>452</v>
      </c>
      <c r="G10" s="343">
        <f>SUM(H10:J10)</f>
        <v>103372</v>
      </c>
      <c r="H10" s="13">
        <f>37073+39909+26390</f>
        <v>103372</v>
      </c>
      <c r="I10" s="389"/>
    </row>
    <row r="11" spans="1:9" ht="15.75" customHeight="1" x14ac:dyDescent="0.25">
      <c r="A11" s="9">
        <v>2</v>
      </c>
      <c r="B11" s="500" t="s">
        <v>206</v>
      </c>
      <c r="C11" s="740"/>
      <c r="D11" s="253">
        <f t="shared" ref="D11:D25" si="0">SUM(E11:F11)</f>
        <v>23910</v>
      </c>
      <c r="E11" s="253">
        <f>'11'!E11+'13'!D11+'15'!E11</f>
        <v>23765</v>
      </c>
      <c r="F11" s="374">
        <f>'11'!F11+'13'!F11+'15'!F11</f>
        <v>145</v>
      </c>
      <c r="G11" s="343">
        <f>SUM(H11:J11)</f>
        <v>26004</v>
      </c>
      <c r="H11" s="13">
        <f>8018+7090+10896</f>
        <v>26004</v>
      </c>
      <c r="I11" s="389"/>
    </row>
    <row r="12" spans="1:9" ht="15.75" customHeight="1" x14ac:dyDescent="0.25">
      <c r="A12" s="9">
        <v>3</v>
      </c>
      <c r="B12" s="500" t="s">
        <v>207</v>
      </c>
      <c r="C12" s="740"/>
      <c r="D12" s="253">
        <f t="shared" si="0"/>
        <v>74473</v>
      </c>
      <c r="E12" s="253">
        <f>'11'!E12+'13'!D12+'15'!E12</f>
        <v>69985</v>
      </c>
      <c r="F12" s="374">
        <f>'11'!F12+'13'!F12+'15'!F12</f>
        <v>4488</v>
      </c>
      <c r="G12" s="343">
        <f>H12+I12+J12</f>
        <v>76217</v>
      </c>
      <c r="H12" s="13">
        <f>59273+6732+10212</f>
        <v>76217</v>
      </c>
      <c r="I12" s="389"/>
    </row>
    <row r="13" spans="1:9" ht="15.75" customHeight="1" x14ac:dyDescent="0.25">
      <c r="A13" s="9" t="s">
        <v>54</v>
      </c>
      <c r="B13" s="500" t="s">
        <v>189</v>
      </c>
      <c r="C13" s="740"/>
      <c r="D13" s="253">
        <f t="shared" si="0"/>
        <v>0</v>
      </c>
      <c r="E13" s="253">
        <f>'11'!E13+'13'!D13+'15'!E13</f>
        <v>0</v>
      </c>
      <c r="F13" s="374">
        <f>'11'!F13+'13'!F13+'15'!F13</f>
        <v>0</v>
      </c>
      <c r="G13" s="343">
        <f t="shared" ref="G13:G18" si="1">SUM(H13:J13)</f>
        <v>0</v>
      </c>
      <c r="H13" s="13"/>
      <c r="I13" s="389"/>
    </row>
    <row r="14" spans="1:9" x14ac:dyDescent="0.2">
      <c r="A14" s="9" t="s">
        <v>56</v>
      </c>
      <c r="B14" s="506" t="s">
        <v>183</v>
      </c>
      <c r="C14" s="747"/>
      <c r="D14" s="253">
        <f t="shared" si="0"/>
        <v>32451</v>
      </c>
      <c r="E14" s="266">
        <f>+E15+E16+E17+E18+E19</f>
        <v>26719</v>
      </c>
      <c r="F14" s="266">
        <f>+F15+F16+F17+F18+F19</f>
        <v>5732</v>
      </c>
      <c r="G14" s="343">
        <f t="shared" si="1"/>
        <v>43338</v>
      </c>
      <c r="H14" s="13">
        <f>SUM(H15:H19)</f>
        <v>31755</v>
      </c>
      <c r="I14" s="260">
        <f>SUM(I15:I19)</f>
        <v>11583</v>
      </c>
    </row>
    <row r="15" spans="1:9" x14ac:dyDescent="0.25">
      <c r="A15" s="9" t="s">
        <v>174</v>
      </c>
      <c r="B15" s="502" t="s">
        <v>177</v>
      </c>
      <c r="C15" s="744"/>
      <c r="D15" s="253">
        <f t="shared" si="0"/>
        <v>12283</v>
      </c>
      <c r="E15" s="253">
        <f>'11'!E15+'13'!D15+'15'!E15</f>
        <v>8486</v>
      </c>
      <c r="F15" s="374">
        <f>'11'!F15+'13'!F15+'15'!F15</f>
        <v>3797</v>
      </c>
      <c r="G15" s="343">
        <f t="shared" si="1"/>
        <v>20679</v>
      </c>
      <c r="H15" s="13">
        <v>9096</v>
      </c>
      <c r="I15" s="389">
        <v>11583</v>
      </c>
    </row>
    <row r="16" spans="1:9" x14ac:dyDescent="0.25">
      <c r="A16" s="9" t="s">
        <v>175</v>
      </c>
      <c r="B16" s="502" t="s">
        <v>272</v>
      </c>
      <c r="C16" s="744"/>
      <c r="D16" s="253">
        <f t="shared" si="0"/>
        <v>1935</v>
      </c>
      <c r="E16" s="253">
        <f>'11'!E16+'13'!D16+'15'!E16</f>
        <v>0</v>
      </c>
      <c r="F16" s="374">
        <f>'11'!F16+'13'!F16+'15'!F16</f>
        <v>1935</v>
      </c>
      <c r="G16" s="343">
        <f t="shared" si="1"/>
        <v>1939</v>
      </c>
      <c r="H16" s="13">
        <v>1939</v>
      </c>
      <c r="I16" s="389"/>
    </row>
    <row r="17" spans="1:9" x14ac:dyDescent="0.25">
      <c r="A17" s="9"/>
      <c r="B17" s="533"/>
      <c r="C17" s="745"/>
      <c r="D17" s="253">
        <f t="shared" si="0"/>
        <v>0</v>
      </c>
      <c r="E17" s="253">
        <f>'11'!E17+'13'!D17+'15'!E17</f>
        <v>0</v>
      </c>
      <c r="F17" s="374">
        <f>'11'!F17+'13'!F17+'15'!F17</f>
        <v>0</v>
      </c>
      <c r="G17" s="343">
        <f t="shared" si="1"/>
        <v>0</v>
      </c>
      <c r="H17" s="13"/>
      <c r="I17" s="389"/>
    </row>
    <row r="18" spans="1:9" ht="15.75" customHeight="1" x14ac:dyDescent="0.25">
      <c r="A18" s="9" t="s">
        <v>176</v>
      </c>
      <c r="B18" s="489" t="s">
        <v>179</v>
      </c>
      <c r="C18" s="746"/>
      <c r="D18" s="253">
        <f t="shared" si="0"/>
        <v>16270</v>
      </c>
      <c r="E18" s="253">
        <f>'11'!E18+'13'!D18+'15'!E18</f>
        <v>16270</v>
      </c>
      <c r="F18" s="374">
        <f>'11'!F18+'13'!F18+'15'!F18</f>
        <v>0</v>
      </c>
      <c r="G18" s="343">
        <f t="shared" si="1"/>
        <v>16332</v>
      </c>
      <c r="H18" s="13">
        <v>16332</v>
      </c>
      <c r="I18" s="389"/>
    </row>
    <row r="19" spans="1:9" ht="15.75" customHeight="1" x14ac:dyDescent="0.25">
      <c r="A19" s="9" t="s">
        <v>82</v>
      </c>
      <c r="B19" s="489" t="s">
        <v>357</v>
      </c>
      <c r="C19" s="743"/>
      <c r="D19" s="253">
        <f t="shared" si="0"/>
        <v>1963</v>
      </c>
      <c r="E19" s="265">
        <v>1963</v>
      </c>
      <c r="F19" s="374">
        <f>'11'!F19+'13'!F19+'15'!F19</f>
        <v>0</v>
      </c>
      <c r="G19" s="343">
        <f>H19+I19+J19</f>
        <v>4388</v>
      </c>
      <c r="H19" s="13">
        <v>4388</v>
      </c>
      <c r="I19" s="389"/>
    </row>
    <row r="20" spans="1:9" ht="15.75" customHeight="1" x14ac:dyDescent="0.25">
      <c r="A20" s="9"/>
      <c r="B20" s="500" t="s">
        <v>267</v>
      </c>
      <c r="C20" s="740"/>
      <c r="D20" s="253">
        <f t="shared" si="0"/>
        <v>0</v>
      </c>
      <c r="E20" s="253">
        <f>'11'!E20+'13'!D20+'15'!E20</f>
        <v>0</v>
      </c>
      <c r="F20" s="374"/>
      <c r="G20" s="343">
        <f>H20+I20+J20</f>
        <v>0</v>
      </c>
      <c r="H20" s="13"/>
      <c r="I20" s="389"/>
    </row>
    <row r="21" spans="1:9" x14ac:dyDescent="0.25">
      <c r="A21" s="9"/>
      <c r="B21" s="500" t="s">
        <v>327</v>
      </c>
      <c r="C21" s="740"/>
      <c r="D21" s="253">
        <f t="shared" si="0"/>
        <v>72411</v>
      </c>
      <c r="E21" s="253">
        <f>'15'!E21</f>
        <v>61802</v>
      </c>
      <c r="F21" s="374">
        <f>'15'!F21</f>
        <v>10609</v>
      </c>
      <c r="G21" s="344">
        <f>H21+I21+J21</f>
        <v>30768</v>
      </c>
      <c r="H21" s="272">
        <v>20159</v>
      </c>
      <c r="I21" s="389">
        <v>10609</v>
      </c>
    </row>
    <row r="22" spans="1:9" s="286" customFormat="1" ht="15.75" customHeight="1" x14ac:dyDescent="0.25">
      <c r="A22" s="210" t="s">
        <v>203</v>
      </c>
      <c r="B22" s="732" t="s">
        <v>173</v>
      </c>
      <c r="C22" s="733"/>
      <c r="D22" s="406">
        <f>+D10+D11+D12+D13+D14+D21+D20</f>
        <v>292429</v>
      </c>
      <c r="E22" s="325">
        <f>+E10+E11+E12+E13+E14+E21+E20</f>
        <v>271003</v>
      </c>
      <c r="F22" s="375">
        <f>+F10+F11+F12+F13+F14+F21</f>
        <v>21426</v>
      </c>
      <c r="G22" s="390">
        <f>+G10+G11+G12+G13+G14+G21+G20</f>
        <v>279699</v>
      </c>
      <c r="H22" s="324">
        <f>+H10+H11+H12+H13+H14+H21+H20</f>
        <v>257507</v>
      </c>
      <c r="I22" s="391">
        <f>+I10+I11+I12+I13+I14+I21+I20</f>
        <v>22192</v>
      </c>
    </row>
    <row r="23" spans="1:9" x14ac:dyDescent="0.25">
      <c r="A23" s="9" t="s">
        <v>57</v>
      </c>
      <c r="B23" s="500" t="s">
        <v>199</v>
      </c>
      <c r="C23" s="740"/>
      <c r="D23" s="253">
        <f t="shared" si="0"/>
        <v>4014</v>
      </c>
      <c r="E23" s="253">
        <f>'11'!E23+'13'!D23+'15'!E23</f>
        <v>0</v>
      </c>
      <c r="F23" s="374">
        <f>'11'!F23+'13'!F23+'15'!F23+300</f>
        <v>4014</v>
      </c>
      <c r="G23" s="343">
        <f>SUM(H23:J23)</f>
        <v>7162</v>
      </c>
      <c r="H23" s="13">
        <f>962+16</f>
        <v>978</v>
      </c>
      <c r="I23" s="389">
        <v>6184</v>
      </c>
    </row>
    <row r="24" spans="1:9" ht="15.75" customHeight="1" x14ac:dyDescent="0.25">
      <c r="A24" s="9" t="s">
        <v>58</v>
      </c>
      <c r="B24" s="500" t="s">
        <v>198</v>
      </c>
      <c r="C24" s="740"/>
      <c r="D24" s="253">
        <f t="shared" si="0"/>
        <v>19075</v>
      </c>
      <c r="E24" s="253">
        <f>'11'!E24+'13'!D24+'15'!E24</f>
        <v>0</v>
      </c>
      <c r="F24" s="374">
        <f>'11'!F24+'13'!F24+'15'!F24</f>
        <v>19075</v>
      </c>
      <c r="G24" s="343">
        <f>SUM(H24:J24)</f>
        <v>21188</v>
      </c>
      <c r="H24" s="13"/>
      <c r="I24" s="389">
        <v>21188</v>
      </c>
    </row>
    <row r="25" spans="1:9" ht="15.75" customHeight="1" x14ac:dyDescent="0.25">
      <c r="A25" s="9" t="s">
        <v>60</v>
      </c>
      <c r="B25" s="500" t="s">
        <v>358</v>
      </c>
      <c r="C25" s="740"/>
      <c r="D25" s="253">
        <f t="shared" si="0"/>
        <v>3872</v>
      </c>
      <c r="E25" s="253">
        <f>'11'!E25+'13'!D25+'15'!E25</f>
        <v>0</v>
      </c>
      <c r="F25" s="374">
        <f>'11'!F25+'13'!F25+'15'!F25-300</f>
        <v>3872</v>
      </c>
      <c r="G25" s="343">
        <f>SUM(H25:J25)</f>
        <v>17329</v>
      </c>
      <c r="H25" s="13"/>
      <c r="I25" s="389">
        <v>17329</v>
      </c>
    </row>
    <row r="26" spans="1:9" s="286" customFormat="1" ht="18.75" x14ac:dyDescent="0.25">
      <c r="A26" s="210" t="s">
        <v>204</v>
      </c>
      <c r="B26" s="741" t="s">
        <v>268</v>
      </c>
      <c r="C26" s="742"/>
      <c r="D26" s="327">
        <f>+D23+D24+D25</f>
        <v>26961</v>
      </c>
      <c r="E26" s="327"/>
      <c r="F26" s="376">
        <f>SUM(F23:F25)</f>
        <v>26961</v>
      </c>
      <c r="G26" s="392">
        <f>+G23+G24+G25</f>
        <v>45679</v>
      </c>
      <c r="H26" s="326">
        <f>+H23+H24+H25</f>
        <v>978</v>
      </c>
      <c r="I26" s="393">
        <f>+I23+I24+I25</f>
        <v>44701</v>
      </c>
    </row>
    <row r="27" spans="1:9" x14ac:dyDescent="0.25">
      <c r="A27" s="9" t="s">
        <v>205</v>
      </c>
      <c r="B27" s="500"/>
      <c r="C27" s="740"/>
      <c r="D27" s="254"/>
      <c r="E27" s="254"/>
      <c r="F27" s="374"/>
      <c r="G27" s="344"/>
      <c r="H27" s="272"/>
      <c r="I27" s="389"/>
    </row>
    <row r="28" spans="1:9" x14ac:dyDescent="0.25">
      <c r="A28" s="9" t="s">
        <v>190</v>
      </c>
      <c r="B28" s="542"/>
      <c r="C28" s="736"/>
      <c r="D28" s="255"/>
      <c r="E28" s="255"/>
      <c r="F28" s="374">
        <f>+D28+E28</f>
        <v>0</v>
      </c>
      <c r="G28" s="345"/>
      <c r="H28" s="270"/>
      <c r="I28" s="389"/>
    </row>
    <row r="29" spans="1:9" ht="19.5" customHeight="1" x14ac:dyDescent="0.25">
      <c r="A29" s="9" t="s">
        <v>191</v>
      </c>
      <c r="B29" s="542"/>
      <c r="C29" s="736"/>
      <c r="D29" s="255"/>
      <c r="E29" s="297"/>
      <c r="F29" s="374">
        <f>+D29+E29</f>
        <v>0</v>
      </c>
      <c r="G29" s="345"/>
      <c r="H29" s="270"/>
      <c r="I29" s="389"/>
    </row>
    <row r="30" spans="1:9" ht="20.25" x14ac:dyDescent="0.3">
      <c r="A30" s="171" t="s">
        <v>181</v>
      </c>
      <c r="B30" s="737" t="s">
        <v>326</v>
      </c>
      <c r="C30" s="738"/>
      <c r="D30" s="407">
        <f t="shared" ref="D30:I30" si="2">+D22+D26+D27+D28+D29</f>
        <v>319390</v>
      </c>
      <c r="E30" s="312">
        <f t="shared" si="2"/>
        <v>271003</v>
      </c>
      <c r="F30" s="311">
        <f t="shared" si="2"/>
        <v>48387</v>
      </c>
      <c r="G30" s="394">
        <f t="shared" si="2"/>
        <v>325378</v>
      </c>
      <c r="H30" s="312">
        <f t="shared" si="2"/>
        <v>258485</v>
      </c>
      <c r="I30" s="395">
        <f t="shared" si="2"/>
        <v>66893</v>
      </c>
    </row>
    <row r="31" spans="1:9" x14ac:dyDescent="0.25">
      <c r="A31" s="18"/>
      <c r="B31" s="496"/>
      <c r="C31" s="739"/>
      <c r="D31" s="377"/>
      <c r="E31" s="19"/>
      <c r="F31" s="377"/>
      <c r="G31" s="347"/>
      <c r="H31" s="19"/>
      <c r="I31" s="20"/>
    </row>
    <row r="32" spans="1:9" x14ac:dyDescent="0.25">
      <c r="A32" s="9"/>
      <c r="B32" s="734" t="s">
        <v>212</v>
      </c>
      <c r="C32" s="735"/>
      <c r="D32" s="408"/>
      <c r="E32" s="314"/>
      <c r="F32" s="378"/>
      <c r="G32" s="396"/>
      <c r="H32" s="313"/>
      <c r="I32" s="397"/>
    </row>
    <row r="33" spans="1:9" x14ac:dyDescent="0.25">
      <c r="A33" s="9" t="s">
        <v>30</v>
      </c>
      <c r="B33" s="490" t="s">
        <v>265</v>
      </c>
      <c r="C33" s="717"/>
      <c r="D33" s="253">
        <f t="shared" ref="D33:D45" si="3">SUM(E33:F33)</f>
        <v>14702</v>
      </c>
      <c r="E33" s="274">
        <f>'11'!E32+'13'!D32+'15'!E33</f>
        <v>14367</v>
      </c>
      <c r="F33" s="280">
        <f>'11'!F32+'13'!F32+'15'!F33</f>
        <v>335</v>
      </c>
      <c r="G33" s="398">
        <f t="shared" ref="G33:G41" si="4">SUM(H33:J33)</f>
        <v>31239</v>
      </c>
      <c r="H33" s="273">
        <f>30867+337+35</f>
        <v>31239</v>
      </c>
      <c r="I33" s="389"/>
    </row>
    <row r="34" spans="1:9" x14ac:dyDescent="0.25">
      <c r="A34" s="9" t="s">
        <v>52</v>
      </c>
      <c r="B34" s="490" t="s">
        <v>208</v>
      </c>
      <c r="C34" s="717"/>
      <c r="D34" s="253">
        <f t="shared" si="3"/>
        <v>41765</v>
      </c>
      <c r="E34" s="274">
        <f>SUM(E35:E37)</f>
        <v>41765</v>
      </c>
      <c r="F34" s="280">
        <f>SUM(F35:F37)</f>
        <v>0</v>
      </c>
      <c r="G34" s="398">
        <f t="shared" si="4"/>
        <v>47214</v>
      </c>
      <c r="H34" s="273">
        <v>47214</v>
      </c>
      <c r="I34" s="389"/>
    </row>
    <row r="35" spans="1:9" x14ac:dyDescent="0.25">
      <c r="A35" s="9"/>
      <c r="B35" s="208" t="s">
        <v>84</v>
      </c>
      <c r="C35" s="413" t="s">
        <v>185</v>
      </c>
      <c r="D35" s="253">
        <f t="shared" si="3"/>
        <v>36715</v>
      </c>
      <c r="E35" s="274">
        <f>'11'!E34+'13'!D34+'15'!E35</f>
        <v>36715</v>
      </c>
      <c r="F35" s="280">
        <f>'11'!F34+'13'!F34+'15'!F35</f>
        <v>0</v>
      </c>
      <c r="G35" s="398">
        <f t="shared" si="4"/>
        <v>39927</v>
      </c>
      <c r="H35" s="273">
        <v>39927</v>
      </c>
      <c r="I35" s="389"/>
    </row>
    <row r="36" spans="1:9" x14ac:dyDescent="0.25">
      <c r="A36" s="9"/>
      <c r="B36" s="208" t="s">
        <v>85</v>
      </c>
      <c r="C36" s="413" t="s">
        <v>186</v>
      </c>
      <c r="D36" s="253">
        <f t="shared" si="3"/>
        <v>4500</v>
      </c>
      <c r="E36" s="274">
        <f>'11'!E35+'13'!D35+'15'!E36</f>
        <v>4500</v>
      </c>
      <c r="F36" s="280">
        <f>'11'!F35+'13'!F35+'15'!F36</f>
        <v>0</v>
      </c>
      <c r="G36" s="398">
        <f t="shared" si="4"/>
        <v>6120</v>
      </c>
      <c r="H36" s="273">
        <v>6120</v>
      </c>
      <c r="I36" s="389"/>
    </row>
    <row r="37" spans="1:9" x14ac:dyDescent="0.25">
      <c r="A37" s="9"/>
      <c r="B37" s="208" t="s">
        <v>86</v>
      </c>
      <c r="C37" s="413" t="s">
        <v>187</v>
      </c>
      <c r="D37" s="253">
        <f t="shared" si="3"/>
        <v>550</v>
      </c>
      <c r="E37" s="274">
        <f>'11'!E36+'13'!D36+'15'!E37</f>
        <v>550</v>
      </c>
      <c r="F37" s="280">
        <f>'11'!F36+'13'!F36+'15'!F37</f>
        <v>0</v>
      </c>
      <c r="G37" s="398">
        <f t="shared" si="4"/>
        <v>1167</v>
      </c>
      <c r="H37" s="273">
        <v>1167</v>
      </c>
      <c r="I37" s="389"/>
    </row>
    <row r="38" spans="1:9" x14ac:dyDescent="0.25">
      <c r="A38" s="9" t="s">
        <v>53</v>
      </c>
      <c r="B38" s="490" t="s">
        <v>152</v>
      </c>
      <c r="C38" s="717"/>
      <c r="D38" s="253">
        <f t="shared" si="3"/>
        <v>179325</v>
      </c>
      <c r="E38" s="274">
        <f>SUM(E39:E41)</f>
        <v>179325</v>
      </c>
      <c r="F38" s="379">
        <f>SUM(F39:F41)</f>
        <v>0</v>
      </c>
      <c r="G38" s="399">
        <f t="shared" si="4"/>
        <v>155629</v>
      </c>
      <c r="H38" s="276">
        <v>155629</v>
      </c>
      <c r="I38" s="389"/>
    </row>
    <row r="39" spans="1:9" x14ac:dyDescent="0.25">
      <c r="A39" s="9"/>
      <c r="B39" s="209" t="s">
        <v>87</v>
      </c>
      <c r="C39" s="412" t="s">
        <v>269</v>
      </c>
      <c r="D39" s="253">
        <f t="shared" si="3"/>
        <v>179325</v>
      </c>
      <c r="E39" s="274">
        <f>'11'!E38+'13'!D38+'15'!E39</f>
        <v>179325</v>
      </c>
      <c r="F39" s="280">
        <f>'11'!F38+'13'!F38+'15'!F39</f>
        <v>0</v>
      </c>
      <c r="G39" s="399">
        <f t="shared" si="4"/>
        <v>155629</v>
      </c>
      <c r="H39" s="276">
        <v>155629</v>
      </c>
      <c r="I39" s="389"/>
    </row>
    <row r="40" spans="1:9" x14ac:dyDescent="0.25">
      <c r="A40" s="9"/>
      <c r="B40" s="209" t="s">
        <v>88</v>
      </c>
      <c r="C40" s="412" t="s">
        <v>90</v>
      </c>
      <c r="D40" s="253">
        <f t="shared" si="3"/>
        <v>0</v>
      </c>
      <c r="E40" s="274">
        <f>'11'!E39+'13'!D39+'15'!E40</f>
        <v>0</v>
      </c>
      <c r="F40" s="280">
        <f>'11'!F39+'13'!F39+'15'!F40</f>
        <v>0</v>
      </c>
      <c r="G40" s="399">
        <f t="shared" si="4"/>
        <v>0</v>
      </c>
      <c r="H40" s="276"/>
      <c r="I40" s="389"/>
    </row>
    <row r="41" spans="1:9" x14ac:dyDescent="0.25">
      <c r="A41" s="9"/>
      <c r="B41" s="209" t="s">
        <v>89</v>
      </c>
      <c r="C41" s="412" t="s">
        <v>271</v>
      </c>
      <c r="D41" s="253">
        <f t="shared" si="3"/>
        <v>0</v>
      </c>
      <c r="E41" s="274">
        <f>'11'!E40+'13'!D40+'15'!E41</f>
        <v>0</v>
      </c>
      <c r="F41" s="280">
        <f>'11'!F40+'13'!F40+'15'!F41</f>
        <v>0</v>
      </c>
      <c r="G41" s="399">
        <f t="shared" si="4"/>
        <v>0</v>
      </c>
      <c r="H41" s="276"/>
      <c r="I41" s="389"/>
    </row>
    <row r="42" spans="1:9" x14ac:dyDescent="0.25">
      <c r="A42" s="9" t="s">
        <v>54</v>
      </c>
      <c r="B42" s="490" t="s">
        <v>153</v>
      </c>
      <c r="C42" s="717"/>
      <c r="D42" s="253">
        <f t="shared" si="3"/>
        <v>19353</v>
      </c>
      <c r="E42" s="274">
        <f>SUM(E43:E46)</f>
        <v>10069</v>
      </c>
      <c r="F42" s="280">
        <f>SUM(F43:F46)</f>
        <v>9284</v>
      </c>
      <c r="G42" s="399">
        <f>SUM(G43:G46)</f>
        <v>26664</v>
      </c>
      <c r="H42" s="276">
        <f>SUM(H43:H46)</f>
        <v>19311</v>
      </c>
      <c r="I42" s="389">
        <v>7353</v>
      </c>
    </row>
    <row r="43" spans="1:9" x14ac:dyDescent="0.25">
      <c r="A43" s="9"/>
      <c r="B43" s="209" t="s">
        <v>91</v>
      </c>
      <c r="C43" s="414" t="s">
        <v>95</v>
      </c>
      <c r="D43" s="253">
        <f t="shared" si="3"/>
        <v>18123</v>
      </c>
      <c r="E43" s="274">
        <f>'11'!E42+'13'!D42+'15'!E43</f>
        <v>8839</v>
      </c>
      <c r="F43" s="280">
        <f>'11'!F42+'13'!F42+'15'!F43</f>
        <v>9284</v>
      </c>
      <c r="G43" s="399">
        <f>SUM(H43:J43)</f>
        <v>26664</v>
      </c>
      <c r="H43" s="276">
        <f>17004+1935+372</f>
        <v>19311</v>
      </c>
      <c r="I43" s="389">
        <v>7353</v>
      </c>
    </row>
    <row r="44" spans="1:9" x14ac:dyDescent="0.25">
      <c r="A44" s="9"/>
      <c r="B44" s="209" t="s">
        <v>92</v>
      </c>
      <c r="C44" s="412" t="s">
        <v>96</v>
      </c>
      <c r="D44" s="253">
        <f t="shared" si="3"/>
        <v>0</v>
      </c>
      <c r="E44" s="274">
        <f>'11'!E43+'13'!D43+'15'!E44</f>
        <v>0</v>
      </c>
      <c r="F44" s="280">
        <f>'11'!F43+'13'!F43+'15'!F44</f>
        <v>0</v>
      </c>
      <c r="G44" s="399"/>
      <c r="H44" s="276"/>
      <c r="I44" s="389"/>
    </row>
    <row r="45" spans="1:9" x14ac:dyDescent="0.25">
      <c r="A45" s="9"/>
      <c r="B45" s="209" t="s">
        <v>93</v>
      </c>
      <c r="C45" s="412" t="s">
        <v>315</v>
      </c>
      <c r="D45" s="253">
        <f t="shared" si="3"/>
        <v>1230</v>
      </c>
      <c r="E45" s="274">
        <f>'11'!E44+'13'!D44+'15'!E45</f>
        <v>1230</v>
      </c>
      <c r="F45" s="280">
        <f>'11'!F44+'13'!F44+'15'!F45</f>
        <v>0</v>
      </c>
      <c r="G45" s="399">
        <f>J45+I45+H45</f>
        <v>0</v>
      </c>
      <c r="H45" s="276"/>
      <c r="I45" s="389"/>
    </row>
    <row r="46" spans="1:9" x14ac:dyDescent="0.25">
      <c r="A46" s="9"/>
      <c r="B46" s="209" t="s">
        <v>94</v>
      </c>
      <c r="C46" s="412" t="s">
        <v>97</v>
      </c>
      <c r="D46" s="274"/>
      <c r="E46" s="274">
        <f>'11'!E45+'13'!D45+'15'!E46</f>
        <v>0</v>
      </c>
      <c r="F46" s="280">
        <f>'11'!F45+'13'!F45+'15'!F46</f>
        <v>0</v>
      </c>
      <c r="G46" s="399"/>
      <c r="H46" s="276"/>
      <c r="I46" s="389"/>
    </row>
    <row r="47" spans="1:9" ht="18.75" x14ac:dyDescent="0.3">
      <c r="A47" s="210" t="s">
        <v>203</v>
      </c>
      <c r="B47" s="726" t="s">
        <v>98</v>
      </c>
      <c r="C47" s="727"/>
      <c r="D47" s="409">
        <f t="shared" ref="D47:I47" si="5">+D33+D34+D38+D42</f>
        <v>255145</v>
      </c>
      <c r="E47" s="328">
        <f t="shared" si="5"/>
        <v>245526</v>
      </c>
      <c r="F47" s="380">
        <f t="shared" si="5"/>
        <v>9619</v>
      </c>
      <c r="G47" s="400">
        <f t="shared" si="5"/>
        <v>260746</v>
      </c>
      <c r="H47" s="328">
        <f t="shared" si="5"/>
        <v>253393</v>
      </c>
      <c r="I47" s="401">
        <f t="shared" si="5"/>
        <v>7353</v>
      </c>
    </row>
    <row r="48" spans="1:9" x14ac:dyDescent="0.25">
      <c r="A48" s="9" t="s">
        <v>56</v>
      </c>
      <c r="B48" s="490" t="s">
        <v>200</v>
      </c>
      <c r="C48" s="717"/>
      <c r="D48" s="274">
        <f>SUM(D49:D50)</f>
        <v>15141</v>
      </c>
      <c r="E48" s="274">
        <f>SUM(E49:E50)</f>
        <v>0</v>
      </c>
      <c r="F48" s="280">
        <f>SUM(F49:F50)</f>
        <v>15141</v>
      </c>
      <c r="G48" s="399">
        <f>SUM(G49:G50)</f>
        <v>14525</v>
      </c>
      <c r="H48" s="276">
        <v>144</v>
      </c>
      <c r="I48" s="402">
        <v>14381</v>
      </c>
    </row>
    <row r="49" spans="1:9" x14ac:dyDescent="0.25">
      <c r="A49" s="9"/>
      <c r="B49" s="209" t="s">
        <v>99</v>
      </c>
      <c r="C49" s="412" t="s">
        <v>101</v>
      </c>
      <c r="D49" s="274">
        <f>+E49+F49</f>
        <v>5372</v>
      </c>
      <c r="E49" s="274">
        <f>'11'!E48+'13'!D48+'15'!E49</f>
        <v>0</v>
      </c>
      <c r="F49" s="280">
        <f>'11'!F48+'13'!F48+'15'!F49</f>
        <v>5372</v>
      </c>
      <c r="G49" s="399">
        <f>+H49+I49+J49</f>
        <v>8166</v>
      </c>
      <c r="H49" s="276">
        <v>144</v>
      </c>
      <c r="I49" s="402">
        <v>8022</v>
      </c>
    </row>
    <row r="50" spans="1:9" x14ac:dyDescent="0.25">
      <c r="A50" s="9"/>
      <c r="B50" s="209" t="s">
        <v>100</v>
      </c>
      <c r="C50" s="412" t="s">
        <v>1</v>
      </c>
      <c r="D50" s="274">
        <f>+E50+F50</f>
        <v>9769</v>
      </c>
      <c r="E50" s="274">
        <f>'11'!E49+'13'!D49+'15'!E50</f>
        <v>0</v>
      </c>
      <c r="F50" s="280">
        <f>'11'!F49+'13'!F49+'15'!F50</f>
        <v>9769</v>
      </c>
      <c r="G50" s="399">
        <f>+H50+I50+J50</f>
        <v>6359</v>
      </c>
      <c r="H50" s="276"/>
      <c r="I50" s="402">
        <v>6359</v>
      </c>
    </row>
    <row r="51" spans="1:9" x14ac:dyDescent="0.25">
      <c r="A51" s="9" t="s">
        <v>57</v>
      </c>
      <c r="B51" s="490" t="s">
        <v>155</v>
      </c>
      <c r="C51" s="717"/>
      <c r="D51" s="274">
        <f>SUM(D52:D53)</f>
        <v>0</v>
      </c>
      <c r="E51" s="274">
        <f>SUM(E52:E53)</f>
        <v>0</v>
      </c>
      <c r="F51" s="379">
        <f>SUM(D51:D51)</f>
        <v>0</v>
      </c>
      <c r="G51" s="399">
        <f>SUM(G52:G53)</f>
        <v>0</v>
      </c>
      <c r="H51" s="276"/>
      <c r="I51" s="402"/>
    </row>
    <row r="52" spans="1:9" x14ac:dyDescent="0.25">
      <c r="A52" s="9"/>
      <c r="B52" s="209" t="s">
        <v>102</v>
      </c>
      <c r="C52" s="412" t="s">
        <v>104</v>
      </c>
      <c r="D52" s="274"/>
      <c r="E52" s="274">
        <f>'11'!E51+'13'!D51+'15'!E52</f>
        <v>0</v>
      </c>
      <c r="F52" s="280">
        <f>'11'!F51+'13'!F51+'15'!F52</f>
        <v>0</v>
      </c>
      <c r="G52" s="399"/>
      <c r="H52" s="276"/>
      <c r="I52" s="402"/>
    </row>
    <row r="53" spans="1:9" x14ac:dyDescent="0.25">
      <c r="A53" s="9"/>
      <c r="B53" s="209" t="s">
        <v>103</v>
      </c>
      <c r="C53" s="412" t="s">
        <v>105</v>
      </c>
      <c r="D53" s="274">
        <v>0</v>
      </c>
      <c r="E53" s="274">
        <f>'11'!E52+'13'!D52+'15'!E53</f>
        <v>0</v>
      </c>
      <c r="F53" s="280">
        <f>'11'!F52+'13'!F52+'15'!F53</f>
        <v>0</v>
      </c>
      <c r="G53" s="399">
        <v>0</v>
      </c>
      <c r="H53" s="276"/>
      <c r="I53" s="402"/>
    </row>
    <row r="54" spans="1:9" x14ac:dyDescent="0.25">
      <c r="A54" s="9" t="s">
        <v>58</v>
      </c>
      <c r="B54" s="490" t="s">
        <v>156</v>
      </c>
      <c r="C54" s="717"/>
      <c r="D54" s="274">
        <f>SUM(D55:D57)</f>
        <v>24113</v>
      </c>
      <c r="E54" s="274">
        <f>SUM(E55:E57)</f>
        <v>0</v>
      </c>
      <c r="F54" s="379">
        <f>SUM(F55:F57)</f>
        <v>24113</v>
      </c>
      <c r="G54" s="399">
        <f>SUM(G55:G57)</f>
        <v>28177</v>
      </c>
      <c r="H54" s="276"/>
      <c r="I54" s="402">
        <v>28177</v>
      </c>
    </row>
    <row r="55" spans="1:9" x14ac:dyDescent="0.25">
      <c r="A55" s="9"/>
      <c r="B55" s="209" t="s">
        <v>106</v>
      </c>
      <c r="C55" s="412" t="s">
        <v>109</v>
      </c>
      <c r="D55" s="274">
        <f>+E55+F55</f>
        <v>24113</v>
      </c>
      <c r="E55" s="274">
        <f>'11'!E54+'13'!D54+'15'!E55</f>
        <v>0</v>
      </c>
      <c r="F55" s="280">
        <f>'11'!F54+'13'!F54+'15'!F55</f>
        <v>24113</v>
      </c>
      <c r="G55" s="399">
        <f>+H55+I55+J55</f>
        <v>27981</v>
      </c>
      <c r="H55" s="276"/>
      <c r="I55" s="402">
        <v>27981</v>
      </c>
    </row>
    <row r="56" spans="1:9" x14ac:dyDescent="0.25">
      <c r="A56" s="9"/>
      <c r="B56" s="209" t="s">
        <v>107</v>
      </c>
      <c r="C56" s="412" t="s">
        <v>2</v>
      </c>
      <c r="D56" s="274"/>
      <c r="E56" s="274">
        <f>'11'!E55+'13'!D55+'15'!E56</f>
        <v>0</v>
      </c>
      <c r="F56" s="280">
        <f>'11'!F55+'13'!F55+'15'!F56</f>
        <v>0</v>
      </c>
      <c r="G56" s="399">
        <v>196</v>
      </c>
      <c r="H56" s="276"/>
      <c r="I56" s="389">
        <v>196</v>
      </c>
    </row>
    <row r="57" spans="1:9" x14ac:dyDescent="0.25">
      <c r="A57" s="9"/>
      <c r="B57" s="209" t="s">
        <v>108</v>
      </c>
      <c r="C57" s="412" t="s">
        <v>110</v>
      </c>
      <c r="D57" s="274"/>
      <c r="E57" s="274">
        <f>'11'!E56+'13'!D56+'15'!E57</f>
        <v>0</v>
      </c>
      <c r="F57" s="280">
        <f>'11'!F56+'13'!F56+'15'!F57</f>
        <v>0</v>
      </c>
      <c r="G57" s="399"/>
      <c r="H57" s="276"/>
      <c r="I57" s="389"/>
    </row>
    <row r="58" spans="1:9" ht="18.75" x14ac:dyDescent="0.3">
      <c r="A58" s="210" t="s">
        <v>204</v>
      </c>
      <c r="B58" s="726" t="s">
        <v>247</v>
      </c>
      <c r="C58" s="727"/>
      <c r="D58" s="409">
        <f t="shared" ref="D58:I58" si="6">+D48+D51+D54</f>
        <v>39254</v>
      </c>
      <c r="E58" s="329">
        <f t="shared" si="6"/>
        <v>0</v>
      </c>
      <c r="F58" s="380">
        <f t="shared" si="6"/>
        <v>39254</v>
      </c>
      <c r="G58" s="400">
        <f t="shared" si="6"/>
        <v>42702</v>
      </c>
      <c r="H58" s="328">
        <f t="shared" si="6"/>
        <v>144</v>
      </c>
      <c r="I58" s="401">
        <f t="shared" si="6"/>
        <v>42558</v>
      </c>
    </row>
    <row r="59" spans="1:9" x14ac:dyDescent="0.25">
      <c r="A59" s="210" t="s">
        <v>205</v>
      </c>
      <c r="B59" s="532" t="s">
        <v>157</v>
      </c>
      <c r="C59" s="724"/>
      <c r="D59" s="410"/>
      <c r="E59" s="277"/>
      <c r="F59" s="381"/>
      <c r="G59" s="403"/>
      <c r="H59" s="282"/>
      <c r="I59" s="389"/>
    </row>
    <row r="60" spans="1:9" x14ac:dyDescent="0.25">
      <c r="A60" s="210" t="s">
        <v>190</v>
      </c>
      <c r="B60" s="532" t="s">
        <v>22</v>
      </c>
      <c r="C60" s="724"/>
      <c r="D60" s="410"/>
      <c r="E60" s="277"/>
      <c r="F60" s="381"/>
      <c r="G60" s="403"/>
      <c r="H60" s="282"/>
      <c r="I60" s="389"/>
    </row>
    <row r="61" spans="1:9" ht="20.25" x14ac:dyDescent="0.3">
      <c r="A61" s="171" t="s">
        <v>158</v>
      </c>
      <c r="B61" s="721" t="s">
        <v>159</v>
      </c>
      <c r="C61" s="722"/>
      <c r="D61" s="411">
        <f t="shared" ref="D61:I61" si="7">+D47+D58+D59+D60</f>
        <v>294399</v>
      </c>
      <c r="E61" s="316">
        <f t="shared" si="7"/>
        <v>245526</v>
      </c>
      <c r="F61" s="382">
        <f t="shared" si="7"/>
        <v>48873</v>
      </c>
      <c r="G61" s="404">
        <f t="shared" si="7"/>
        <v>303448</v>
      </c>
      <c r="H61" s="315">
        <f t="shared" si="7"/>
        <v>253537</v>
      </c>
      <c r="I61" s="405">
        <f t="shared" si="7"/>
        <v>49911</v>
      </c>
    </row>
    <row r="62" spans="1:9" ht="18.75" x14ac:dyDescent="0.3">
      <c r="A62" s="171"/>
      <c r="B62" s="484" t="s">
        <v>160</v>
      </c>
      <c r="C62" s="723"/>
      <c r="D62" s="256">
        <f>+D30-D61</f>
        <v>24991</v>
      </c>
      <c r="E62" s="268">
        <f>+E30-E61</f>
        <v>25477</v>
      </c>
      <c r="F62" s="295">
        <f>+F30-F61</f>
        <v>-486</v>
      </c>
      <c r="G62" s="346">
        <f>+G30-G61</f>
        <v>21930</v>
      </c>
      <c r="H62" s="346">
        <f t="shared" ref="H62:I62" si="8">+H30-H61</f>
        <v>4948</v>
      </c>
      <c r="I62" s="346">
        <f t="shared" si="8"/>
        <v>16982</v>
      </c>
    </row>
    <row r="63" spans="1:9" ht="18.75" x14ac:dyDescent="0.3">
      <c r="A63" s="171"/>
      <c r="B63" s="532" t="s">
        <v>322</v>
      </c>
      <c r="C63" s="724"/>
      <c r="D63" s="256">
        <f>E63+F63</f>
        <v>93447</v>
      </c>
      <c r="E63" s="271">
        <f>'11'!E62+'13'!D62</f>
        <v>88397</v>
      </c>
      <c r="F63" s="295">
        <f>+'11'!F62+'13'!F62</f>
        <v>5050</v>
      </c>
      <c r="G63" s="346">
        <f>H63+I63+J63</f>
        <v>96539</v>
      </c>
      <c r="H63" s="271">
        <f>61533+35006</f>
        <v>96539</v>
      </c>
      <c r="I63" s="389"/>
    </row>
    <row r="64" spans="1:9" x14ac:dyDescent="0.25">
      <c r="A64" s="210" t="s">
        <v>191</v>
      </c>
      <c r="B64" s="532" t="s">
        <v>161</v>
      </c>
      <c r="C64" s="724"/>
      <c r="D64" s="254">
        <f>+E64+F64</f>
        <v>24991</v>
      </c>
      <c r="E64" s="272">
        <f>SUM(E65:E66)</f>
        <v>24991</v>
      </c>
      <c r="F64" s="383">
        <f>SUM(F65:F66)</f>
        <v>0</v>
      </c>
      <c r="G64" s="344">
        <f>+H64+I64</f>
        <v>27777</v>
      </c>
      <c r="H64" s="272">
        <v>27777</v>
      </c>
      <c r="I64" s="389"/>
    </row>
    <row r="65" spans="1:9" ht="18.75" x14ac:dyDescent="0.25">
      <c r="A65" s="171"/>
      <c r="B65" s="246" t="s">
        <v>30</v>
      </c>
      <c r="C65" s="412" t="s">
        <v>111</v>
      </c>
      <c r="D65" s="254">
        <f>+E65+F65</f>
        <v>24991</v>
      </c>
      <c r="E65" s="272">
        <f>'11'!E64+'13'!D64+'15'!E65</f>
        <v>24991</v>
      </c>
      <c r="F65" s="383">
        <f>'11'!F64+'13'!F64+'15'!F65</f>
        <v>0</v>
      </c>
      <c r="G65" s="344">
        <v>27777</v>
      </c>
      <c r="H65" s="272">
        <f>22993+113+4671</f>
        <v>27777</v>
      </c>
      <c r="I65" s="389"/>
    </row>
    <row r="66" spans="1:9" ht="18.75" x14ac:dyDescent="0.3">
      <c r="A66" s="171"/>
      <c r="B66" s="246" t="s">
        <v>52</v>
      </c>
      <c r="C66" s="412" t="s">
        <v>112</v>
      </c>
      <c r="D66" s="258"/>
      <c r="E66" s="268"/>
      <c r="F66" s="374"/>
      <c r="G66" s="349"/>
      <c r="H66" s="283"/>
      <c r="I66" s="389"/>
    </row>
    <row r="67" spans="1:9" ht="18.75" customHeight="1" x14ac:dyDescent="0.3">
      <c r="A67" s="171" t="s">
        <v>162</v>
      </c>
      <c r="B67" s="497" t="s">
        <v>166</v>
      </c>
      <c r="C67" s="725"/>
      <c r="D67" s="256">
        <f>+E67+F67</f>
        <v>24991</v>
      </c>
      <c r="E67" s="268">
        <f>+E65</f>
        <v>24991</v>
      </c>
      <c r="F67" s="295">
        <f>+F64</f>
        <v>0</v>
      </c>
      <c r="G67" s="346">
        <v>27777</v>
      </c>
      <c r="H67" s="271">
        <v>27777</v>
      </c>
      <c r="I67" s="389"/>
    </row>
    <row r="68" spans="1:9" ht="18.75" x14ac:dyDescent="0.3">
      <c r="A68" s="9" t="s">
        <v>192</v>
      </c>
      <c r="B68" s="680" t="s">
        <v>394</v>
      </c>
      <c r="C68" s="730"/>
      <c r="D68" s="256"/>
      <c r="E68" s="256"/>
      <c r="F68" s="384">
        <f t="shared" ref="F68:F81" si="9">SUM(D68:E68)</f>
        <v>0</v>
      </c>
      <c r="G68" s="346">
        <v>4559</v>
      </c>
      <c r="H68" s="271">
        <v>4559</v>
      </c>
      <c r="I68" s="389"/>
    </row>
    <row r="69" spans="1:9" ht="18.75" x14ac:dyDescent="0.3">
      <c r="A69" s="9" t="s">
        <v>193</v>
      </c>
      <c r="B69" s="490" t="s">
        <v>164</v>
      </c>
      <c r="C69" s="717"/>
      <c r="D69" s="256">
        <f>SUM(D70:D73)</f>
        <v>0</v>
      </c>
      <c r="E69" s="256"/>
      <c r="F69" s="384">
        <f t="shared" si="9"/>
        <v>0</v>
      </c>
      <c r="G69" s="346">
        <f>SUM(G70:G73)</f>
        <v>0</v>
      </c>
      <c r="H69" s="271"/>
      <c r="I69" s="389"/>
    </row>
    <row r="70" spans="1:9" ht="18.75" x14ac:dyDescent="0.3">
      <c r="A70" s="9"/>
      <c r="B70" s="209" t="s">
        <v>30</v>
      </c>
      <c r="C70" s="412" t="s">
        <v>113</v>
      </c>
      <c r="D70" s="258"/>
      <c r="E70" s="258"/>
      <c r="F70" s="385">
        <f t="shared" si="9"/>
        <v>0</v>
      </c>
      <c r="G70" s="349"/>
      <c r="H70" s="283"/>
      <c r="I70" s="389"/>
    </row>
    <row r="71" spans="1:9" ht="18.75" x14ac:dyDescent="0.3">
      <c r="A71" s="9"/>
      <c r="B71" s="209" t="s">
        <v>52</v>
      </c>
      <c r="C71" s="412" t="s">
        <v>114</v>
      </c>
      <c r="D71" s="256"/>
      <c r="E71" s="256"/>
      <c r="F71" s="384">
        <f t="shared" si="9"/>
        <v>0</v>
      </c>
      <c r="G71" s="346"/>
      <c r="H71" s="271"/>
      <c r="I71" s="389"/>
    </row>
    <row r="72" spans="1:9" ht="18.75" x14ac:dyDescent="0.3">
      <c r="A72" s="9"/>
      <c r="B72" s="209" t="s">
        <v>53</v>
      </c>
      <c r="C72" s="412" t="s">
        <v>263</v>
      </c>
      <c r="D72" s="258"/>
      <c r="E72" s="256"/>
      <c r="F72" s="384"/>
      <c r="G72" s="349"/>
      <c r="H72" s="283"/>
      <c r="I72" s="389"/>
    </row>
    <row r="73" spans="1:9" ht="18.75" x14ac:dyDescent="0.3">
      <c r="A73" s="9"/>
      <c r="B73" s="209" t="s">
        <v>54</v>
      </c>
      <c r="C73" s="412" t="s">
        <v>264</v>
      </c>
      <c r="D73" s="258"/>
      <c r="E73" s="256"/>
      <c r="F73" s="384"/>
      <c r="G73" s="349"/>
      <c r="H73" s="283"/>
      <c r="I73" s="389"/>
    </row>
    <row r="74" spans="1:9" ht="35.25" customHeight="1" x14ac:dyDescent="0.3">
      <c r="A74" s="171" t="s">
        <v>165</v>
      </c>
      <c r="B74" s="537" t="s">
        <v>167</v>
      </c>
      <c r="C74" s="731"/>
      <c r="D74" s="256">
        <f>+D68+D69</f>
        <v>0</v>
      </c>
      <c r="E74" s="256"/>
      <c r="F74" s="384">
        <f t="shared" si="9"/>
        <v>0</v>
      </c>
      <c r="G74" s="346">
        <f>+G68+G69</f>
        <v>4559</v>
      </c>
      <c r="H74" s="271"/>
      <c r="I74" s="389"/>
    </row>
    <row r="75" spans="1:9" ht="18.75" x14ac:dyDescent="0.3">
      <c r="A75" s="171" t="s">
        <v>168</v>
      </c>
      <c r="B75" s="484" t="s">
        <v>169</v>
      </c>
      <c r="C75" s="723"/>
      <c r="D75" s="256">
        <f>+D67+D74</f>
        <v>24991</v>
      </c>
      <c r="E75" s="256">
        <f>+E67+E74</f>
        <v>24991</v>
      </c>
      <c r="F75" s="268">
        <f>+F67+F74</f>
        <v>0</v>
      </c>
      <c r="G75" s="346">
        <f>+G67+G74</f>
        <v>32336</v>
      </c>
      <c r="H75" s="271">
        <f>+H67+H74</f>
        <v>27777</v>
      </c>
      <c r="I75" s="389"/>
    </row>
    <row r="76" spans="1:9" ht="18.75" x14ac:dyDescent="0.3">
      <c r="A76" s="9" t="s">
        <v>194</v>
      </c>
      <c r="B76" s="490" t="s">
        <v>290</v>
      </c>
      <c r="C76" s="717"/>
      <c r="D76" s="256">
        <f>+E76+F76</f>
        <v>93447</v>
      </c>
      <c r="E76" s="256">
        <f>34265+60182-1000</f>
        <v>93447</v>
      </c>
      <c r="F76" s="384"/>
      <c r="G76" s="346">
        <f>+H76+I76+J76</f>
        <v>96539</v>
      </c>
      <c r="H76" s="271">
        <v>96539</v>
      </c>
      <c r="I76" s="389"/>
    </row>
    <row r="77" spans="1:9" ht="18.75" x14ac:dyDescent="0.3">
      <c r="A77" s="9" t="s">
        <v>195</v>
      </c>
      <c r="B77" s="490" t="s">
        <v>170</v>
      </c>
      <c r="C77" s="717"/>
      <c r="D77" s="258">
        <f>SUM(D78:D80)</f>
        <v>0</v>
      </c>
      <c r="E77" s="258"/>
      <c r="F77" s="385">
        <f t="shared" si="9"/>
        <v>0</v>
      </c>
      <c r="G77" s="349">
        <f>SUM(G78:G80)</f>
        <v>0</v>
      </c>
      <c r="H77" s="283"/>
      <c r="I77" s="389"/>
    </row>
    <row r="78" spans="1:9" ht="18.75" x14ac:dyDescent="0.3">
      <c r="A78" s="9"/>
      <c r="B78" s="209" t="s">
        <v>30</v>
      </c>
      <c r="C78" s="412" t="s">
        <v>259</v>
      </c>
      <c r="D78" s="258"/>
      <c r="E78" s="258"/>
      <c r="F78" s="385">
        <f t="shared" si="9"/>
        <v>0</v>
      </c>
      <c r="G78" s="349"/>
      <c r="H78" s="283"/>
      <c r="I78" s="389"/>
    </row>
    <row r="79" spans="1:9" ht="18.75" x14ac:dyDescent="0.3">
      <c r="A79" s="9"/>
      <c r="B79" s="209" t="s">
        <v>52</v>
      </c>
      <c r="C79" s="412" t="s">
        <v>258</v>
      </c>
      <c r="D79" s="258"/>
      <c r="E79" s="258"/>
      <c r="F79" s="385">
        <f t="shared" si="9"/>
        <v>0</v>
      </c>
      <c r="G79" s="349"/>
      <c r="H79" s="283"/>
      <c r="I79" s="389"/>
    </row>
    <row r="80" spans="1:9" ht="18.75" x14ac:dyDescent="0.3">
      <c r="A80" s="9"/>
      <c r="B80" s="209" t="s">
        <v>53</v>
      </c>
      <c r="C80" s="412" t="s">
        <v>115</v>
      </c>
      <c r="D80" s="258"/>
      <c r="E80" s="258"/>
      <c r="F80" s="385">
        <f t="shared" si="9"/>
        <v>0</v>
      </c>
      <c r="G80" s="349"/>
      <c r="H80" s="283"/>
      <c r="I80" s="389"/>
    </row>
    <row r="81" spans="1:9" ht="18.75" x14ac:dyDescent="0.3">
      <c r="A81" s="9" t="s">
        <v>383</v>
      </c>
      <c r="B81" s="490" t="s">
        <v>384</v>
      </c>
      <c r="C81" s="717"/>
      <c r="D81" s="258"/>
      <c r="E81" s="258"/>
      <c r="F81" s="385">
        <f t="shared" si="9"/>
        <v>0</v>
      </c>
      <c r="G81" s="349">
        <v>10406</v>
      </c>
      <c r="H81" s="283">
        <v>10406</v>
      </c>
      <c r="I81" s="389"/>
    </row>
    <row r="82" spans="1:9" ht="18.75" x14ac:dyDescent="0.3">
      <c r="A82" s="171" t="s">
        <v>171</v>
      </c>
      <c r="B82" s="484" t="s">
        <v>172</v>
      </c>
      <c r="C82" s="723"/>
      <c r="D82" s="256">
        <f t="shared" ref="D82:I82" si="10">+D76+D77</f>
        <v>93447</v>
      </c>
      <c r="E82" s="256">
        <f t="shared" si="10"/>
        <v>93447</v>
      </c>
      <c r="F82" s="268">
        <f t="shared" si="10"/>
        <v>0</v>
      </c>
      <c r="G82" s="346">
        <f t="shared" si="10"/>
        <v>96539</v>
      </c>
      <c r="H82" s="271">
        <f t="shared" si="10"/>
        <v>96539</v>
      </c>
      <c r="I82" s="301">
        <f t="shared" si="10"/>
        <v>0</v>
      </c>
    </row>
    <row r="83" spans="1:9" ht="18.75" x14ac:dyDescent="0.3">
      <c r="A83" s="317" t="s">
        <v>215</v>
      </c>
      <c r="B83" s="728" t="s">
        <v>217</v>
      </c>
      <c r="C83" s="729"/>
      <c r="D83" s="423">
        <f>+D30+D82</f>
        <v>412837</v>
      </c>
      <c r="E83" s="318">
        <f>+E30+E82</f>
        <v>364450</v>
      </c>
      <c r="F83" s="386">
        <f>+F30+F82</f>
        <v>48387</v>
      </c>
      <c r="G83" s="417">
        <f>+G30+G82+G81</f>
        <v>432323</v>
      </c>
      <c r="H83" s="418">
        <f>+H30+H82+H81</f>
        <v>365430</v>
      </c>
      <c r="I83" s="419">
        <f>+I30+I82+I81</f>
        <v>66893</v>
      </c>
    </row>
    <row r="84" spans="1:9" ht="19.5" thickBot="1" x14ac:dyDescent="0.35">
      <c r="A84" s="319" t="s">
        <v>216</v>
      </c>
      <c r="B84" s="320" t="s">
        <v>218</v>
      </c>
      <c r="C84" s="415"/>
      <c r="D84" s="424">
        <f t="shared" ref="D84:I84" si="11">+D61+D75+D63</f>
        <v>412837</v>
      </c>
      <c r="E84" s="321">
        <f t="shared" si="11"/>
        <v>358914</v>
      </c>
      <c r="F84" s="387">
        <f t="shared" si="11"/>
        <v>53923</v>
      </c>
      <c r="G84" s="420">
        <f t="shared" si="11"/>
        <v>432323</v>
      </c>
      <c r="H84" s="421">
        <f t="shared" si="11"/>
        <v>377853</v>
      </c>
      <c r="I84" s="422">
        <f t="shared" si="11"/>
        <v>49911</v>
      </c>
    </row>
    <row r="85" spans="1:9" x14ac:dyDescent="0.2">
      <c r="B85" s="15"/>
      <c r="C85" s="15"/>
      <c r="D85" s="16"/>
      <c r="E85" s="16"/>
      <c r="F85" s="16"/>
    </row>
    <row r="86" spans="1:9" x14ac:dyDescent="0.2">
      <c r="B86" s="15"/>
      <c r="C86" s="15"/>
      <c r="D86" s="194">
        <f>+D84-D83</f>
        <v>0</v>
      </c>
      <c r="E86" s="194">
        <f>+E84-E83</f>
        <v>-5536</v>
      </c>
      <c r="F86" s="194">
        <f>+F84-F83</f>
        <v>5536</v>
      </c>
      <c r="G86" s="194">
        <f>+G84-G83</f>
        <v>0</v>
      </c>
    </row>
    <row r="87" spans="1:9" x14ac:dyDescent="0.2">
      <c r="B87" s="15"/>
      <c r="C87" s="15"/>
      <c r="D87" s="16"/>
      <c r="E87" s="16"/>
      <c r="F87" s="16"/>
    </row>
    <row r="88" spans="1:9" x14ac:dyDescent="0.2">
      <c r="B88" s="15"/>
      <c r="C88" s="15"/>
      <c r="D88" s="16"/>
      <c r="E88" s="16"/>
      <c r="F88" s="16"/>
      <c r="G88" s="416"/>
    </row>
    <row r="89" spans="1:9" x14ac:dyDescent="0.2">
      <c r="B89" s="15"/>
      <c r="C89" s="15"/>
      <c r="D89" s="16"/>
      <c r="E89" s="16"/>
      <c r="F89" s="16"/>
    </row>
    <row r="90" spans="1:9" x14ac:dyDescent="0.2">
      <c r="B90" s="15"/>
      <c r="C90" s="15"/>
      <c r="D90" s="16"/>
      <c r="E90" s="16"/>
      <c r="F90" s="16"/>
    </row>
    <row r="91" spans="1:9" x14ac:dyDescent="0.2">
      <c r="B91" s="15"/>
      <c r="C91" s="15"/>
      <c r="D91" s="16"/>
      <c r="E91" s="16"/>
      <c r="F91" s="16"/>
    </row>
    <row r="92" spans="1:9" x14ac:dyDescent="0.2">
      <c r="B92" s="15"/>
      <c r="C92" s="15"/>
      <c r="D92" s="16"/>
      <c r="E92" s="16"/>
      <c r="F92" s="16"/>
    </row>
    <row r="93" spans="1:9" x14ac:dyDescent="0.2">
      <c r="B93" s="15"/>
      <c r="C93" s="15"/>
      <c r="D93" s="16"/>
      <c r="E93" s="16"/>
      <c r="F93" s="16"/>
    </row>
    <row r="94" spans="1:9" x14ac:dyDescent="0.2">
      <c r="B94" s="15"/>
      <c r="C94" s="15"/>
      <c r="D94" s="16"/>
      <c r="E94" s="16"/>
      <c r="F94" s="16"/>
    </row>
    <row r="95" spans="1:9" x14ac:dyDescent="0.2">
      <c r="B95" s="15"/>
      <c r="C95" s="15"/>
      <c r="D95" s="16"/>
      <c r="E95" s="16"/>
      <c r="F95" s="16"/>
    </row>
    <row r="96" spans="1:9" x14ac:dyDescent="0.2">
      <c r="B96" s="15"/>
      <c r="C96" s="15"/>
      <c r="D96" s="16"/>
      <c r="E96" s="16"/>
      <c r="F96" s="16"/>
    </row>
    <row r="97" spans="2:6" x14ac:dyDescent="0.2">
      <c r="B97" s="15"/>
      <c r="C97" s="15"/>
      <c r="D97" s="16"/>
      <c r="E97" s="16"/>
      <c r="F97" s="16"/>
    </row>
    <row r="98" spans="2:6" x14ac:dyDescent="0.2">
      <c r="B98" s="15"/>
      <c r="C98" s="15"/>
      <c r="D98" s="16"/>
      <c r="E98" s="16"/>
      <c r="F98" s="16"/>
    </row>
    <row r="99" spans="2:6" x14ac:dyDescent="0.2">
      <c r="B99" s="15"/>
      <c r="C99" s="15"/>
      <c r="D99" s="16"/>
      <c r="E99" s="16"/>
      <c r="F99" s="16"/>
    </row>
    <row r="100" spans="2:6" x14ac:dyDescent="0.2">
      <c r="B100" s="15"/>
      <c r="C100" s="15"/>
      <c r="D100" s="16"/>
      <c r="E100" s="16"/>
      <c r="F100" s="16"/>
    </row>
    <row r="101" spans="2:6" x14ac:dyDescent="0.2">
      <c r="B101" s="15"/>
      <c r="C101" s="15"/>
      <c r="D101" s="16"/>
      <c r="E101" s="16"/>
      <c r="F101" s="16"/>
    </row>
    <row r="102" spans="2:6" x14ac:dyDescent="0.2">
      <c r="B102" s="15"/>
      <c r="C102" s="15"/>
      <c r="D102" s="16"/>
      <c r="E102" s="16"/>
      <c r="F102" s="16"/>
    </row>
    <row r="103" spans="2:6" x14ac:dyDescent="0.2">
      <c r="B103" s="15"/>
      <c r="C103" s="15"/>
      <c r="D103" s="16"/>
      <c r="E103" s="16"/>
      <c r="F103" s="16"/>
    </row>
    <row r="104" spans="2:6" x14ac:dyDescent="0.2">
      <c r="B104" s="15"/>
      <c r="C104" s="15"/>
      <c r="D104" s="16"/>
      <c r="E104" s="16"/>
      <c r="F104" s="16"/>
    </row>
    <row r="105" spans="2:6" x14ac:dyDescent="0.2">
      <c r="B105" s="15"/>
      <c r="C105" s="15"/>
      <c r="D105" s="16"/>
      <c r="E105" s="16"/>
      <c r="F105" s="16"/>
    </row>
    <row r="106" spans="2:6" x14ac:dyDescent="0.2">
      <c r="B106" s="15"/>
      <c r="C106" s="15"/>
      <c r="D106" s="16"/>
      <c r="E106" s="16"/>
      <c r="F106" s="16"/>
    </row>
  </sheetData>
  <mergeCells count="63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B9:C9"/>
    <mergeCell ref="B10:C10"/>
    <mergeCell ref="B19:C19"/>
    <mergeCell ref="B20:C20"/>
    <mergeCell ref="B23:C23"/>
    <mergeCell ref="B21:C21"/>
    <mergeCell ref="B15:C15"/>
    <mergeCell ref="B16:C16"/>
    <mergeCell ref="B17:C17"/>
    <mergeCell ref="B18:C18"/>
    <mergeCell ref="B59:C59"/>
    <mergeCell ref="B60:C60"/>
    <mergeCell ref="B22:C22"/>
    <mergeCell ref="B47:C47"/>
    <mergeCell ref="B32:C32"/>
    <mergeCell ref="B33:C33"/>
    <mergeCell ref="B34:C34"/>
    <mergeCell ref="B38:C38"/>
    <mergeCell ref="B28:C28"/>
    <mergeCell ref="B29:C29"/>
    <mergeCell ref="B30:C30"/>
    <mergeCell ref="B31:C31"/>
    <mergeCell ref="B24:C24"/>
    <mergeCell ref="B25:C25"/>
    <mergeCell ref="B26:C26"/>
    <mergeCell ref="B27:C27"/>
    <mergeCell ref="B82:C82"/>
    <mergeCell ref="B83:C83"/>
    <mergeCell ref="B68:C68"/>
    <mergeCell ref="B69:C69"/>
    <mergeCell ref="B74:C74"/>
    <mergeCell ref="B75:C75"/>
    <mergeCell ref="H6:H7"/>
    <mergeCell ref="I6:I7"/>
    <mergeCell ref="B81:C81"/>
    <mergeCell ref="D8:I8"/>
    <mergeCell ref="B42:C42"/>
    <mergeCell ref="B48:C48"/>
    <mergeCell ref="B51:C51"/>
    <mergeCell ref="B54:C54"/>
    <mergeCell ref="B76:C76"/>
    <mergeCell ref="B77:C77"/>
    <mergeCell ref="B61:C61"/>
    <mergeCell ref="B62:C62"/>
    <mergeCell ref="B64:C64"/>
    <mergeCell ref="B67:C67"/>
    <mergeCell ref="B63:C63"/>
    <mergeCell ref="B58:C58"/>
  </mergeCells>
  <phoneticPr fontId="20" type="noConversion"/>
  <pageMargins left="0.19685039370078741" right="0.15748031496062992" top="0.27559055118110237" bottom="0.39370078740157483" header="0.19685039370078741" footer="0.15748031496062992"/>
  <pageSetup paperSize="9" scale="5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66"/>
  <sheetViews>
    <sheetView view="pageBreakPreview" topLeftCell="A13" zoomScaleNormal="100" workbookViewId="0">
      <selection activeCell="K30" sqref="K30"/>
    </sheetView>
  </sheetViews>
  <sheetFormatPr defaultRowHeight="15.75" x14ac:dyDescent="0.2"/>
  <cols>
    <col min="1" max="1" width="38.28515625" style="48" customWidth="1"/>
    <col min="2" max="2" width="10.28515625" style="48" customWidth="1"/>
    <col min="3" max="13" width="9.5703125" style="48" customWidth="1"/>
    <col min="14" max="14" width="10.5703125" style="48" bestFit="1" customWidth="1"/>
    <col min="15" max="16384" width="9.140625" style="43"/>
  </cols>
  <sheetData>
    <row r="1" spans="1:15" x14ac:dyDescent="0.2">
      <c r="A1" s="666" t="s">
        <v>297</v>
      </c>
      <c r="B1" s="666"/>
      <c r="C1" s="666"/>
      <c r="D1" s="666"/>
      <c r="E1" s="666"/>
      <c r="F1" s="666"/>
      <c r="G1" s="666"/>
      <c r="H1" s="666"/>
      <c r="I1" s="666"/>
      <c r="J1" s="666"/>
      <c r="K1" s="666"/>
      <c r="L1" s="666"/>
      <c r="M1" s="666"/>
      <c r="N1" s="666"/>
    </row>
    <row r="2" spans="1:15" ht="24" customHeight="1" x14ac:dyDescent="0.2">
      <c r="A2" s="666"/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</row>
    <row r="3" spans="1:15" ht="12.75" customHeight="1" x14ac:dyDescent="0.2">
      <c r="A3" s="667" t="s">
        <v>278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</row>
    <row r="4" spans="1:15" ht="19.5" customHeight="1" x14ac:dyDescent="0.2">
      <c r="A4" s="667"/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</row>
    <row r="5" spans="1:15" ht="16.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667" t="s">
        <v>3</v>
      </c>
      <c r="N5" s="667"/>
    </row>
    <row r="6" spans="1:15" ht="18" customHeight="1" x14ac:dyDescent="0.2">
      <c r="A6" s="44" t="s">
        <v>196</v>
      </c>
      <c r="B6" s="45" t="s">
        <v>4</v>
      </c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45" t="s">
        <v>13</v>
      </c>
      <c r="L6" s="45" t="s">
        <v>14</v>
      </c>
      <c r="M6" s="45" t="s">
        <v>15</v>
      </c>
      <c r="N6" s="44" t="s">
        <v>16</v>
      </c>
    </row>
    <row r="7" spans="1:15" ht="18" customHeight="1" x14ac:dyDescent="0.2">
      <c r="A7" s="55" t="s">
        <v>197</v>
      </c>
      <c r="B7" s="50">
        <v>3089</v>
      </c>
      <c r="C7" s="50">
        <v>3089</v>
      </c>
      <c r="D7" s="50">
        <v>3089</v>
      </c>
      <c r="E7" s="50">
        <v>3089</v>
      </c>
      <c r="F7" s="50">
        <v>3089</v>
      </c>
      <c r="G7" s="50">
        <v>3089</v>
      </c>
      <c r="H7" s="50">
        <v>3089</v>
      </c>
      <c r="I7" s="50">
        <v>3089</v>
      </c>
      <c r="J7" s="50">
        <v>3089</v>
      </c>
      <c r="K7" s="50">
        <v>3089</v>
      </c>
      <c r="L7" s="50">
        <v>3089</v>
      </c>
      <c r="M7" s="50">
        <v>3094</v>
      </c>
      <c r="N7" s="51">
        <f t="shared" ref="N7:N16" si="0">SUM(B7:M7)</f>
        <v>37073</v>
      </c>
      <c r="O7" s="43">
        <f>'15'!G10</f>
        <v>37073</v>
      </c>
    </row>
    <row r="8" spans="1:15" ht="18" customHeight="1" x14ac:dyDescent="0.2">
      <c r="A8" s="55" t="s">
        <v>17</v>
      </c>
      <c r="B8" s="50">
        <v>668</v>
      </c>
      <c r="C8" s="50">
        <v>668</v>
      </c>
      <c r="D8" s="50">
        <v>668</v>
      </c>
      <c r="E8" s="50">
        <v>668</v>
      </c>
      <c r="F8" s="50">
        <v>668</v>
      </c>
      <c r="G8" s="50">
        <v>668</v>
      </c>
      <c r="H8" s="50">
        <v>668</v>
      </c>
      <c r="I8" s="50">
        <v>668</v>
      </c>
      <c r="J8" s="50">
        <v>668</v>
      </c>
      <c r="K8" s="50">
        <v>668</v>
      </c>
      <c r="L8" s="50">
        <v>668</v>
      </c>
      <c r="M8" s="50">
        <v>670</v>
      </c>
      <c r="N8" s="51">
        <f t="shared" si="0"/>
        <v>8018</v>
      </c>
      <c r="O8" s="43">
        <f>'15'!G11</f>
        <v>8018</v>
      </c>
    </row>
    <row r="9" spans="1:15" ht="18" customHeight="1" x14ac:dyDescent="0.2">
      <c r="A9" s="55" t="s">
        <v>207</v>
      </c>
      <c r="B9" s="50">
        <v>4939</v>
      </c>
      <c r="C9" s="50">
        <v>4939</v>
      </c>
      <c r="D9" s="50">
        <v>4939</v>
      </c>
      <c r="E9" s="50">
        <v>4939</v>
      </c>
      <c r="F9" s="50">
        <v>4939</v>
      </c>
      <c r="G9" s="50">
        <v>4939</v>
      </c>
      <c r="H9" s="50">
        <v>4939</v>
      </c>
      <c r="I9" s="50">
        <v>4939</v>
      </c>
      <c r="J9" s="50">
        <v>4939</v>
      </c>
      <c r="K9" s="50">
        <v>4939</v>
      </c>
      <c r="L9" s="50">
        <v>4939</v>
      </c>
      <c r="M9" s="50">
        <v>4944</v>
      </c>
      <c r="N9" s="51">
        <f t="shared" si="0"/>
        <v>59273</v>
      </c>
      <c r="O9" s="43">
        <f>'15'!G12</f>
        <v>59273</v>
      </c>
    </row>
    <row r="10" spans="1:15" ht="18" customHeight="1" x14ac:dyDescent="0.2">
      <c r="A10" s="55" t="s">
        <v>18</v>
      </c>
      <c r="B10" s="50">
        <v>1723</v>
      </c>
      <c r="C10" s="50">
        <v>1723</v>
      </c>
      <c r="D10" s="50">
        <v>1723</v>
      </c>
      <c r="E10" s="50">
        <v>1723</v>
      </c>
      <c r="F10" s="50">
        <v>1723</v>
      </c>
      <c r="G10" s="50">
        <v>1723</v>
      </c>
      <c r="H10" s="50">
        <v>1723</v>
      </c>
      <c r="I10" s="50">
        <v>1723</v>
      </c>
      <c r="J10" s="50">
        <v>1723</v>
      </c>
      <c r="K10" s="50">
        <v>1723</v>
      </c>
      <c r="L10" s="50">
        <v>1723</v>
      </c>
      <c r="M10" s="50">
        <v>1726</v>
      </c>
      <c r="N10" s="51">
        <f t="shared" si="0"/>
        <v>20679</v>
      </c>
      <c r="O10" s="43">
        <f>'15'!G15</f>
        <v>20679</v>
      </c>
    </row>
    <row r="11" spans="1:15" ht="18" customHeight="1" x14ac:dyDescent="0.2">
      <c r="A11" s="55" t="s">
        <v>19</v>
      </c>
      <c r="B11" s="50">
        <v>1361</v>
      </c>
      <c r="C11" s="50">
        <v>1361</v>
      </c>
      <c r="D11" s="50">
        <v>1361</v>
      </c>
      <c r="E11" s="50">
        <v>1361</v>
      </c>
      <c r="F11" s="50">
        <v>1361</v>
      </c>
      <c r="G11" s="50">
        <v>1361</v>
      </c>
      <c r="H11" s="50">
        <v>1361</v>
      </c>
      <c r="I11" s="50">
        <v>1361</v>
      </c>
      <c r="J11" s="50">
        <v>1361</v>
      </c>
      <c r="K11" s="50">
        <v>1361</v>
      </c>
      <c r="L11" s="50">
        <v>1361</v>
      </c>
      <c r="M11" s="50">
        <v>1361</v>
      </c>
      <c r="N11" s="51">
        <f t="shared" si="0"/>
        <v>16332</v>
      </c>
      <c r="O11" s="173">
        <f>'15'!G18</f>
        <v>16332</v>
      </c>
    </row>
    <row r="12" spans="1:15" ht="18" customHeight="1" x14ac:dyDescent="0.2">
      <c r="A12" s="55" t="s">
        <v>362</v>
      </c>
      <c r="B12" s="50"/>
      <c r="C12" s="50"/>
      <c r="D12" s="50"/>
      <c r="E12" s="50">
        <v>4388</v>
      </c>
      <c r="F12" s="50"/>
      <c r="G12" s="50"/>
      <c r="H12" s="50"/>
      <c r="I12" s="50"/>
      <c r="J12" s="50"/>
      <c r="K12" s="50"/>
      <c r="L12" s="50"/>
      <c r="M12" s="50"/>
      <c r="N12" s="51">
        <f t="shared" si="0"/>
        <v>4388</v>
      </c>
      <c r="O12" s="173">
        <f>'15'!G19</f>
        <v>4388</v>
      </c>
    </row>
    <row r="13" spans="1:15" ht="18" customHeight="1" x14ac:dyDescent="0.2">
      <c r="A13" s="55" t="s">
        <v>201</v>
      </c>
      <c r="B13" s="50"/>
      <c r="C13" s="50"/>
      <c r="D13" s="50">
        <v>38112</v>
      </c>
      <c r="E13" s="50"/>
      <c r="F13" s="50"/>
      <c r="G13" s="50"/>
      <c r="H13" s="50">
        <v>2844</v>
      </c>
      <c r="I13" s="50"/>
      <c r="J13" s="50"/>
      <c r="K13" s="50"/>
      <c r="L13" s="50">
        <v>3745</v>
      </c>
      <c r="M13" s="50"/>
      <c r="N13" s="51">
        <f t="shared" si="0"/>
        <v>44701</v>
      </c>
      <c r="O13" s="43">
        <f>'15'!G26</f>
        <v>44701</v>
      </c>
    </row>
    <row r="14" spans="1:15" ht="18" customHeight="1" x14ac:dyDescent="0.2">
      <c r="A14" s="55" t="s">
        <v>356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>
        <v>30768</v>
      </c>
      <c r="N14" s="51">
        <f t="shared" si="0"/>
        <v>30768</v>
      </c>
      <c r="O14" s="43">
        <f>'15'!G21</f>
        <v>30768</v>
      </c>
    </row>
    <row r="15" spans="1:15" ht="18" customHeight="1" x14ac:dyDescent="0.2">
      <c r="A15" s="55" t="s">
        <v>355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>
        <f t="shared" si="0"/>
        <v>0</v>
      </c>
    </row>
    <row r="16" spans="1:15" ht="18" customHeight="1" x14ac:dyDescent="0.2">
      <c r="A16" s="55" t="s">
        <v>28</v>
      </c>
      <c r="B16" s="50">
        <f>O16/12</f>
        <v>8912.0833333333339</v>
      </c>
      <c r="C16" s="50">
        <v>8912</v>
      </c>
      <c r="D16" s="50">
        <v>8912</v>
      </c>
      <c r="E16" s="50">
        <v>8912</v>
      </c>
      <c r="F16" s="50">
        <v>8912</v>
      </c>
      <c r="G16" s="50">
        <v>8912</v>
      </c>
      <c r="H16" s="50">
        <v>8912</v>
      </c>
      <c r="I16" s="50">
        <v>8912</v>
      </c>
      <c r="J16" s="50">
        <v>8912</v>
      </c>
      <c r="K16" s="50">
        <v>8912</v>
      </c>
      <c r="L16" s="50">
        <v>8912</v>
      </c>
      <c r="M16" s="50">
        <v>8913</v>
      </c>
      <c r="N16" s="51">
        <f t="shared" si="0"/>
        <v>106945.08333333334</v>
      </c>
      <c r="O16" s="43">
        <f>'15'!G82</f>
        <v>106945</v>
      </c>
    </row>
    <row r="17" spans="1:16" ht="18" customHeight="1" x14ac:dyDescent="0.2">
      <c r="A17" s="56" t="s">
        <v>20</v>
      </c>
      <c r="B17" s="50">
        <f>SUM(B7:B16)</f>
        <v>20692.083333333336</v>
      </c>
      <c r="C17" s="50">
        <f t="shared" ref="C17:K17" si="1">SUM(C7:C16)</f>
        <v>20692</v>
      </c>
      <c r="D17" s="50">
        <f t="shared" si="1"/>
        <v>58804</v>
      </c>
      <c r="E17" s="50">
        <f t="shared" si="1"/>
        <v>25080</v>
      </c>
      <c r="F17" s="50">
        <f t="shared" si="1"/>
        <v>20692</v>
      </c>
      <c r="G17" s="50">
        <f t="shared" si="1"/>
        <v>20692</v>
      </c>
      <c r="H17" s="50">
        <f t="shared" si="1"/>
        <v>23536</v>
      </c>
      <c r="I17" s="50">
        <f t="shared" si="1"/>
        <v>20692</v>
      </c>
      <c r="J17" s="50">
        <f t="shared" si="1"/>
        <v>20692</v>
      </c>
      <c r="K17" s="50">
        <f t="shared" si="1"/>
        <v>20692</v>
      </c>
      <c r="L17" s="50">
        <f>SUM(L7:L16)</f>
        <v>24437</v>
      </c>
      <c r="M17" s="50">
        <f>SUM(M7:M16)</f>
        <v>51476</v>
      </c>
      <c r="N17" s="51">
        <f>SUM(N7:N16)</f>
        <v>328177.08333333337</v>
      </c>
      <c r="O17" s="43">
        <f>SUM(O7:O16)</f>
        <v>328177</v>
      </c>
    </row>
    <row r="18" spans="1:16" ht="18" customHeight="1" x14ac:dyDescent="0.2">
      <c r="A18" s="47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6" ht="18" customHeight="1" x14ac:dyDescent="0.2">
      <c r="A19" s="55" t="s">
        <v>21</v>
      </c>
      <c r="B19" s="50">
        <f t="shared" ref="B19:B23" si="2">O19/12</f>
        <v>2572.25</v>
      </c>
      <c r="C19" s="50">
        <v>2572</v>
      </c>
      <c r="D19" s="50">
        <v>2572</v>
      </c>
      <c r="E19" s="50">
        <v>2572</v>
      </c>
      <c r="F19" s="50">
        <v>2572</v>
      </c>
      <c r="G19" s="50">
        <v>2572</v>
      </c>
      <c r="H19" s="50">
        <v>2572</v>
      </c>
      <c r="I19" s="50">
        <v>2572</v>
      </c>
      <c r="J19" s="50">
        <v>2572</v>
      </c>
      <c r="K19" s="50">
        <v>2572</v>
      </c>
      <c r="L19" s="50">
        <v>2572</v>
      </c>
      <c r="M19" s="50">
        <v>2572</v>
      </c>
      <c r="N19" s="51">
        <f t="shared" ref="N19:N25" si="3">SUM(B19:M19)</f>
        <v>30864.25</v>
      </c>
      <c r="O19" s="372">
        <f>'15'!G33</f>
        <v>30867</v>
      </c>
    </row>
    <row r="20" spans="1:16" ht="18" customHeight="1" x14ac:dyDescent="0.2">
      <c r="A20" s="55" t="s">
        <v>208</v>
      </c>
      <c r="B20" s="50">
        <f t="shared" si="2"/>
        <v>3934.5</v>
      </c>
      <c r="C20" s="50">
        <v>3935</v>
      </c>
      <c r="D20" s="50">
        <v>3935</v>
      </c>
      <c r="E20" s="50">
        <v>3935</v>
      </c>
      <c r="F20" s="50">
        <v>3935</v>
      </c>
      <c r="G20" s="50">
        <v>3935</v>
      </c>
      <c r="H20" s="50">
        <v>3935</v>
      </c>
      <c r="I20" s="50">
        <v>3935</v>
      </c>
      <c r="J20" s="50">
        <v>3935</v>
      </c>
      <c r="K20" s="50">
        <v>3935</v>
      </c>
      <c r="L20" s="50">
        <v>3935</v>
      </c>
      <c r="M20" s="50">
        <v>3935</v>
      </c>
      <c r="N20" s="51">
        <f t="shared" si="3"/>
        <v>47219.5</v>
      </c>
      <c r="O20" s="233">
        <v>47214</v>
      </c>
    </row>
    <row r="21" spans="1:16" ht="18" customHeight="1" x14ac:dyDescent="0.2">
      <c r="A21" s="177" t="s">
        <v>152</v>
      </c>
      <c r="B21" s="50">
        <f t="shared" si="2"/>
        <v>12969.083333333334</v>
      </c>
      <c r="C21" s="50">
        <v>12969</v>
      </c>
      <c r="D21" s="50">
        <v>12969</v>
      </c>
      <c r="E21" s="50">
        <v>12969</v>
      </c>
      <c r="F21" s="50">
        <v>12969</v>
      </c>
      <c r="G21" s="50">
        <v>12969</v>
      </c>
      <c r="H21" s="50">
        <v>12969</v>
      </c>
      <c r="I21" s="50">
        <v>12969</v>
      </c>
      <c r="J21" s="50">
        <v>12969</v>
      </c>
      <c r="K21" s="50">
        <v>12969</v>
      </c>
      <c r="L21" s="50">
        <v>12969</v>
      </c>
      <c r="M21" s="50">
        <v>12969</v>
      </c>
      <c r="N21" s="51">
        <f t="shared" si="3"/>
        <v>155628.08333333334</v>
      </c>
      <c r="O21" s="173">
        <f>'15'!G38</f>
        <v>155629</v>
      </c>
    </row>
    <row r="22" spans="1:16" ht="18" customHeight="1" x14ac:dyDescent="0.2">
      <c r="A22" s="55" t="s">
        <v>29</v>
      </c>
      <c r="B22" s="50">
        <f t="shared" si="2"/>
        <v>2029.75</v>
      </c>
      <c r="C22" s="50">
        <v>2030</v>
      </c>
      <c r="D22" s="50">
        <v>2030</v>
      </c>
      <c r="E22" s="50">
        <v>2030</v>
      </c>
      <c r="F22" s="50">
        <v>2030</v>
      </c>
      <c r="G22" s="50">
        <v>2030</v>
      </c>
      <c r="H22" s="50">
        <v>2030</v>
      </c>
      <c r="I22" s="50">
        <v>2030</v>
      </c>
      <c r="J22" s="50">
        <v>2030</v>
      </c>
      <c r="K22" s="50">
        <v>2030</v>
      </c>
      <c r="L22" s="50">
        <v>2030</v>
      </c>
      <c r="M22" s="50">
        <v>2030</v>
      </c>
      <c r="N22" s="51">
        <f t="shared" si="3"/>
        <v>24359.75</v>
      </c>
      <c r="O22" s="173">
        <f>'15'!G42</f>
        <v>24357</v>
      </c>
      <c r="P22" s="173"/>
    </row>
    <row r="23" spans="1:16" ht="18" customHeight="1" x14ac:dyDescent="0.2">
      <c r="A23" s="55" t="s">
        <v>200</v>
      </c>
      <c r="B23" s="50">
        <f t="shared" si="2"/>
        <v>3546.5</v>
      </c>
      <c r="C23" s="50">
        <v>3547</v>
      </c>
      <c r="D23" s="50">
        <v>3547</v>
      </c>
      <c r="E23" s="50">
        <v>3547</v>
      </c>
      <c r="F23" s="50">
        <v>3547</v>
      </c>
      <c r="G23" s="50">
        <v>3547</v>
      </c>
      <c r="H23" s="50">
        <v>3547</v>
      </c>
      <c r="I23" s="50">
        <v>3547</v>
      </c>
      <c r="J23" s="50">
        <v>3547</v>
      </c>
      <c r="K23" s="50">
        <v>3547</v>
      </c>
      <c r="L23" s="50">
        <v>3547</v>
      </c>
      <c r="M23" s="50">
        <v>3547</v>
      </c>
      <c r="N23" s="51">
        <f t="shared" si="3"/>
        <v>42563.5</v>
      </c>
      <c r="O23" s="372">
        <f>'15'!G58</f>
        <v>42558</v>
      </c>
    </row>
    <row r="24" spans="1:16" ht="18" customHeight="1" x14ac:dyDescent="0.2">
      <c r="A24" s="55" t="s">
        <v>161</v>
      </c>
      <c r="B24" s="50">
        <v>23072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>
        <f t="shared" si="3"/>
        <v>23072</v>
      </c>
      <c r="O24" s="43">
        <v>22993</v>
      </c>
    </row>
    <row r="25" spans="1:16" ht="18" customHeight="1" x14ac:dyDescent="0.2">
      <c r="A25" s="55" t="s">
        <v>407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>
        <v>4559</v>
      </c>
      <c r="N25" s="51">
        <f t="shared" si="3"/>
        <v>4559</v>
      </c>
      <c r="O25" s="43">
        <v>4559</v>
      </c>
    </row>
    <row r="26" spans="1:16" ht="18" customHeight="1" x14ac:dyDescent="0.2">
      <c r="A26" s="46" t="s">
        <v>23</v>
      </c>
      <c r="B26" s="54">
        <f t="shared" ref="B26:L26" si="4">+B19+B20+B21+B22+B23+B24</f>
        <v>48124.083333333336</v>
      </c>
      <c r="C26" s="54">
        <f t="shared" si="4"/>
        <v>25053</v>
      </c>
      <c r="D26" s="54">
        <f t="shared" si="4"/>
        <v>25053</v>
      </c>
      <c r="E26" s="54">
        <f t="shared" si="4"/>
        <v>25053</v>
      </c>
      <c r="F26" s="54">
        <f t="shared" si="4"/>
        <v>25053</v>
      </c>
      <c r="G26" s="54">
        <f t="shared" si="4"/>
        <v>25053</v>
      </c>
      <c r="H26" s="54">
        <f t="shared" si="4"/>
        <v>25053</v>
      </c>
      <c r="I26" s="54">
        <f t="shared" si="4"/>
        <v>25053</v>
      </c>
      <c r="J26" s="54">
        <f t="shared" si="4"/>
        <v>25053</v>
      </c>
      <c r="K26" s="54">
        <f t="shared" si="4"/>
        <v>25053</v>
      </c>
      <c r="L26" s="54">
        <f t="shared" si="4"/>
        <v>25053</v>
      </c>
      <c r="M26" s="54">
        <f>SUM(M19:M23)+M24</f>
        <v>25053</v>
      </c>
      <c r="N26" s="51">
        <f>SUM(B26:M27)</f>
        <v>328177.08333333337</v>
      </c>
      <c r="O26" s="173">
        <f>SUM(O19:O25)</f>
        <v>328177</v>
      </c>
    </row>
    <row r="27" spans="1:16" ht="18" customHeight="1" x14ac:dyDescent="0.2">
      <c r="A27" s="182"/>
      <c r="B27" s="183">
        <f t="shared" ref="B27:M27" si="5">+B17-B26</f>
        <v>-27432</v>
      </c>
      <c r="C27" s="183">
        <f t="shared" si="5"/>
        <v>-4361</v>
      </c>
      <c r="D27" s="183">
        <f t="shared" si="5"/>
        <v>33751</v>
      </c>
      <c r="E27" s="183">
        <f t="shared" si="5"/>
        <v>27</v>
      </c>
      <c r="F27" s="183">
        <f t="shared" si="5"/>
        <v>-4361</v>
      </c>
      <c r="G27" s="183">
        <f t="shared" si="5"/>
        <v>-4361</v>
      </c>
      <c r="H27" s="183">
        <f t="shared" si="5"/>
        <v>-1517</v>
      </c>
      <c r="I27" s="183">
        <f t="shared" si="5"/>
        <v>-4361</v>
      </c>
      <c r="J27" s="183">
        <f t="shared" si="5"/>
        <v>-4361</v>
      </c>
      <c r="K27" s="183">
        <f t="shared" si="5"/>
        <v>-4361</v>
      </c>
      <c r="L27" s="183">
        <f t="shared" si="5"/>
        <v>-616</v>
      </c>
      <c r="M27" s="183">
        <f t="shared" si="5"/>
        <v>26423</v>
      </c>
      <c r="N27" s="184"/>
      <c r="O27" s="173">
        <f>+O17-O26</f>
        <v>0</v>
      </c>
    </row>
    <row r="28" spans="1:16" ht="18" customHeight="1" x14ac:dyDescent="0.2">
      <c r="A28" s="182"/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4"/>
      <c r="O28" s="173"/>
    </row>
    <row r="29" spans="1:16" ht="18" customHeight="1" x14ac:dyDescent="0.2">
      <c r="A29" s="182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4"/>
      <c r="O29" s="173"/>
    </row>
    <row r="30" spans="1:16" ht="18" customHeight="1" x14ac:dyDescent="0.2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4"/>
      <c r="O30" s="173"/>
    </row>
    <row r="31" spans="1:16" ht="18" customHeight="1" x14ac:dyDescent="0.2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4"/>
      <c r="O31" s="173"/>
    </row>
    <row r="32" spans="1:16" ht="18" customHeight="1" x14ac:dyDescent="0.2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4"/>
      <c r="O32" s="173"/>
    </row>
    <row r="33" spans="1:15" ht="18" customHeight="1" x14ac:dyDescent="0.2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4"/>
      <c r="O33" s="173"/>
    </row>
    <row r="34" spans="1:15" ht="18" customHeight="1" x14ac:dyDescent="0.2">
      <c r="A34" s="182"/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4"/>
      <c r="O34" s="173"/>
    </row>
    <row r="35" spans="1:15" ht="18" customHeight="1" x14ac:dyDescent="0.2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173"/>
    </row>
    <row r="36" spans="1:15" x14ac:dyDescent="0.2"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</row>
    <row r="42" spans="1:15" x14ac:dyDescent="0.2">
      <c r="A42" s="174"/>
    </row>
    <row r="43" spans="1:15" x14ac:dyDescent="0.2">
      <c r="A43" s="174"/>
    </row>
    <row r="44" spans="1:15" x14ac:dyDescent="0.2">
      <c r="A44" s="174"/>
    </row>
    <row r="45" spans="1:15" x14ac:dyDescent="0.2">
      <c r="A45" s="174"/>
    </row>
    <row r="46" spans="1:15" x14ac:dyDescent="0.2">
      <c r="A46" s="174"/>
    </row>
    <row r="47" spans="1:15" x14ac:dyDescent="0.2">
      <c r="A47" s="174"/>
    </row>
    <row r="48" spans="1:15" x14ac:dyDescent="0.2">
      <c r="A48" s="174"/>
    </row>
    <row r="49" spans="1:17" x14ac:dyDescent="0.2">
      <c r="A49" s="174"/>
    </row>
    <row r="50" spans="1:17" x14ac:dyDescent="0.2">
      <c r="A50" s="174"/>
    </row>
    <row r="51" spans="1:17" x14ac:dyDescent="0.2">
      <c r="A51" s="174"/>
    </row>
    <row r="52" spans="1:17" x14ac:dyDescent="0.2">
      <c r="A52" s="174"/>
    </row>
    <row r="53" spans="1:17" x14ac:dyDescent="0.2">
      <c r="A53" s="174"/>
      <c r="Q53" s="43">
        <f>+O53+O43</f>
        <v>0</v>
      </c>
    </row>
    <row r="54" spans="1:17" x14ac:dyDescent="0.2">
      <c r="A54" s="174"/>
    </row>
    <row r="55" spans="1:17" x14ac:dyDescent="0.2">
      <c r="A55" s="174"/>
    </row>
    <row r="56" spans="1:17" x14ac:dyDescent="0.2">
      <c r="A56" s="174"/>
    </row>
    <row r="57" spans="1:17" x14ac:dyDescent="0.2">
      <c r="A57" s="174"/>
    </row>
    <row r="58" spans="1:17" x14ac:dyDescent="0.2">
      <c r="A58" s="174"/>
    </row>
    <row r="59" spans="1:17" x14ac:dyDescent="0.2">
      <c r="A59" s="174"/>
    </row>
    <row r="60" spans="1:17" x14ac:dyDescent="0.2">
      <c r="A60" s="174"/>
    </row>
    <row r="61" spans="1:17" x14ac:dyDescent="0.2">
      <c r="A61" s="174"/>
    </row>
    <row r="62" spans="1:17" x14ac:dyDescent="0.2">
      <c r="A62" s="174"/>
    </row>
    <row r="66" spans="12:12" x14ac:dyDescent="0.2">
      <c r="L66" s="175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7" top="0.71" bottom="0.6692913385826772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50"/>
  <sheetViews>
    <sheetView topLeftCell="A10" zoomScale="75" zoomScaleNormal="75" zoomScaleSheetLayoutView="75" workbookViewId="0">
      <selection activeCell="C36" sqref="C36"/>
    </sheetView>
  </sheetViews>
  <sheetFormatPr defaultRowHeight="12.75" x14ac:dyDescent="0.2"/>
  <cols>
    <col min="1" max="1" width="3.42578125" customWidth="1"/>
    <col min="2" max="2" width="6.140625" customWidth="1"/>
    <col min="3" max="3" width="65" customWidth="1"/>
    <col min="4" max="5" width="16.85546875" customWidth="1"/>
    <col min="6" max="6" width="3.140625" customWidth="1"/>
    <col min="7" max="7" width="46.7109375" customWidth="1"/>
    <col min="8" max="8" width="24" customWidth="1"/>
    <col min="9" max="9" width="15.7109375" customWidth="1"/>
    <col min="10" max="10" width="16.42578125" customWidth="1"/>
  </cols>
  <sheetData>
    <row r="1" spans="1:10" ht="18.75" x14ac:dyDescent="0.3">
      <c r="B1" s="513" t="s">
        <v>310</v>
      </c>
      <c r="C1" s="513"/>
      <c r="D1" s="513"/>
      <c r="E1" s="513"/>
      <c r="F1" s="513"/>
      <c r="G1" s="513"/>
      <c r="H1" s="513"/>
      <c r="I1" s="513"/>
      <c r="J1" s="361"/>
    </row>
    <row r="2" spans="1:10" ht="15.75" x14ac:dyDescent="0.25">
      <c r="B2" s="514" t="s">
        <v>280</v>
      </c>
      <c r="C2" s="514"/>
      <c r="D2" s="514"/>
      <c r="E2" s="514"/>
      <c r="F2" s="514"/>
      <c r="G2" s="514"/>
      <c r="H2" s="514"/>
      <c r="I2" s="514"/>
      <c r="J2" s="362"/>
    </row>
    <row r="3" spans="1:10" ht="15.75" x14ac:dyDescent="0.25">
      <c r="B3" s="514" t="s">
        <v>253</v>
      </c>
      <c r="C3" s="514"/>
      <c r="D3" s="514"/>
      <c r="E3" s="514"/>
      <c r="F3" s="514"/>
      <c r="G3" s="514"/>
      <c r="H3" s="514"/>
      <c r="I3" s="514"/>
      <c r="J3" s="362"/>
    </row>
    <row r="4" spans="1:10" ht="15.75" x14ac:dyDescent="0.25">
      <c r="B4" s="515" t="s">
        <v>274</v>
      </c>
      <c r="C4" s="515"/>
      <c r="D4" s="515"/>
      <c r="E4" s="515"/>
      <c r="F4" s="515"/>
      <c r="G4" s="515"/>
      <c r="H4" s="515"/>
      <c r="I4" s="515"/>
      <c r="J4" s="187"/>
    </row>
    <row r="5" spans="1:10" ht="16.5" thickBot="1" x14ac:dyDescent="0.3">
      <c r="A5" s="185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28.5" x14ac:dyDescent="0.2">
      <c r="A6" s="186"/>
      <c r="B6" s="486" t="s">
        <v>210</v>
      </c>
      <c r="C6" s="486" t="s">
        <v>196</v>
      </c>
      <c r="D6" s="446" t="s">
        <v>395</v>
      </c>
      <c r="E6" s="458" t="s">
        <v>396</v>
      </c>
      <c r="F6" s="449"/>
      <c r="G6" s="509" t="s">
        <v>196</v>
      </c>
      <c r="H6" s="509"/>
      <c r="I6" s="511" t="s">
        <v>397</v>
      </c>
      <c r="J6" s="458" t="s">
        <v>396</v>
      </c>
    </row>
    <row r="7" spans="1:10" ht="14.25" x14ac:dyDescent="0.2">
      <c r="A7" s="180"/>
      <c r="B7" s="508"/>
      <c r="C7" s="487"/>
      <c r="D7" s="447"/>
      <c r="E7" s="459"/>
      <c r="F7" s="450"/>
      <c r="G7" s="510"/>
      <c r="H7" s="510"/>
      <c r="I7" s="512"/>
      <c r="J7" s="437"/>
    </row>
    <row r="8" spans="1:10" ht="12.75" customHeight="1" x14ac:dyDescent="0.2">
      <c r="A8" s="180"/>
      <c r="B8" s="508"/>
      <c r="C8" s="487"/>
      <c r="D8" s="447"/>
      <c r="E8" s="459"/>
      <c r="F8" s="450"/>
      <c r="G8" s="510"/>
      <c r="H8" s="510"/>
      <c r="I8" s="431"/>
      <c r="J8" s="437"/>
    </row>
    <row r="9" spans="1:10" ht="15.75" x14ac:dyDescent="0.25">
      <c r="A9" s="180"/>
      <c r="B9" s="495" t="s">
        <v>212</v>
      </c>
      <c r="C9" s="495"/>
      <c r="D9" s="374"/>
      <c r="E9" s="439"/>
      <c r="F9" s="450"/>
      <c r="G9" s="510" t="s">
        <v>211</v>
      </c>
      <c r="H9" s="510"/>
      <c r="I9" s="432"/>
      <c r="J9" s="438"/>
    </row>
    <row r="10" spans="1:10" ht="15.75" x14ac:dyDescent="0.25">
      <c r="A10" s="180" t="s">
        <v>30</v>
      </c>
      <c r="B10" s="490" t="s">
        <v>154</v>
      </c>
      <c r="C10" s="490"/>
      <c r="D10" s="374">
        <f>+'15'!D33</f>
        <v>14367</v>
      </c>
      <c r="E10" s="439">
        <v>30867</v>
      </c>
      <c r="F10" s="451" t="s">
        <v>30</v>
      </c>
      <c r="G10" s="500" t="s">
        <v>197</v>
      </c>
      <c r="H10" s="500"/>
      <c r="I10" s="374">
        <f>+'15'!D10</f>
        <v>24948</v>
      </c>
      <c r="J10" s="439">
        <v>37073</v>
      </c>
    </row>
    <row r="11" spans="1:10" ht="15.75" x14ac:dyDescent="0.25">
      <c r="A11" s="180" t="s">
        <v>52</v>
      </c>
      <c r="B11" s="490" t="s">
        <v>208</v>
      </c>
      <c r="C11" s="490"/>
      <c r="D11" s="374">
        <f>+'15'!D34</f>
        <v>41765</v>
      </c>
      <c r="E11" s="439">
        <v>47214</v>
      </c>
      <c r="F11" s="451" t="s">
        <v>52</v>
      </c>
      <c r="G11" s="500" t="s">
        <v>206</v>
      </c>
      <c r="H11" s="500"/>
      <c r="I11" s="374">
        <f>+'15'!D11</f>
        <v>6453</v>
      </c>
      <c r="J11" s="439">
        <v>8018</v>
      </c>
    </row>
    <row r="12" spans="1:10" ht="15.75" x14ac:dyDescent="0.25">
      <c r="A12" s="180" t="s">
        <v>53</v>
      </c>
      <c r="B12" s="490" t="s">
        <v>152</v>
      </c>
      <c r="C12" s="490"/>
      <c r="D12" s="374">
        <f>+'15'!D38</f>
        <v>179325</v>
      </c>
      <c r="E12" s="439">
        <v>155629</v>
      </c>
      <c r="F12" s="451" t="s">
        <v>53</v>
      </c>
      <c r="G12" s="500" t="s">
        <v>207</v>
      </c>
      <c r="H12" s="500"/>
      <c r="I12" s="374">
        <f>+'15'!D12</f>
        <v>59770</v>
      </c>
      <c r="J12" s="439">
        <v>59273</v>
      </c>
    </row>
    <row r="13" spans="1:10" ht="15.75" x14ac:dyDescent="0.25">
      <c r="A13" s="180" t="s">
        <v>54</v>
      </c>
      <c r="B13" s="490" t="s">
        <v>153</v>
      </c>
      <c r="C13" s="490"/>
      <c r="D13" s="374">
        <f>+'15'!D42</f>
        <v>16423</v>
      </c>
      <c r="E13" s="439">
        <v>24357</v>
      </c>
      <c r="F13" s="451" t="s">
        <v>54</v>
      </c>
      <c r="G13" s="506" t="s">
        <v>183</v>
      </c>
      <c r="H13" s="507"/>
      <c r="I13" s="374">
        <f>SUM(I14:I18)</f>
        <v>30516</v>
      </c>
      <c r="J13" s="439">
        <f>SUM(J14:J18)</f>
        <v>41399</v>
      </c>
    </row>
    <row r="14" spans="1:10" ht="15.75" x14ac:dyDescent="0.25">
      <c r="A14" s="204"/>
      <c r="B14" s="492"/>
      <c r="C14" s="492"/>
      <c r="D14" s="296"/>
      <c r="E14" s="443"/>
      <c r="F14" s="451" t="s">
        <v>174</v>
      </c>
      <c r="G14" s="502" t="s">
        <v>177</v>
      </c>
      <c r="H14" s="503"/>
      <c r="I14" s="374"/>
      <c r="J14" s="439">
        <v>20679</v>
      </c>
    </row>
    <row r="15" spans="1:10" ht="15.75" x14ac:dyDescent="0.25">
      <c r="A15" s="204"/>
      <c r="B15" s="492"/>
      <c r="C15" s="492"/>
      <c r="D15" s="296"/>
      <c r="E15" s="443"/>
      <c r="F15" s="451" t="s">
        <v>175</v>
      </c>
      <c r="G15" s="502" t="s">
        <v>178</v>
      </c>
      <c r="H15" s="503"/>
      <c r="I15" s="374">
        <f>+'15'!D15</f>
        <v>12283</v>
      </c>
      <c r="J15" s="439"/>
    </row>
    <row r="16" spans="1:10" ht="15.75" customHeight="1" x14ac:dyDescent="0.25">
      <c r="A16" s="204"/>
      <c r="B16" s="492"/>
      <c r="C16" s="492"/>
      <c r="D16" s="296"/>
      <c r="E16" s="443"/>
      <c r="F16" s="451" t="s">
        <v>176</v>
      </c>
      <c r="G16" s="489" t="s">
        <v>357</v>
      </c>
      <c r="H16" s="504"/>
      <c r="I16" s="374">
        <f>'15'!D19</f>
        <v>1963</v>
      </c>
      <c r="J16" s="439">
        <v>4388</v>
      </c>
    </row>
    <row r="17" spans="1:10" ht="16.5" x14ac:dyDescent="0.25">
      <c r="A17" s="204"/>
      <c r="B17" s="492"/>
      <c r="C17" s="492"/>
      <c r="D17" s="296"/>
      <c r="E17" s="443"/>
      <c r="F17" s="451" t="s">
        <v>82</v>
      </c>
      <c r="G17" s="505" t="s">
        <v>184</v>
      </c>
      <c r="H17" s="505"/>
      <c r="I17" s="374">
        <f>+'15'!D17</f>
        <v>0</v>
      </c>
      <c r="J17" s="439"/>
    </row>
    <row r="18" spans="1:10" ht="15.75" x14ac:dyDescent="0.25">
      <c r="A18" s="204"/>
      <c r="B18" s="360"/>
      <c r="C18" s="360"/>
      <c r="D18" s="296"/>
      <c r="E18" s="443"/>
      <c r="F18" s="452" t="s">
        <v>56</v>
      </c>
      <c r="G18" s="489" t="s">
        <v>179</v>
      </c>
      <c r="H18" s="489"/>
      <c r="I18" s="374">
        <f>+'15'!D18</f>
        <v>16270</v>
      </c>
      <c r="J18" s="439">
        <v>16332</v>
      </c>
    </row>
    <row r="19" spans="1:10" ht="16.5" customHeight="1" x14ac:dyDescent="0.25">
      <c r="A19" s="204"/>
      <c r="B19" s="360"/>
      <c r="C19" s="360"/>
      <c r="D19" s="296"/>
      <c r="E19" s="443"/>
      <c r="F19" s="452"/>
      <c r="G19" s="489" t="s">
        <v>267</v>
      </c>
      <c r="H19" s="489"/>
      <c r="I19" s="374">
        <v>72411</v>
      </c>
      <c r="J19" s="439">
        <v>30768</v>
      </c>
    </row>
    <row r="20" spans="1:10" s="200" customFormat="1" ht="15" x14ac:dyDescent="0.25">
      <c r="A20" s="203" t="s">
        <v>181</v>
      </c>
      <c r="B20" s="491" t="s">
        <v>246</v>
      </c>
      <c r="C20" s="491"/>
      <c r="D20" s="433">
        <f>SUM(D10:D18)</f>
        <v>251880</v>
      </c>
      <c r="E20" s="440">
        <f>SUM(E10:E18)</f>
        <v>258067</v>
      </c>
      <c r="F20" s="453" t="s">
        <v>181</v>
      </c>
      <c r="G20" s="428" t="s">
        <v>173</v>
      </c>
      <c r="H20" s="427"/>
      <c r="I20" s="433">
        <f>+I10+I11+I12+I13+I19</f>
        <v>194098</v>
      </c>
      <c r="J20" s="440">
        <f>+J10+J11+J12+J13+J19</f>
        <v>176531</v>
      </c>
    </row>
    <row r="21" spans="1:10" s="200" customFormat="1" ht="15" x14ac:dyDescent="0.25">
      <c r="A21" s="430" t="s">
        <v>203</v>
      </c>
      <c r="B21" s="491" t="s">
        <v>116</v>
      </c>
      <c r="C21" s="491"/>
      <c r="D21" s="433">
        <f>+D20-I20</f>
        <v>57782</v>
      </c>
      <c r="E21" s="440">
        <f>+E20-J20</f>
        <v>81536</v>
      </c>
      <c r="F21" s="453"/>
      <c r="G21" s="428"/>
      <c r="H21" s="427"/>
      <c r="I21" s="433"/>
      <c r="J21" s="440"/>
    </row>
    <row r="22" spans="1:10" ht="15.75" x14ac:dyDescent="0.25">
      <c r="A22" s="180" t="s">
        <v>56</v>
      </c>
      <c r="B22" s="490" t="s">
        <v>200</v>
      </c>
      <c r="C22" s="490"/>
      <c r="D22" s="374">
        <f>+'15'!D48</f>
        <v>15141</v>
      </c>
      <c r="E22" s="439">
        <v>14381</v>
      </c>
      <c r="F22" s="451" t="s">
        <v>57</v>
      </c>
      <c r="G22" s="500" t="s">
        <v>245</v>
      </c>
      <c r="H22" s="500"/>
      <c r="I22" s="374">
        <f>+'15'!D23</f>
        <v>3714</v>
      </c>
      <c r="J22" s="439">
        <v>6184</v>
      </c>
    </row>
    <row r="23" spans="1:10" ht="15.75" x14ac:dyDescent="0.25">
      <c r="A23" s="180" t="s">
        <v>57</v>
      </c>
      <c r="B23" s="490" t="s">
        <v>155</v>
      </c>
      <c r="C23" s="490"/>
      <c r="D23" s="374">
        <f>+'15'!D51</f>
        <v>0</v>
      </c>
      <c r="E23" s="439"/>
      <c r="F23" s="451" t="s">
        <v>58</v>
      </c>
      <c r="G23" s="500" t="s">
        <v>198</v>
      </c>
      <c r="H23" s="500"/>
      <c r="I23" s="374">
        <f>+'15'!F24</f>
        <v>19075</v>
      </c>
      <c r="J23" s="439">
        <v>21188</v>
      </c>
    </row>
    <row r="24" spans="1:10" ht="15.75" x14ac:dyDescent="0.25">
      <c r="A24" s="180" t="s">
        <v>58</v>
      </c>
      <c r="B24" s="490" t="s">
        <v>156</v>
      </c>
      <c r="C24" s="490"/>
      <c r="D24" s="374">
        <f>+'15'!D54</f>
        <v>24113</v>
      </c>
      <c r="E24" s="439">
        <v>28177</v>
      </c>
      <c r="F24" s="451" t="s">
        <v>60</v>
      </c>
      <c r="G24" s="500" t="s">
        <v>180</v>
      </c>
      <c r="H24" s="500"/>
      <c r="I24" s="374">
        <v>3872</v>
      </c>
      <c r="J24" s="439">
        <v>17329</v>
      </c>
    </row>
    <row r="25" spans="1:10" s="200" customFormat="1" ht="15" x14ac:dyDescent="0.25">
      <c r="A25" s="203" t="s">
        <v>158</v>
      </c>
      <c r="B25" s="491" t="s">
        <v>247</v>
      </c>
      <c r="C25" s="491"/>
      <c r="D25" s="433">
        <f>SUM(D22:D24)</f>
        <v>39254</v>
      </c>
      <c r="E25" s="440">
        <f>SUM(E22:E24)</f>
        <v>42558</v>
      </c>
      <c r="F25" s="453" t="s">
        <v>158</v>
      </c>
      <c r="G25" s="501" t="s">
        <v>250</v>
      </c>
      <c r="H25" s="501"/>
      <c r="I25" s="434">
        <f>SUM(I22:I24)</f>
        <v>26661</v>
      </c>
      <c r="J25" s="441">
        <f>SUM(J22:J24)</f>
        <v>44701</v>
      </c>
    </row>
    <row r="26" spans="1:10" s="200" customFormat="1" ht="15" x14ac:dyDescent="0.25">
      <c r="A26" s="430" t="s">
        <v>204</v>
      </c>
      <c r="B26" s="491" t="s">
        <v>252</v>
      </c>
      <c r="C26" s="491"/>
      <c r="D26" s="433">
        <f>+D25-I25</f>
        <v>12593</v>
      </c>
      <c r="E26" s="440">
        <f>+E25-J25</f>
        <v>-2143</v>
      </c>
      <c r="F26" s="453"/>
      <c r="G26" s="429"/>
      <c r="H26" s="429"/>
      <c r="I26" s="434"/>
      <c r="J26" s="441"/>
    </row>
    <row r="27" spans="1:10" ht="15.75" x14ac:dyDescent="0.25">
      <c r="A27" s="180" t="s">
        <v>60</v>
      </c>
      <c r="B27" s="490" t="s">
        <v>157</v>
      </c>
      <c r="C27" s="490"/>
      <c r="D27" s="374"/>
      <c r="E27" s="439"/>
      <c r="F27" s="474" t="s">
        <v>30</v>
      </c>
      <c r="G27" s="490" t="s">
        <v>370</v>
      </c>
      <c r="H27" s="490"/>
      <c r="I27" s="472"/>
      <c r="J27" s="473">
        <v>10406</v>
      </c>
    </row>
    <row r="28" spans="1:10" ht="15.75" x14ac:dyDescent="0.25">
      <c r="A28" s="180" t="s">
        <v>61</v>
      </c>
      <c r="B28" s="490" t="s">
        <v>161</v>
      </c>
      <c r="C28" s="490"/>
      <c r="D28" s="374">
        <f>+'15'!D64</f>
        <v>23072</v>
      </c>
      <c r="E28" s="439">
        <v>22993</v>
      </c>
      <c r="F28" s="475" t="s">
        <v>52</v>
      </c>
      <c r="G28" s="490" t="s">
        <v>290</v>
      </c>
      <c r="H28" s="490"/>
      <c r="I28" s="472"/>
      <c r="J28" s="473">
        <v>96539</v>
      </c>
    </row>
    <row r="29" spans="1:10" ht="15.75" x14ac:dyDescent="0.25">
      <c r="A29" s="180" t="s">
        <v>31</v>
      </c>
      <c r="B29" s="490" t="s">
        <v>370</v>
      </c>
      <c r="C29" s="490"/>
      <c r="D29" s="374"/>
      <c r="E29" s="439">
        <v>4559</v>
      </c>
      <c r="F29" s="474"/>
      <c r="G29" s="488"/>
      <c r="H29" s="488"/>
      <c r="I29" s="472"/>
      <c r="J29" s="473"/>
    </row>
    <row r="30" spans="1:10" ht="15.75" x14ac:dyDescent="0.25">
      <c r="A30" s="180" t="s">
        <v>64</v>
      </c>
      <c r="B30" s="490" t="s">
        <v>164</v>
      </c>
      <c r="C30" s="490"/>
      <c r="D30" s="374"/>
      <c r="E30" s="439"/>
      <c r="F30" s="474"/>
      <c r="G30" s="488"/>
      <c r="H30" s="488"/>
      <c r="I30" s="472"/>
      <c r="J30" s="473"/>
    </row>
    <row r="31" spans="1:10" ht="15.75" x14ac:dyDescent="0.25">
      <c r="A31" s="203" t="s">
        <v>162</v>
      </c>
      <c r="B31" s="491" t="s">
        <v>248</v>
      </c>
      <c r="C31" s="491"/>
      <c r="D31" s="433">
        <f>SUM(D27:D30)</f>
        <v>23072</v>
      </c>
      <c r="E31" s="440">
        <f>SUM(E27:E30)</f>
        <v>27552</v>
      </c>
      <c r="F31" s="455" t="s">
        <v>165</v>
      </c>
      <c r="G31" s="499" t="s">
        <v>28</v>
      </c>
      <c r="H31" s="499"/>
      <c r="I31" s="435">
        <f>+'15'!D82</f>
        <v>93447</v>
      </c>
      <c r="J31" s="442">
        <f>SUM(J27:J28)</f>
        <v>106945</v>
      </c>
    </row>
    <row r="32" spans="1:10" ht="18.75" x14ac:dyDescent="0.3">
      <c r="A32" s="180"/>
      <c r="B32" s="490" t="s">
        <v>290</v>
      </c>
      <c r="C32" s="490"/>
      <c r="D32" s="384"/>
      <c r="E32" s="444"/>
      <c r="F32" s="454"/>
      <c r="G32" s="496"/>
      <c r="H32" s="496"/>
      <c r="I32" s="296"/>
      <c r="J32" s="443"/>
    </row>
    <row r="33" spans="1:10" ht="19.5" x14ac:dyDescent="0.3">
      <c r="A33" s="203" t="s">
        <v>165</v>
      </c>
      <c r="B33" s="484" t="s">
        <v>249</v>
      </c>
      <c r="C33" s="484"/>
      <c r="D33" s="384">
        <f>+D20+D25+D31</f>
        <v>314206</v>
      </c>
      <c r="E33" s="444">
        <f>+E20+E25+E31</f>
        <v>328177</v>
      </c>
      <c r="F33" s="456" t="s">
        <v>168</v>
      </c>
      <c r="G33" s="497" t="s">
        <v>251</v>
      </c>
      <c r="H33" s="497"/>
      <c r="I33" s="384">
        <f>+I20+I25+I29+I31+I27</f>
        <v>314206</v>
      </c>
      <c r="J33" s="444">
        <f>+J20+J25+J29+J31</f>
        <v>328177</v>
      </c>
    </row>
    <row r="34" spans="1:10" ht="19.5" thickBot="1" x14ac:dyDescent="0.35">
      <c r="A34" s="181"/>
      <c r="B34" s="485" t="s">
        <v>151</v>
      </c>
      <c r="C34" s="485"/>
      <c r="D34" s="448">
        <f>+D33-I33-D32</f>
        <v>0</v>
      </c>
      <c r="E34" s="460"/>
      <c r="F34" s="457"/>
      <c r="G34" s="498"/>
      <c r="H34" s="498"/>
      <c r="I34" s="436"/>
      <c r="J34" s="445"/>
    </row>
    <row r="35" spans="1:10" ht="15.75" x14ac:dyDescent="0.25">
      <c r="B35" s="195"/>
      <c r="C35" s="195"/>
      <c r="D35" s="195"/>
      <c r="E35" s="195"/>
      <c r="F35" s="195"/>
      <c r="G35" s="493"/>
      <c r="H35" s="493"/>
      <c r="I35" s="196"/>
      <c r="J35" s="196"/>
    </row>
    <row r="36" spans="1:10" ht="15.75" x14ac:dyDescent="0.25">
      <c r="B36" s="195"/>
      <c r="C36" s="195"/>
      <c r="D36" s="206"/>
      <c r="E36" s="206"/>
      <c r="F36" s="195"/>
      <c r="G36" s="493"/>
      <c r="H36" s="493"/>
      <c r="I36" s="196"/>
      <c r="J36" s="196"/>
    </row>
    <row r="37" spans="1:10" ht="15.75" x14ac:dyDescent="0.25">
      <c r="B37" s="195"/>
      <c r="C37" s="195"/>
      <c r="D37" s="195"/>
      <c r="E37" s="195"/>
      <c r="F37" s="195"/>
      <c r="G37" s="493"/>
      <c r="H37" s="493"/>
      <c r="I37" s="196"/>
      <c r="J37" s="196"/>
    </row>
    <row r="38" spans="1:10" ht="15.75" x14ac:dyDescent="0.25">
      <c r="B38" s="195"/>
      <c r="C38" s="195"/>
      <c r="D38" s="195"/>
      <c r="E38" s="195"/>
      <c r="F38" s="195"/>
      <c r="G38" s="493"/>
      <c r="H38" s="493"/>
      <c r="I38" s="196"/>
      <c r="J38" s="196"/>
    </row>
    <row r="39" spans="1:10" ht="15.75" x14ac:dyDescent="0.25">
      <c r="B39" s="195"/>
      <c r="C39" s="195"/>
      <c r="D39" s="195"/>
      <c r="E39" s="195"/>
      <c r="F39" s="195"/>
      <c r="G39" s="493"/>
      <c r="H39" s="493"/>
      <c r="I39" s="196"/>
      <c r="J39" s="196"/>
    </row>
    <row r="40" spans="1:10" ht="15.75" x14ac:dyDescent="0.25">
      <c r="B40" s="195"/>
      <c r="C40" s="195"/>
      <c r="D40" s="195"/>
      <c r="E40" s="195"/>
      <c r="F40" s="195"/>
      <c r="G40" s="493"/>
      <c r="H40" s="493"/>
      <c r="I40" s="196"/>
      <c r="J40" s="196"/>
    </row>
    <row r="41" spans="1:10" ht="15.75" x14ac:dyDescent="0.25">
      <c r="B41" s="195"/>
      <c r="C41" s="195"/>
      <c r="D41" s="195"/>
      <c r="E41" s="195"/>
      <c r="F41" s="195"/>
      <c r="G41" s="493"/>
      <c r="H41" s="493"/>
      <c r="I41" s="196"/>
      <c r="J41" s="196"/>
    </row>
    <row r="42" spans="1:10" ht="15.75" x14ac:dyDescent="0.25">
      <c r="B42" s="195"/>
      <c r="C42" s="195"/>
      <c r="D42" s="195"/>
      <c r="E42" s="195"/>
      <c r="F42" s="195"/>
      <c r="G42" s="493"/>
      <c r="H42" s="493"/>
      <c r="I42" s="196"/>
      <c r="J42" s="196"/>
    </row>
    <row r="43" spans="1:10" ht="15.75" x14ac:dyDescent="0.25">
      <c r="B43" s="195"/>
      <c r="C43" s="195"/>
      <c r="D43" s="195"/>
      <c r="E43" s="195"/>
      <c r="F43" s="195"/>
      <c r="G43" s="493"/>
      <c r="H43" s="493"/>
      <c r="I43" s="196"/>
      <c r="J43" s="196"/>
    </row>
    <row r="44" spans="1:10" ht="15.75" x14ac:dyDescent="0.25">
      <c r="B44" s="195"/>
      <c r="C44" s="195"/>
      <c r="D44" s="195"/>
      <c r="E44" s="195"/>
      <c r="F44" s="195"/>
      <c r="G44" s="493"/>
      <c r="H44" s="493"/>
      <c r="I44" s="196"/>
      <c r="J44" s="196"/>
    </row>
    <row r="45" spans="1:10" ht="15.75" x14ac:dyDescent="0.25">
      <c r="B45" s="195"/>
      <c r="C45" s="195"/>
      <c r="D45" s="195"/>
      <c r="E45" s="195"/>
      <c r="F45" s="195"/>
      <c r="G45" s="493"/>
      <c r="H45" s="493"/>
      <c r="I45" s="196"/>
      <c r="J45" s="196"/>
    </row>
    <row r="46" spans="1:10" ht="15.75" x14ac:dyDescent="0.25">
      <c r="B46" s="195"/>
      <c r="C46" s="195"/>
      <c r="D46" s="195"/>
      <c r="E46" s="195"/>
      <c r="F46" s="195"/>
      <c r="G46" s="493"/>
      <c r="H46" s="493"/>
      <c r="I46" s="196"/>
      <c r="J46" s="196"/>
    </row>
    <row r="47" spans="1:10" ht="15.75" x14ac:dyDescent="0.25">
      <c r="B47" s="195"/>
      <c r="C47" s="195"/>
      <c r="D47" s="195"/>
      <c r="E47" s="195"/>
      <c r="F47" s="195"/>
      <c r="G47" s="493"/>
      <c r="H47" s="493"/>
      <c r="I47" s="196"/>
      <c r="J47" s="196"/>
    </row>
    <row r="48" spans="1:10" ht="18.75" x14ac:dyDescent="0.3">
      <c r="B48" s="195"/>
      <c r="C48" s="195"/>
      <c r="D48" s="195"/>
      <c r="E48" s="195"/>
      <c r="F48" s="195"/>
      <c r="G48" s="493"/>
      <c r="H48" s="493"/>
      <c r="I48" s="197"/>
      <c r="J48" s="197"/>
    </row>
    <row r="49" spans="2:10" ht="18.75" x14ac:dyDescent="0.3">
      <c r="B49" s="198"/>
      <c r="C49" s="198"/>
      <c r="D49" s="198"/>
      <c r="E49" s="198"/>
      <c r="F49" s="198"/>
      <c r="G49" s="494"/>
      <c r="H49" s="494"/>
      <c r="I49" s="197"/>
      <c r="J49" s="197"/>
    </row>
    <row r="50" spans="2:10" ht="18.75" x14ac:dyDescent="0.3">
      <c r="B50" s="195"/>
      <c r="C50" s="195"/>
      <c r="D50" s="195"/>
      <c r="E50" s="195"/>
      <c r="F50" s="195"/>
      <c r="G50" s="494"/>
      <c r="H50" s="494"/>
      <c r="I50" s="199"/>
      <c r="J50" s="199"/>
    </row>
  </sheetData>
  <mergeCells count="71">
    <mergeCell ref="I6:I7"/>
    <mergeCell ref="G9:H9"/>
    <mergeCell ref="B1:I1"/>
    <mergeCell ref="B2:I2"/>
    <mergeCell ref="B3:I3"/>
    <mergeCell ref="B4:I4"/>
    <mergeCell ref="G10:H10"/>
    <mergeCell ref="G11:H11"/>
    <mergeCell ref="G12:H12"/>
    <mergeCell ref="G13:H13"/>
    <mergeCell ref="B6:B8"/>
    <mergeCell ref="G6:H8"/>
    <mergeCell ref="G29:H29"/>
    <mergeCell ref="G31:H31"/>
    <mergeCell ref="G24:H24"/>
    <mergeCell ref="G25:H25"/>
    <mergeCell ref="G14:H14"/>
    <mergeCell ref="G15:H15"/>
    <mergeCell ref="G16:H16"/>
    <mergeCell ref="G17:H17"/>
    <mergeCell ref="G27:H27"/>
    <mergeCell ref="G28:H28"/>
    <mergeCell ref="G22:H22"/>
    <mergeCell ref="G23:H23"/>
    <mergeCell ref="G39:H39"/>
    <mergeCell ref="G32:H32"/>
    <mergeCell ref="G33:H33"/>
    <mergeCell ref="G34:H34"/>
    <mergeCell ref="G35:H35"/>
    <mergeCell ref="G49:H49"/>
    <mergeCell ref="G50:H50"/>
    <mergeCell ref="B9:C9"/>
    <mergeCell ref="B10:C10"/>
    <mergeCell ref="B11:C11"/>
    <mergeCell ref="B12:C12"/>
    <mergeCell ref="B13:C13"/>
    <mergeCell ref="B14:C14"/>
    <mergeCell ref="B15:C15"/>
    <mergeCell ref="G44:H44"/>
    <mergeCell ref="G41:H41"/>
    <mergeCell ref="G42:H42"/>
    <mergeCell ref="G43:H43"/>
    <mergeCell ref="G36:H36"/>
    <mergeCell ref="G37:H37"/>
    <mergeCell ref="G38:H38"/>
    <mergeCell ref="G48:H48"/>
    <mergeCell ref="G45:H45"/>
    <mergeCell ref="G46:H46"/>
    <mergeCell ref="G47:H47"/>
    <mergeCell ref="G40:H40"/>
    <mergeCell ref="B17:C17"/>
    <mergeCell ref="B20:C20"/>
    <mergeCell ref="B22:C22"/>
    <mergeCell ref="B23:C23"/>
    <mergeCell ref="B21:C21"/>
    <mergeCell ref="B33:C33"/>
    <mergeCell ref="B34:C34"/>
    <mergeCell ref="C6:C8"/>
    <mergeCell ref="G30:H30"/>
    <mergeCell ref="G18:H18"/>
    <mergeCell ref="B29:C29"/>
    <mergeCell ref="B30:C30"/>
    <mergeCell ref="B31:C31"/>
    <mergeCell ref="B32:C32"/>
    <mergeCell ref="B16:C16"/>
    <mergeCell ref="B25:C25"/>
    <mergeCell ref="B27:C27"/>
    <mergeCell ref="G19:H19"/>
    <mergeCell ref="B28:C28"/>
    <mergeCell ref="B26:C26"/>
    <mergeCell ref="B24:C24"/>
  </mergeCells>
  <phoneticPr fontId="20" type="noConversion"/>
  <pageMargins left="0.16" right="0.17" top="1" bottom="1" header="0.5" footer="0.5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06"/>
  <sheetViews>
    <sheetView zoomScale="75" zoomScaleNormal="75" zoomScaleSheetLayoutView="75" workbookViewId="0">
      <selection activeCell="G15" sqref="G15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82.5703125" style="1" customWidth="1"/>
    <col min="4" max="4" width="17.7109375" style="2" bestFit="1" customWidth="1"/>
    <col min="5" max="5" width="14.5703125" style="2" customWidth="1"/>
    <col min="6" max="6" width="16.7109375" style="2" customWidth="1"/>
    <col min="7" max="7" width="17.85546875" style="11" customWidth="1"/>
    <col min="8" max="8" width="17.7109375" style="11" customWidth="1"/>
    <col min="9" max="9" width="14.85546875" style="11" bestFit="1" customWidth="1"/>
    <col min="10" max="16384" width="9.140625" style="11"/>
  </cols>
  <sheetData>
    <row r="1" spans="1:9" ht="20.100000000000001" customHeight="1" x14ac:dyDescent="0.3">
      <c r="A1" s="513" t="s">
        <v>310</v>
      </c>
      <c r="B1" s="518"/>
      <c r="C1" s="518"/>
      <c r="D1" s="518"/>
      <c r="E1" s="518"/>
      <c r="F1" s="518"/>
    </row>
    <row r="2" spans="1:9" ht="20.100000000000001" customHeight="1" x14ac:dyDescent="0.2">
      <c r="A2" s="461"/>
      <c r="B2" s="461"/>
      <c r="C2" s="461"/>
      <c r="D2" s="461"/>
      <c r="E2" s="461"/>
      <c r="F2" s="461"/>
    </row>
    <row r="3" spans="1:9" ht="20.100000000000001" customHeight="1" x14ac:dyDescent="0.25">
      <c r="A3" s="514" t="s">
        <v>280</v>
      </c>
      <c r="B3" s="518"/>
      <c r="C3" s="518"/>
      <c r="D3" s="518"/>
      <c r="E3" s="518"/>
      <c r="F3" s="518"/>
    </row>
    <row r="4" spans="1:9" ht="20.100000000000001" customHeight="1" x14ac:dyDescent="0.2">
      <c r="A4" s="480" t="s">
        <v>209</v>
      </c>
      <c r="B4" s="521"/>
      <c r="C4" s="521"/>
      <c r="D4" s="521"/>
      <c r="E4" s="521"/>
      <c r="F4" s="521"/>
    </row>
    <row r="5" spans="1:9" ht="29.25" customHeight="1" thickBot="1" x14ac:dyDescent="0.3">
      <c r="A5" s="519" t="s">
        <v>366</v>
      </c>
      <c r="B5" s="520"/>
      <c r="C5" s="520"/>
      <c r="D5" s="520"/>
      <c r="E5" s="520"/>
      <c r="F5" s="520"/>
    </row>
    <row r="6" spans="1:9" ht="20.100000000000001" customHeight="1" x14ac:dyDescent="0.2">
      <c r="A6" s="522" t="s">
        <v>210</v>
      </c>
      <c r="B6" s="509" t="s">
        <v>196</v>
      </c>
      <c r="C6" s="509"/>
      <c r="D6" s="528" t="s">
        <v>379</v>
      </c>
      <c r="E6" s="526" t="s">
        <v>372</v>
      </c>
      <c r="F6" s="526" t="s">
        <v>375</v>
      </c>
      <c r="G6" s="530" t="s">
        <v>380</v>
      </c>
      <c r="H6" s="516" t="s">
        <v>381</v>
      </c>
      <c r="I6" s="516" t="s">
        <v>382</v>
      </c>
    </row>
    <row r="7" spans="1:9" ht="38.25" customHeight="1" x14ac:dyDescent="0.2">
      <c r="A7" s="523"/>
      <c r="B7" s="510"/>
      <c r="C7" s="510"/>
      <c r="D7" s="529"/>
      <c r="E7" s="527"/>
      <c r="F7" s="527"/>
      <c r="G7" s="531"/>
      <c r="H7" s="517"/>
      <c r="I7" s="517"/>
    </row>
    <row r="8" spans="1:9" ht="22.5" customHeight="1" thickBot="1" x14ac:dyDescent="0.25">
      <c r="A8" s="524"/>
      <c r="B8" s="525"/>
      <c r="C8" s="525"/>
      <c r="D8" s="535" t="s">
        <v>374</v>
      </c>
      <c r="E8" s="529"/>
      <c r="F8" s="529"/>
      <c r="G8" s="539" t="s">
        <v>374</v>
      </c>
      <c r="H8" s="540"/>
      <c r="I8" s="541"/>
    </row>
    <row r="9" spans="1:9" ht="15.95" customHeight="1" x14ac:dyDescent="0.2">
      <c r="A9" s="248"/>
      <c r="B9" s="509" t="s">
        <v>211</v>
      </c>
      <c r="C9" s="509"/>
      <c r="D9" s="259"/>
      <c r="E9" s="252"/>
      <c r="F9" s="245"/>
      <c r="G9" s="259"/>
      <c r="H9" s="252"/>
      <c r="I9" s="245"/>
    </row>
    <row r="10" spans="1:9" ht="15.95" customHeight="1" x14ac:dyDescent="0.25">
      <c r="A10" s="9">
        <v>1</v>
      </c>
      <c r="B10" s="500" t="s">
        <v>197</v>
      </c>
      <c r="C10" s="500"/>
      <c r="D10" s="253">
        <f>SUM(E10:F10)</f>
        <v>24948</v>
      </c>
      <c r="E10" s="253">
        <f>24223+725</f>
        <v>24948</v>
      </c>
      <c r="F10" s="201"/>
      <c r="G10" s="253">
        <f>SUM(H10:J10)</f>
        <v>37073</v>
      </c>
      <c r="H10" s="253">
        <f>24223+725+6459+5666</f>
        <v>37073</v>
      </c>
      <c r="I10" s="201"/>
    </row>
    <row r="11" spans="1:9" ht="15.95" customHeight="1" x14ac:dyDescent="0.25">
      <c r="A11" s="9">
        <v>2</v>
      </c>
      <c r="B11" s="500" t="s">
        <v>206</v>
      </c>
      <c r="C11" s="500"/>
      <c r="D11" s="253">
        <f t="shared" ref="D11:D25" si="0">SUM(E11:F11)</f>
        <v>6453</v>
      </c>
      <c r="E11" s="253">
        <v>6453</v>
      </c>
      <c r="F11" s="201"/>
      <c r="G11" s="253">
        <f>SUM(H11:J11)</f>
        <v>8018</v>
      </c>
      <c r="H11" s="253">
        <f>6453+897+668</f>
        <v>8018</v>
      </c>
      <c r="I11" s="201"/>
    </row>
    <row r="12" spans="1:9" ht="15.95" customHeight="1" x14ac:dyDescent="0.25">
      <c r="A12" s="9">
        <v>3</v>
      </c>
      <c r="B12" s="500" t="s">
        <v>207</v>
      </c>
      <c r="C12" s="500"/>
      <c r="D12" s="253">
        <f t="shared" si="0"/>
        <v>59770</v>
      </c>
      <c r="E12" s="253">
        <f>58784+586+400</f>
        <v>59770</v>
      </c>
      <c r="F12" s="201"/>
      <c r="G12" s="253">
        <f>H12+I12+J12</f>
        <v>59273</v>
      </c>
      <c r="H12" s="253">
        <f>58784+586+400+483-980</f>
        <v>59273</v>
      </c>
      <c r="I12" s="201"/>
    </row>
    <row r="13" spans="1:9" ht="15.95" customHeight="1" x14ac:dyDescent="0.25">
      <c r="A13" s="9" t="s">
        <v>54</v>
      </c>
      <c r="B13" s="500" t="s">
        <v>189</v>
      </c>
      <c r="C13" s="500"/>
      <c r="D13" s="253">
        <f t="shared" si="0"/>
        <v>0</v>
      </c>
      <c r="E13" s="265"/>
      <c r="F13" s="201"/>
      <c r="G13" s="253">
        <f t="shared" ref="G13:G19" si="1">SUM(H13:J13)</f>
        <v>0</v>
      </c>
      <c r="H13" s="265"/>
      <c r="I13" s="201"/>
    </row>
    <row r="14" spans="1:9" ht="15.95" customHeight="1" x14ac:dyDescent="0.2">
      <c r="A14" s="9" t="s">
        <v>56</v>
      </c>
      <c r="B14" s="506" t="s">
        <v>183</v>
      </c>
      <c r="C14" s="506"/>
      <c r="D14" s="253">
        <f t="shared" si="0"/>
        <v>30516</v>
      </c>
      <c r="E14" s="266">
        <f>+E15+E16+E17+E18+E19</f>
        <v>26719</v>
      </c>
      <c r="F14" s="13">
        <f>+F15+F16+F17+F18+F19</f>
        <v>3797</v>
      </c>
      <c r="G14" s="253">
        <f t="shared" si="1"/>
        <v>41399</v>
      </c>
      <c r="H14" s="266">
        <f>+H15+H16+H17+H18+H19</f>
        <v>29816</v>
      </c>
      <c r="I14" s="13">
        <f>+I15+I16+I17+I18+I19</f>
        <v>11583</v>
      </c>
    </row>
    <row r="15" spans="1:9" ht="15.95" customHeight="1" x14ac:dyDescent="0.25">
      <c r="A15" s="9" t="s">
        <v>174</v>
      </c>
      <c r="B15" s="502" t="s">
        <v>177</v>
      </c>
      <c r="C15" s="502"/>
      <c r="D15" s="253">
        <f t="shared" si="0"/>
        <v>12283</v>
      </c>
      <c r="E15" s="265">
        <v>8486</v>
      </c>
      <c r="F15" s="201">
        <f>4157-260-100</f>
        <v>3797</v>
      </c>
      <c r="G15" s="760">
        <f t="shared" si="1"/>
        <v>20679</v>
      </c>
      <c r="H15" s="265">
        <f>8486+610</f>
        <v>9096</v>
      </c>
      <c r="I15" s="201">
        <f>4157-260-100+7770+16</f>
        <v>11583</v>
      </c>
    </row>
    <row r="16" spans="1:9" ht="15.95" customHeight="1" x14ac:dyDescent="0.25">
      <c r="A16" s="9" t="s">
        <v>175</v>
      </c>
      <c r="B16" s="502" t="s">
        <v>272</v>
      </c>
      <c r="C16" s="502"/>
      <c r="D16" s="253">
        <f t="shared" si="0"/>
        <v>0</v>
      </c>
      <c r="E16" s="265"/>
      <c r="F16" s="201"/>
      <c r="G16" s="253">
        <f t="shared" si="1"/>
        <v>0</v>
      </c>
      <c r="H16" s="265"/>
      <c r="I16" s="201"/>
    </row>
    <row r="17" spans="1:9" ht="15.95" customHeight="1" x14ac:dyDescent="0.25">
      <c r="A17" s="9"/>
      <c r="B17" s="533"/>
      <c r="C17" s="534"/>
      <c r="D17" s="253">
        <f t="shared" si="0"/>
        <v>0</v>
      </c>
      <c r="E17" s="265"/>
      <c r="F17" s="201"/>
      <c r="G17" s="253">
        <f t="shared" si="1"/>
        <v>0</v>
      </c>
      <c r="H17" s="265"/>
      <c r="I17" s="201"/>
    </row>
    <row r="18" spans="1:9" ht="15.95" customHeight="1" x14ac:dyDescent="0.25">
      <c r="A18" s="9" t="s">
        <v>176</v>
      </c>
      <c r="B18" s="489" t="s">
        <v>179</v>
      </c>
      <c r="C18" s="489"/>
      <c r="D18" s="253">
        <f t="shared" si="0"/>
        <v>16270</v>
      </c>
      <c r="E18" s="265">
        <v>16270</v>
      </c>
      <c r="F18" s="201"/>
      <c r="G18" s="253">
        <f t="shared" si="1"/>
        <v>16332</v>
      </c>
      <c r="H18" s="265">
        <f>16270-1377+1439</f>
        <v>16332</v>
      </c>
      <c r="I18" s="201"/>
    </row>
    <row r="19" spans="1:9" ht="15.95" customHeight="1" x14ac:dyDescent="0.25">
      <c r="A19" s="9" t="s">
        <v>82</v>
      </c>
      <c r="B19" s="489" t="s">
        <v>357</v>
      </c>
      <c r="C19" s="504"/>
      <c r="D19" s="253">
        <f t="shared" si="0"/>
        <v>1963</v>
      </c>
      <c r="E19" s="265">
        <f>3550-1587</f>
        <v>1963</v>
      </c>
      <c r="F19" s="201"/>
      <c r="G19" s="253">
        <f t="shared" si="1"/>
        <v>4388</v>
      </c>
      <c r="H19" s="265">
        <f>3550-1587+2173+252</f>
        <v>4388</v>
      </c>
      <c r="I19" s="201"/>
    </row>
    <row r="20" spans="1:9" ht="15.95" customHeight="1" x14ac:dyDescent="0.25">
      <c r="A20" s="9"/>
      <c r="B20" s="500" t="s">
        <v>267</v>
      </c>
      <c r="C20" s="500"/>
      <c r="D20" s="253">
        <f t="shared" si="0"/>
        <v>0</v>
      </c>
      <c r="E20" s="265"/>
      <c r="F20" s="201"/>
      <c r="G20" s="13">
        <f>H20+I20+J20</f>
        <v>0</v>
      </c>
      <c r="H20" s="265"/>
      <c r="I20" s="201"/>
    </row>
    <row r="21" spans="1:9" ht="15.95" customHeight="1" x14ac:dyDescent="0.25">
      <c r="A21" s="9"/>
      <c r="B21" s="500" t="s">
        <v>349</v>
      </c>
      <c r="C21" s="500"/>
      <c r="D21" s="253">
        <f t="shared" si="0"/>
        <v>72411</v>
      </c>
      <c r="E21" s="267">
        <f>46853+6219+8070+660</f>
        <v>61802</v>
      </c>
      <c r="F21" s="201">
        <f>5237+5372</f>
        <v>10609</v>
      </c>
      <c r="G21" s="272">
        <f>H21+I21+J21</f>
        <v>30768</v>
      </c>
      <c r="H21" s="267">
        <f>46853+6219+8070+660-52588+10945</f>
        <v>20159</v>
      </c>
      <c r="I21" s="201">
        <f>5237+5372</f>
        <v>10609</v>
      </c>
    </row>
    <row r="22" spans="1:9" ht="15.95" customHeight="1" x14ac:dyDescent="0.2">
      <c r="A22" s="9" t="s">
        <v>203</v>
      </c>
      <c r="B22" s="244" t="s">
        <v>173</v>
      </c>
      <c r="C22" s="165"/>
      <c r="D22" s="13">
        <f>+D10+D11+D12+D13+D14+D21+D20</f>
        <v>194098</v>
      </c>
      <c r="E22" s="265">
        <f>+E10+E11+E12+E13+E14+E21+E20</f>
        <v>179692</v>
      </c>
      <c r="F22" s="13">
        <f>+F10+F11+F12+F13+F14+F21</f>
        <v>14406</v>
      </c>
      <c r="G22" s="13">
        <f>+G10+G11+G12+G13+G14+G21+G20</f>
        <v>176531</v>
      </c>
      <c r="H22" s="265">
        <f>+H10+H11+H12+H13+H14+H21+H20</f>
        <v>154339</v>
      </c>
      <c r="I22" s="13">
        <f>+I10+I11+I12+I13+I14+I21</f>
        <v>22192</v>
      </c>
    </row>
    <row r="23" spans="1:9" ht="15.95" customHeight="1" x14ac:dyDescent="0.25">
      <c r="A23" s="9" t="s">
        <v>57</v>
      </c>
      <c r="B23" s="500" t="s">
        <v>199</v>
      </c>
      <c r="C23" s="500"/>
      <c r="D23" s="253">
        <f t="shared" si="0"/>
        <v>3714</v>
      </c>
      <c r="E23" s="254"/>
      <c r="F23" s="201">
        <v>3714</v>
      </c>
      <c r="G23" s="13">
        <f>SUM(H23:J23)</f>
        <v>6184</v>
      </c>
      <c r="H23" s="254"/>
      <c r="I23" s="201">
        <f>3714+127+2343</f>
        <v>6184</v>
      </c>
    </row>
    <row r="24" spans="1:9" ht="15.95" customHeight="1" x14ac:dyDescent="0.25">
      <c r="A24" s="9" t="s">
        <v>58</v>
      </c>
      <c r="B24" s="500" t="s">
        <v>198</v>
      </c>
      <c r="C24" s="500"/>
      <c r="D24" s="253">
        <f t="shared" si="0"/>
        <v>19075</v>
      </c>
      <c r="E24" s="254"/>
      <c r="F24" s="201">
        <v>19075</v>
      </c>
      <c r="G24" s="13">
        <f>SUM(H24:J24)</f>
        <v>21188</v>
      </c>
      <c r="H24" s="254"/>
      <c r="I24" s="201">
        <f>19075+400+113+1260+340</f>
        <v>21188</v>
      </c>
    </row>
    <row r="25" spans="1:9" ht="15.95" customHeight="1" x14ac:dyDescent="0.25">
      <c r="A25" s="9" t="s">
        <v>60</v>
      </c>
      <c r="B25" s="500" t="s">
        <v>314</v>
      </c>
      <c r="C25" s="500"/>
      <c r="D25" s="253">
        <f t="shared" si="0"/>
        <v>3872</v>
      </c>
      <c r="E25" s="254"/>
      <c r="F25" s="201">
        <f>3156+961-245</f>
        <v>3872</v>
      </c>
      <c r="G25" s="13">
        <f>SUM(H25:J25)</f>
        <v>17329</v>
      </c>
      <c r="H25" s="254"/>
      <c r="I25" s="201">
        <f>3156+961-245+12956+501</f>
        <v>17329</v>
      </c>
    </row>
    <row r="26" spans="1:9" ht="15.95" customHeight="1" x14ac:dyDescent="0.25">
      <c r="A26" s="9" t="s">
        <v>204</v>
      </c>
      <c r="B26" s="500" t="s">
        <v>268</v>
      </c>
      <c r="C26" s="500"/>
      <c r="D26" s="272">
        <f>+D23+D24+D25</f>
        <v>26661</v>
      </c>
      <c r="E26" s="254"/>
      <c r="F26" s="201">
        <f>SUM(F23:F25)</f>
        <v>26661</v>
      </c>
      <c r="G26" s="272">
        <f>+G23+G24+G25</f>
        <v>44701</v>
      </c>
      <c r="H26" s="254"/>
      <c r="I26" s="201">
        <f>SUM(I23:I25)</f>
        <v>44701</v>
      </c>
    </row>
    <row r="27" spans="1:9" ht="15.95" customHeight="1" x14ac:dyDescent="0.25">
      <c r="A27" s="9" t="s">
        <v>205</v>
      </c>
      <c r="B27" s="500"/>
      <c r="C27" s="500"/>
      <c r="D27" s="272"/>
      <c r="E27" s="254"/>
      <c r="F27" s="201"/>
      <c r="G27" s="272"/>
      <c r="H27" s="254"/>
      <c r="I27" s="201"/>
    </row>
    <row r="28" spans="1:9" ht="15.95" customHeight="1" x14ac:dyDescent="0.25">
      <c r="A28" s="9" t="s">
        <v>190</v>
      </c>
      <c r="B28" s="542"/>
      <c r="C28" s="542"/>
      <c r="D28" s="270"/>
      <c r="E28" s="255"/>
      <c r="F28" s="201">
        <f>+D28+E28</f>
        <v>0</v>
      </c>
      <c r="G28" s="270"/>
      <c r="H28" s="255"/>
      <c r="I28" s="201">
        <f>+G28+H28</f>
        <v>0</v>
      </c>
    </row>
    <row r="29" spans="1:9" ht="15.95" customHeight="1" x14ac:dyDescent="0.25">
      <c r="A29" s="9" t="s">
        <v>191</v>
      </c>
      <c r="B29" s="542"/>
      <c r="C29" s="542"/>
      <c r="D29" s="270"/>
      <c r="E29" s="297"/>
      <c r="F29" s="201">
        <f>+D29+E29</f>
        <v>0</v>
      </c>
      <c r="G29" s="270"/>
      <c r="H29" s="297"/>
      <c r="I29" s="201">
        <f>+G29+H29</f>
        <v>0</v>
      </c>
    </row>
    <row r="30" spans="1:9" ht="15.95" customHeight="1" x14ac:dyDescent="0.3">
      <c r="A30" s="171" t="s">
        <v>181</v>
      </c>
      <c r="B30" s="497" t="s">
        <v>182</v>
      </c>
      <c r="C30" s="497"/>
      <c r="D30" s="295">
        <f t="shared" ref="D30:I30" si="2">+D22+D26+D27+D28+D29</f>
        <v>220759</v>
      </c>
      <c r="E30" s="271">
        <f t="shared" si="2"/>
        <v>179692</v>
      </c>
      <c r="F30" s="271">
        <f t="shared" si="2"/>
        <v>41067</v>
      </c>
      <c r="G30" s="295">
        <f t="shared" si="2"/>
        <v>221232</v>
      </c>
      <c r="H30" s="271">
        <f t="shared" si="2"/>
        <v>154339</v>
      </c>
      <c r="I30" s="271">
        <f t="shared" si="2"/>
        <v>66893</v>
      </c>
    </row>
    <row r="31" spans="1:9" ht="15.95" customHeight="1" x14ac:dyDescent="0.25">
      <c r="A31" s="18"/>
      <c r="B31" s="496"/>
      <c r="C31" s="496"/>
      <c r="D31" s="296"/>
      <c r="E31" s="19"/>
      <c r="F31" s="257"/>
      <c r="G31" s="296"/>
      <c r="H31" s="19"/>
      <c r="I31" s="257"/>
    </row>
    <row r="32" spans="1:9" ht="15.95" customHeight="1" x14ac:dyDescent="0.25">
      <c r="A32" s="9"/>
      <c r="B32" s="495" t="s">
        <v>212</v>
      </c>
      <c r="C32" s="495"/>
      <c r="D32" s="272"/>
      <c r="E32" s="298"/>
      <c r="F32" s="201"/>
      <c r="G32" s="272"/>
      <c r="H32" s="298"/>
      <c r="I32" s="201"/>
    </row>
    <row r="33" spans="1:9" ht="15.95" customHeight="1" x14ac:dyDescent="0.25">
      <c r="A33" s="9" t="s">
        <v>30</v>
      </c>
      <c r="B33" s="536" t="s">
        <v>265</v>
      </c>
      <c r="C33" s="536"/>
      <c r="D33" s="273">
        <f>SUM(E33:F33)</f>
        <v>14367</v>
      </c>
      <c r="E33" s="274">
        <f>2076+11901+100+290</f>
        <v>14367</v>
      </c>
      <c r="F33" s="275"/>
      <c r="G33" s="273">
        <f t="shared" ref="G33:G41" si="3">SUM(H33:J33)</f>
        <v>30867</v>
      </c>
      <c r="H33" s="274">
        <f>2076+11901+100+290+540+15960</f>
        <v>30867</v>
      </c>
      <c r="I33" s="275"/>
    </row>
    <row r="34" spans="1:9" ht="15.95" customHeight="1" x14ac:dyDescent="0.25">
      <c r="A34" s="9" t="s">
        <v>52</v>
      </c>
      <c r="B34" s="536" t="s">
        <v>378</v>
      </c>
      <c r="C34" s="536"/>
      <c r="D34" s="273">
        <f t="shared" ref="D34:D45" si="4">SUM(E34:F34)</f>
        <v>41765</v>
      </c>
      <c r="E34" s="274">
        <f>SUM(E35:E37)</f>
        <v>41765</v>
      </c>
      <c r="F34" s="274">
        <f>SUM(F35:F37)</f>
        <v>0</v>
      </c>
      <c r="G34" s="273">
        <f t="shared" si="3"/>
        <v>47214</v>
      </c>
      <c r="H34" s="274">
        <f>SUM(H35:H37)</f>
        <v>47214</v>
      </c>
      <c r="I34" s="274">
        <f>SUM(I35:I37)</f>
        <v>0</v>
      </c>
    </row>
    <row r="35" spans="1:9" ht="15.95" customHeight="1" x14ac:dyDescent="0.25">
      <c r="A35" s="9"/>
      <c r="B35" s="208" t="s">
        <v>84</v>
      </c>
      <c r="C35" s="145" t="s">
        <v>185</v>
      </c>
      <c r="D35" s="273">
        <f t="shared" si="4"/>
        <v>36715</v>
      </c>
      <c r="E35" s="274">
        <f>41765-4500-550</f>
        <v>36715</v>
      </c>
      <c r="F35" s="275"/>
      <c r="G35" s="273">
        <f t="shared" si="3"/>
        <v>39927</v>
      </c>
      <c r="H35" s="274">
        <f>41765-4500-550+3212</f>
        <v>39927</v>
      </c>
      <c r="I35" s="275"/>
    </row>
    <row r="36" spans="1:9" ht="15.95" customHeight="1" x14ac:dyDescent="0.25">
      <c r="A36" s="9"/>
      <c r="B36" s="208" t="s">
        <v>85</v>
      </c>
      <c r="C36" s="145" t="s">
        <v>186</v>
      </c>
      <c r="D36" s="273">
        <f t="shared" si="4"/>
        <v>4500</v>
      </c>
      <c r="E36" s="274">
        <v>4500</v>
      </c>
      <c r="F36" s="275"/>
      <c r="G36" s="273">
        <f t="shared" si="3"/>
        <v>6120</v>
      </c>
      <c r="H36" s="274">
        <v>6120</v>
      </c>
      <c r="I36" s="275"/>
    </row>
    <row r="37" spans="1:9" ht="15.95" customHeight="1" x14ac:dyDescent="0.25">
      <c r="A37" s="9"/>
      <c r="B37" s="208" t="s">
        <v>86</v>
      </c>
      <c r="C37" s="145" t="s">
        <v>187</v>
      </c>
      <c r="D37" s="273">
        <f t="shared" si="4"/>
        <v>550</v>
      </c>
      <c r="E37" s="274">
        <v>550</v>
      </c>
      <c r="F37" s="275"/>
      <c r="G37" s="273">
        <f t="shared" si="3"/>
        <v>1167</v>
      </c>
      <c r="H37" s="274">
        <v>1167</v>
      </c>
      <c r="I37" s="275"/>
    </row>
    <row r="38" spans="1:9" ht="15.95" customHeight="1" x14ac:dyDescent="0.25">
      <c r="A38" s="9" t="s">
        <v>53</v>
      </c>
      <c r="B38" s="536" t="s">
        <v>152</v>
      </c>
      <c r="C38" s="536"/>
      <c r="D38" s="273">
        <f t="shared" si="4"/>
        <v>179325</v>
      </c>
      <c r="E38" s="274">
        <f>SUM(E39:E41)</f>
        <v>179325</v>
      </c>
      <c r="F38" s="275">
        <f>SUM(F39:F41)</f>
        <v>0</v>
      </c>
      <c r="G38" s="276">
        <f t="shared" si="3"/>
        <v>155629</v>
      </c>
      <c r="H38" s="274">
        <f>SUM(H39:H41)</f>
        <v>155629</v>
      </c>
      <c r="I38" s="275">
        <f>SUM(I39:I41)</f>
        <v>0</v>
      </c>
    </row>
    <row r="39" spans="1:9" ht="15.95" customHeight="1" x14ac:dyDescent="0.25">
      <c r="A39" s="9"/>
      <c r="B39" s="209" t="s">
        <v>87</v>
      </c>
      <c r="C39" s="207" t="s">
        <v>269</v>
      </c>
      <c r="D39" s="273">
        <f t="shared" si="4"/>
        <v>179325</v>
      </c>
      <c r="E39" s="274">
        <f>173719+4676+300+629+1</f>
        <v>179325</v>
      </c>
      <c r="F39" s="275"/>
      <c r="G39" s="276">
        <f t="shared" si="3"/>
        <v>155629</v>
      </c>
      <c r="H39" s="274">
        <f>173719+4676+300+629+1-46853+12956+583+9618</f>
        <v>155629</v>
      </c>
      <c r="I39" s="275"/>
    </row>
    <row r="40" spans="1:9" ht="15.95" customHeight="1" x14ac:dyDescent="0.25">
      <c r="A40" s="9"/>
      <c r="B40" s="209" t="s">
        <v>88</v>
      </c>
      <c r="C40" s="207" t="s">
        <v>90</v>
      </c>
      <c r="D40" s="273">
        <f t="shared" si="4"/>
        <v>0</v>
      </c>
      <c r="E40" s="274"/>
      <c r="F40" s="275"/>
      <c r="G40" s="276">
        <f t="shared" si="3"/>
        <v>0</v>
      </c>
      <c r="H40" s="274"/>
      <c r="I40" s="275"/>
    </row>
    <row r="41" spans="1:9" ht="15.95" customHeight="1" x14ac:dyDescent="0.25">
      <c r="A41" s="9"/>
      <c r="B41" s="209" t="s">
        <v>89</v>
      </c>
      <c r="C41" s="207" t="s">
        <v>271</v>
      </c>
      <c r="D41" s="273">
        <f t="shared" si="4"/>
        <v>0</v>
      </c>
      <c r="E41" s="274"/>
      <c r="F41" s="275"/>
      <c r="G41" s="276">
        <f t="shared" si="3"/>
        <v>0</v>
      </c>
      <c r="H41" s="274"/>
      <c r="I41" s="275"/>
    </row>
    <row r="42" spans="1:9" ht="15.95" customHeight="1" x14ac:dyDescent="0.25">
      <c r="A42" s="9" t="s">
        <v>54</v>
      </c>
      <c r="B42" s="536" t="s">
        <v>153</v>
      </c>
      <c r="C42" s="536"/>
      <c r="D42" s="273">
        <f t="shared" si="4"/>
        <v>16423</v>
      </c>
      <c r="E42" s="274">
        <f>SUM(E43:E46)</f>
        <v>9074</v>
      </c>
      <c r="F42" s="274">
        <f>SUM(F43:F46)</f>
        <v>7349</v>
      </c>
      <c r="G42" s="276">
        <f>SUM(G43:G46)</f>
        <v>24357</v>
      </c>
      <c r="H42" s="274">
        <f>SUM(H43:H46)</f>
        <v>17004</v>
      </c>
      <c r="I42" s="274">
        <f>SUM(I43:I46)</f>
        <v>7353</v>
      </c>
    </row>
    <row r="43" spans="1:9" ht="15.95" customHeight="1" x14ac:dyDescent="0.25">
      <c r="A43" s="9"/>
      <c r="B43" s="209" t="s">
        <v>91</v>
      </c>
      <c r="C43" s="207" t="s">
        <v>95</v>
      </c>
      <c r="D43" s="273">
        <f t="shared" si="4"/>
        <v>15193</v>
      </c>
      <c r="E43" s="274">
        <v>7844</v>
      </c>
      <c r="F43" s="275">
        <f>5414+1935</f>
        <v>7349</v>
      </c>
      <c r="G43" s="276">
        <f>SUM(H43:J43)</f>
        <v>24357</v>
      </c>
      <c r="H43" s="274">
        <f>7844+557+10+5579+741+2273</f>
        <v>17004</v>
      </c>
      <c r="I43" s="275">
        <f>5414+1935+4</f>
        <v>7353</v>
      </c>
    </row>
    <row r="44" spans="1:9" ht="15.95" customHeight="1" x14ac:dyDescent="0.25">
      <c r="A44" s="9"/>
      <c r="B44" s="209" t="s">
        <v>92</v>
      </c>
      <c r="C44" s="207" t="s">
        <v>96</v>
      </c>
      <c r="D44" s="273">
        <f t="shared" si="4"/>
        <v>0</v>
      </c>
      <c r="E44" s="274"/>
      <c r="F44" s="275"/>
      <c r="G44" s="276"/>
      <c r="H44" s="274"/>
      <c r="I44" s="275"/>
    </row>
    <row r="45" spans="1:9" ht="15.95" customHeight="1" x14ac:dyDescent="0.25">
      <c r="A45" s="9"/>
      <c r="B45" s="209" t="s">
        <v>93</v>
      </c>
      <c r="C45" s="207" t="s">
        <v>315</v>
      </c>
      <c r="D45" s="273">
        <f t="shared" si="4"/>
        <v>1230</v>
      </c>
      <c r="E45" s="274">
        <v>1230</v>
      </c>
      <c r="F45" s="275"/>
      <c r="G45" s="276">
        <f>J45+I45+H45</f>
        <v>0</v>
      </c>
      <c r="H45" s="274"/>
      <c r="I45" s="275"/>
    </row>
    <row r="46" spans="1:9" ht="15.95" customHeight="1" x14ac:dyDescent="0.25">
      <c r="A46" s="9"/>
      <c r="B46" s="209" t="s">
        <v>94</v>
      </c>
      <c r="C46" s="207" t="s">
        <v>97</v>
      </c>
      <c r="D46" s="276"/>
      <c r="E46" s="274"/>
      <c r="F46" s="275">
        <f>SUM(D46:D46)</f>
        <v>0</v>
      </c>
      <c r="G46" s="276"/>
      <c r="H46" s="274"/>
      <c r="I46" s="275">
        <f>SUM(G46:G46)</f>
        <v>0</v>
      </c>
    </row>
    <row r="47" spans="1:9" s="211" customFormat="1" ht="15.95" customHeight="1" x14ac:dyDescent="0.25">
      <c r="A47" s="210" t="s">
        <v>203</v>
      </c>
      <c r="B47" s="532" t="s">
        <v>98</v>
      </c>
      <c r="C47" s="532"/>
      <c r="D47" s="276">
        <f t="shared" ref="D47:I47" si="5">+D33+D34+D38+D42</f>
        <v>251880</v>
      </c>
      <c r="E47" s="276">
        <f t="shared" si="5"/>
        <v>244531</v>
      </c>
      <c r="F47" s="276">
        <f t="shared" si="5"/>
        <v>7349</v>
      </c>
      <c r="G47" s="276">
        <f t="shared" si="5"/>
        <v>258067</v>
      </c>
      <c r="H47" s="276">
        <f t="shared" si="5"/>
        <v>250714</v>
      </c>
      <c r="I47" s="276">
        <f t="shared" si="5"/>
        <v>7353</v>
      </c>
    </row>
    <row r="48" spans="1:9" ht="15.95" customHeight="1" x14ac:dyDescent="0.25">
      <c r="A48" s="9" t="s">
        <v>56</v>
      </c>
      <c r="B48" s="536" t="s">
        <v>200</v>
      </c>
      <c r="C48" s="536"/>
      <c r="D48" s="274">
        <f t="shared" ref="D48:I48" si="6">SUM(D49:D50)</f>
        <v>15141</v>
      </c>
      <c r="E48" s="274">
        <f t="shared" si="6"/>
        <v>0</v>
      </c>
      <c r="F48" s="274">
        <f t="shared" si="6"/>
        <v>15141</v>
      </c>
      <c r="G48" s="274">
        <f t="shared" si="6"/>
        <v>14381</v>
      </c>
      <c r="H48" s="274">
        <f t="shared" si="6"/>
        <v>0</v>
      </c>
      <c r="I48" s="274">
        <f t="shared" si="6"/>
        <v>14381</v>
      </c>
    </row>
    <row r="49" spans="1:9" ht="15.95" customHeight="1" x14ac:dyDescent="0.25">
      <c r="A49" s="9"/>
      <c r="B49" s="209" t="s">
        <v>99</v>
      </c>
      <c r="C49" s="207" t="s">
        <v>101</v>
      </c>
      <c r="D49" s="276">
        <f>+E49+F49</f>
        <v>5372</v>
      </c>
      <c r="E49" s="274"/>
      <c r="F49" s="275">
        <v>5372</v>
      </c>
      <c r="G49" s="276">
        <f>+H49+I49+J49</f>
        <v>8022</v>
      </c>
      <c r="H49" s="274"/>
      <c r="I49" s="275">
        <f>5372+2650</f>
        <v>8022</v>
      </c>
    </row>
    <row r="50" spans="1:9" ht="15.95" customHeight="1" x14ac:dyDescent="0.25">
      <c r="A50" s="9"/>
      <c r="B50" s="209" t="s">
        <v>100</v>
      </c>
      <c r="C50" s="207" t="s">
        <v>1</v>
      </c>
      <c r="D50" s="276">
        <f>+E50+F50</f>
        <v>9769</v>
      </c>
      <c r="E50" s="274"/>
      <c r="F50" s="275">
        <v>9769</v>
      </c>
      <c r="G50" s="276">
        <f>+H50+I50+J50</f>
        <v>6359</v>
      </c>
      <c r="H50" s="274"/>
      <c r="I50" s="275">
        <f>9769-3410</f>
        <v>6359</v>
      </c>
    </row>
    <row r="51" spans="1:9" ht="15.95" customHeight="1" x14ac:dyDescent="0.25">
      <c r="A51" s="9" t="s">
        <v>57</v>
      </c>
      <c r="B51" s="536" t="s">
        <v>155</v>
      </c>
      <c r="C51" s="536"/>
      <c r="D51" s="276">
        <f>SUM(D52:D53)</f>
        <v>0</v>
      </c>
      <c r="E51" s="274">
        <f>SUM(E52:E53)</f>
        <v>0</v>
      </c>
      <c r="F51" s="275">
        <f t="shared" ref="F51:F57" si="7">SUM(D51:D51)</f>
        <v>0</v>
      </c>
      <c r="G51" s="276">
        <f>SUM(G52:G53)</f>
        <v>0</v>
      </c>
      <c r="H51" s="274">
        <f>SUM(H52:H53)</f>
        <v>0</v>
      </c>
      <c r="I51" s="275">
        <f>SUM(G51:G51)</f>
        <v>0</v>
      </c>
    </row>
    <row r="52" spans="1:9" ht="15.95" customHeight="1" x14ac:dyDescent="0.25">
      <c r="A52" s="9"/>
      <c r="B52" s="209" t="s">
        <v>102</v>
      </c>
      <c r="C52" s="207" t="s">
        <v>104</v>
      </c>
      <c r="D52" s="276"/>
      <c r="E52" s="274"/>
      <c r="F52" s="275">
        <f t="shared" si="7"/>
        <v>0</v>
      </c>
      <c r="G52" s="276"/>
      <c r="H52" s="274"/>
      <c r="I52" s="275">
        <f>SUM(G52:G52)</f>
        <v>0</v>
      </c>
    </row>
    <row r="53" spans="1:9" ht="15.95" customHeight="1" x14ac:dyDescent="0.25">
      <c r="A53" s="9"/>
      <c r="B53" s="209" t="s">
        <v>103</v>
      </c>
      <c r="C53" s="207" t="s">
        <v>105</v>
      </c>
      <c r="D53" s="276">
        <v>0</v>
      </c>
      <c r="E53" s="274"/>
      <c r="F53" s="275">
        <f t="shared" si="7"/>
        <v>0</v>
      </c>
      <c r="G53" s="276">
        <v>0</v>
      </c>
      <c r="H53" s="274"/>
      <c r="I53" s="275">
        <f>SUM(G53:G53)</f>
        <v>0</v>
      </c>
    </row>
    <row r="54" spans="1:9" ht="15.95" customHeight="1" x14ac:dyDescent="0.25">
      <c r="A54" s="9" t="s">
        <v>58</v>
      </c>
      <c r="B54" s="536" t="s">
        <v>156</v>
      </c>
      <c r="C54" s="536"/>
      <c r="D54" s="276">
        <f t="shared" ref="D54:I54" si="8">SUM(D55:D57)</f>
        <v>24113</v>
      </c>
      <c r="E54" s="274">
        <f t="shared" si="8"/>
        <v>0</v>
      </c>
      <c r="F54" s="275">
        <f t="shared" si="8"/>
        <v>24113</v>
      </c>
      <c r="G54" s="276">
        <f t="shared" si="8"/>
        <v>28177</v>
      </c>
      <c r="H54" s="274">
        <f t="shared" si="8"/>
        <v>0</v>
      </c>
      <c r="I54" s="275">
        <f t="shared" si="8"/>
        <v>28177</v>
      </c>
    </row>
    <row r="55" spans="1:9" ht="15.95" customHeight="1" x14ac:dyDescent="0.25">
      <c r="A55" s="9"/>
      <c r="B55" s="209" t="s">
        <v>106</v>
      </c>
      <c r="C55" s="207" t="s">
        <v>109</v>
      </c>
      <c r="D55" s="276">
        <f>+E55+F55</f>
        <v>24113</v>
      </c>
      <c r="E55" s="274"/>
      <c r="F55" s="275">
        <f>23555+558</f>
        <v>24113</v>
      </c>
      <c r="G55" s="276">
        <f>+H55+I55+J55</f>
        <v>27981</v>
      </c>
      <c r="H55" s="274"/>
      <c r="I55" s="275">
        <f>23555+558+99+3615+154</f>
        <v>27981</v>
      </c>
    </row>
    <row r="56" spans="1:9" ht="15.95" customHeight="1" x14ac:dyDescent="0.25">
      <c r="A56" s="9"/>
      <c r="B56" s="209" t="s">
        <v>107</v>
      </c>
      <c r="C56" s="207" t="s">
        <v>393</v>
      </c>
      <c r="D56" s="276"/>
      <c r="E56" s="274"/>
      <c r="F56" s="275">
        <f t="shared" si="7"/>
        <v>0</v>
      </c>
      <c r="G56" s="276">
        <v>196</v>
      </c>
      <c r="H56" s="274"/>
      <c r="I56" s="275">
        <v>196</v>
      </c>
    </row>
    <row r="57" spans="1:9" ht="15.95" customHeight="1" x14ac:dyDescent="0.25">
      <c r="A57" s="9"/>
      <c r="B57" s="209" t="s">
        <v>108</v>
      </c>
      <c r="C57" s="207" t="s">
        <v>110</v>
      </c>
      <c r="D57" s="276"/>
      <c r="E57" s="274"/>
      <c r="F57" s="275">
        <f t="shared" si="7"/>
        <v>0</v>
      </c>
      <c r="G57" s="276"/>
      <c r="H57" s="274"/>
      <c r="I57" s="275">
        <f>SUM(G57:G57)</f>
        <v>0</v>
      </c>
    </row>
    <row r="58" spans="1:9" s="211" customFormat="1" ht="15.95" customHeight="1" x14ac:dyDescent="0.25">
      <c r="A58" s="210" t="s">
        <v>204</v>
      </c>
      <c r="B58" s="538" t="s">
        <v>247</v>
      </c>
      <c r="C58" s="538"/>
      <c r="D58" s="276">
        <f t="shared" ref="D58:I58" si="9">+D48+D51+D54</f>
        <v>39254</v>
      </c>
      <c r="E58" s="280">
        <f t="shared" si="9"/>
        <v>0</v>
      </c>
      <c r="F58" s="276">
        <f t="shared" si="9"/>
        <v>39254</v>
      </c>
      <c r="G58" s="276">
        <f t="shared" si="9"/>
        <v>42558</v>
      </c>
      <c r="H58" s="280">
        <f t="shared" si="9"/>
        <v>0</v>
      </c>
      <c r="I58" s="276">
        <f t="shared" si="9"/>
        <v>42558</v>
      </c>
    </row>
    <row r="59" spans="1:9" s="211" customFormat="1" ht="15.95" customHeight="1" x14ac:dyDescent="0.25">
      <c r="A59" s="210" t="s">
        <v>205</v>
      </c>
      <c r="B59" s="532" t="s">
        <v>157</v>
      </c>
      <c r="C59" s="532"/>
      <c r="D59" s="282"/>
      <c r="E59" s="277"/>
      <c r="F59" s="278"/>
      <c r="G59" s="282"/>
      <c r="H59" s="277"/>
      <c r="I59" s="278"/>
    </row>
    <row r="60" spans="1:9" s="211" customFormat="1" ht="15.95" customHeight="1" x14ac:dyDescent="0.25">
      <c r="A60" s="210" t="s">
        <v>190</v>
      </c>
      <c r="B60" s="532" t="s">
        <v>22</v>
      </c>
      <c r="C60" s="532"/>
      <c r="D60" s="282"/>
      <c r="E60" s="277"/>
      <c r="F60" s="278"/>
      <c r="G60" s="282"/>
      <c r="H60" s="277"/>
      <c r="I60" s="278"/>
    </row>
    <row r="61" spans="1:9" s="172" customFormat="1" ht="15.95" customHeight="1" x14ac:dyDescent="0.3">
      <c r="A61" s="171" t="s">
        <v>158</v>
      </c>
      <c r="B61" s="484" t="s">
        <v>159</v>
      </c>
      <c r="C61" s="484"/>
      <c r="D61" s="279">
        <f t="shared" ref="D61:I61" si="10">+D47+D58+D59+D60</f>
        <v>291134</v>
      </c>
      <c r="E61" s="281">
        <f t="shared" si="10"/>
        <v>244531</v>
      </c>
      <c r="F61" s="279">
        <f t="shared" si="10"/>
        <v>46603</v>
      </c>
      <c r="G61" s="279">
        <f t="shared" si="10"/>
        <v>300625</v>
      </c>
      <c r="H61" s="281">
        <f t="shared" si="10"/>
        <v>250714</v>
      </c>
      <c r="I61" s="279">
        <f t="shared" si="10"/>
        <v>49911</v>
      </c>
    </row>
    <row r="62" spans="1:9" s="172" customFormat="1" ht="15.95" customHeight="1" x14ac:dyDescent="0.3">
      <c r="A62" s="171"/>
      <c r="B62" s="484" t="s">
        <v>160</v>
      </c>
      <c r="C62" s="484"/>
      <c r="D62" s="271">
        <f t="shared" ref="D62:I62" si="11">+D30-D61</f>
        <v>-70375</v>
      </c>
      <c r="E62" s="268">
        <f t="shared" si="11"/>
        <v>-64839</v>
      </c>
      <c r="F62" s="271">
        <f t="shared" si="11"/>
        <v>-5536</v>
      </c>
      <c r="G62" s="271">
        <f t="shared" si="11"/>
        <v>-79393</v>
      </c>
      <c r="H62" s="268">
        <f t="shared" si="11"/>
        <v>-96375</v>
      </c>
      <c r="I62" s="271">
        <f t="shared" si="11"/>
        <v>16982</v>
      </c>
    </row>
    <row r="63" spans="1:9" s="172" customFormat="1" ht="15.95" customHeight="1" x14ac:dyDescent="0.3">
      <c r="A63" s="171"/>
      <c r="B63" s="532" t="s">
        <v>322</v>
      </c>
      <c r="C63" s="532"/>
      <c r="D63" s="271"/>
      <c r="E63" s="271"/>
      <c r="F63" s="271"/>
      <c r="G63" s="271"/>
      <c r="H63" s="271"/>
      <c r="I63" s="271"/>
    </row>
    <row r="64" spans="1:9" ht="15.95" customHeight="1" x14ac:dyDescent="0.25">
      <c r="A64" s="210" t="s">
        <v>191</v>
      </c>
      <c r="B64" s="532" t="s">
        <v>161</v>
      </c>
      <c r="C64" s="532"/>
      <c r="D64" s="272">
        <f>+E64+F64</f>
        <v>23072</v>
      </c>
      <c r="E64" s="272">
        <f>SUM(E65:E66)</f>
        <v>23072</v>
      </c>
      <c r="F64" s="272">
        <f>SUM(F65:F66)</f>
        <v>0</v>
      </c>
      <c r="G64" s="272">
        <f>+H64+I64</f>
        <v>22993</v>
      </c>
      <c r="H64" s="272">
        <f>SUM(H65:H66)</f>
        <v>22993</v>
      </c>
      <c r="I64" s="272">
        <f>SUM(I65:I66)</f>
        <v>0</v>
      </c>
    </row>
    <row r="65" spans="1:9" s="172" customFormat="1" ht="15.95" customHeight="1" x14ac:dyDescent="0.3">
      <c r="A65" s="171"/>
      <c r="B65" s="246" t="s">
        <v>30</v>
      </c>
      <c r="C65" s="207" t="s">
        <v>111</v>
      </c>
      <c r="D65" s="272">
        <f>+E65+F65</f>
        <v>23072</v>
      </c>
      <c r="E65" s="267">
        <v>23072</v>
      </c>
      <c r="F65" s="247"/>
      <c r="G65" s="272">
        <f>+H65+I65</f>
        <v>22993</v>
      </c>
      <c r="H65" s="267">
        <f>23072-79</f>
        <v>22993</v>
      </c>
      <c r="I65" s="247"/>
    </row>
    <row r="66" spans="1:9" s="172" customFormat="1" ht="15.95" customHeight="1" x14ac:dyDescent="0.3">
      <c r="A66" s="171"/>
      <c r="B66" s="246" t="s">
        <v>52</v>
      </c>
      <c r="C66" s="207" t="s">
        <v>112</v>
      </c>
      <c r="D66" s="283"/>
      <c r="E66" s="268"/>
      <c r="F66" s="201"/>
      <c r="G66" s="283"/>
      <c r="H66" s="268"/>
      <c r="I66" s="201"/>
    </row>
    <row r="67" spans="1:9" s="172" customFormat="1" ht="39.75" customHeight="1" x14ac:dyDescent="0.3">
      <c r="A67" s="171" t="s">
        <v>162</v>
      </c>
      <c r="B67" s="497" t="s">
        <v>166</v>
      </c>
      <c r="C67" s="497"/>
      <c r="D67" s="271">
        <f>+E67+F67</f>
        <v>23072</v>
      </c>
      <c r="E67" s="268">
        <f>+E65</f>
        <v>23072</v>
      </c>
      <c r="F67" s="271">
        <f>+F64</f>
        <v>0</v>
      </c>
      <c r="G67" s="271">
        <f>+H67+I67</f>
        <v>22993</v>
      </c>
      <c r="H67" s="268">
        <f>+H65</f>
        <v>22993</v>
      </c>
      <c r="I67" s="271">
        <f>+I64</f>
        <v>0</v>
      </c>
    </row>
    <row r="68" spans="1:9" s="172" customFormat="1" ht="15.95" customHeight="1" x14ac:dyDescent="0.3">
      <c r="A68" s="9" t="s">
        <v>192</v>
      </c>
      <c r="B68" s="490" t="s">
        <v>370</v>
      </c>
      <c r="C68" s="490"/>
      <c r="D68" s="271"/>
      <c r="E68" s="256"/>
      <c r="F68" s="202">
        <f t="shared" ref="F68:F80" si="12">SUM(D68:E68)</f>
        <v>0</v>
      </c>
      <c r="G68" s="271">
        <v>4559</v>
      </c>
      <c r="H68" s="256">
        <v>4559</v>
      </c>
      <c r="I68" s="202"/>
    </row>
    <row r="69" spans="1:9" s="172" customFormat="1" ht="15.95" customHeight="1" x14ac:dyDescent="0.3">
      <c r="A69" s="9" t="s">
        <v>193</v>
      </c>
      <c r="B69" s="490" t="s">
        <v>164</v>
      </c>
      <c r="C69" s="490"/>
      <c r="D69" s="271">
        <f>SUM(D70:D73)</f>
        <v>0</v>
      </c>
      <c r="E69" s="256"/>
      <c r="F69" s="202">
        <f t="shared" si="12"/>
        <v>0</v>
      </c>
      <c r="G69" s="271">
        <f>SUM(G70:G73)</f>
        <v>0</v>
      </c>
      <c r="H69" s="256"/>
      <c r="I69" s="202">
        <f>SUM(G69:H69)</f>
        <v>0</v>
      </c>
    </row>
    <row r="70" spans="1:9" s="172" customFormat="1" ht="15.95" customHeight="1" x14ac:dyDescent="0.3">
      <c r="A70" s="9"/>
      <c r="B70" s="209" t="s">
        <v>30</v>
      </c>
      <c r="C70" s="207" t="s">
        <v>113</v>
      </c>
      <c r="D70" s="283"/>
      <c r="E70" s="258"/>
      <c r="F70" s="247">
        <f t="shared" si="12"/>
        <v>0</v>
      </c>
      <c r="G70" s="283"/>
      <c r="H70" s="258"/>
      <c r="I70" s="247">
        <f>SUM(G70:H70)</f>
        <v>0</v>
      </c>
    </row>
    <row r="71" spans="1:9" s="172" customFormat="1" ht="15.95" customHeight="1" x14ac:dyDescent="0.3">
      <c r="A71" s="9"/>
      <c r="B71" s="209" t="s">
        <v>52</v>
      </c>
      <c r="C71" s="207" t="s">
        <v>114</v>
      </c>
      <c r="D71" s="271"/>
      <c r="E71" s="256"/>
      <c r="F71" s="202">
        <f t="shared" si="12"/>
        <v>0</v>
      </c>
      <c r="G71" s="271"/>
      <c r="H71" s="256"/>
      <c r="I71" s="202">
        <f>SUM(G71:H71)</f>
        <v>0</v>
      </c>
    </row>
    <row r="72" spans="1:9" s="172" customFormat="1" ht="15.95" customHeight="1" x14ac:dyDescent="0.3">
      <c r="A72" s="9"/>
      <c r="B72" s="209" t="s">
        <v>53</v>
      </c>
      <c r="C72" s="207" t="s">
        <v>263</v>
      </c>
      <c r="D72" s="283"/>
      <c r="E72" s="256"/>
      <c r="F72" s="202"/>
      <c r="G72" s="283"/>
      <c r="H72" s="256"/>
      <c r="I72" s="202"/>
    </row>
    <row r="73" spans="1:9" s="172" customFormat="1" ht="15.95" customHeight="1" x14ac:dyDescent="0.3">
      <c r="A73" s="9"/>
      <c r="B73" s="209" t="s">
        <v>54</v>
      </c>
      <c r="C73" s="207" t="s">
        <v>264</v>
      </c>
      <c r="D73" s="283"/>
      <c r="E73" s="256"/>
      <c r="F73" s="202"/>
      <c r="G73" s="283"/>
      <c r="H73" s="256"/>
      <c r="I73" s="202"/>
    </row>
    <row r="74" spans="1:9" s="172" customFormat="1" ht="33" customHeight="1" x14ac:dyDescent="0.3">
      <c r="A74" s="171" t="s">
        <v>165</v>
      </c>
      <c r="B74" s="537" t="s">
        <v>167</v>
      </c>
      <c r="C74" s="537"/>
      <c r="D74" s="271">
        <f>+D68+D69</f>
        <v>0</v>
      </c>
      <c r="E74" s="256"/>
      <c r="F74" s="202">
        <f t="shared" si="12"/>
        <v>0</v>
      </c>
      <c r="G74" s="271">
        <f>+G68+G69</f>
        <v>4559</v>
      </c>
      <c r="H74" s="256">
        <v>4559</v>
      </c>
      <c r="I74" s="202"/>
    </row>
    <row r="75" spans="1:9" s="172" customFormat="1" ht="15.95" customHeight="1" x14ac:dyDescent="0.3">
      <c r="A75" s="171" t="s">
        <v>168</v>
      </c>
      <c r="B75" s="484" t="s">
        <v>169</v>
      </c>
      <c r="C75" s="484"/>
      <c r="D75" s="271">
        <f t="shared" ref="D75:I75" si="13">+D67+D74</f>
        <v>23072</v>
      </c>
      <c r="E75" s="256">
        <f t="shared" si="13"/>
        <v>23072</v>
      </c>
      <c r="F75" s="256">
        <f t="shared" si="13"/>
        <v>0</v>
      </c>
      <c r="G75" s="271">
        <f t="shared" si="13"/>
        <v>27552</v>
      </c>
      <c r="H75" s="256">
        <f t="shared" si="13"/>
        <v>27552</v>
      </c>
      <c r="I75" s="256">
        <f t="shared" si="13"/>
        <v>0</v>
      </c>
    </row>
    <row r="76" spans="1:9" s="172" customFormat="1" ht="15.95" customHeight="1" x14ac:dyDescent="0.3">
      <c r="A76" s="9" t="s">
        <v>194</v>
      </c>
      <c r="B76" s="490" t="s">
        <v>290</v>
      </c>
      <c r="C76" s="490"/>
      <c r="D76" s="271">
        <f>+E76+F76</f>
        <v>93447</v>
      </c>
      <c r="E76" s="256">
        <f>34265+60182-1000</f>
        <v>93447</v>
      </c>
      <c r="F76" s="202"/>
      <c r="G76" s="271">
        <f>+H76+I76+J76</f>
        <v>96539</v>
      </c>
      <c r="H76" s="256">
        <f>34265+60182-1000+741-123+2474</f>
        <v>96539</v>
      </c>
      <c r="I76" s="202"/>
    </row>
    <row r="77" spans="1:9" s="172" customFormat="1" ht="15.95" customHeight="1" x14ac:dyDescent="0.3">
      <c r="A77" s="9" t="s">
        <v>195</v>
      </c>
      <c r="B77" s="490" t="s">
        <v>170</v>
      </c>
      <c r="C77" s="490"/>
      <c r="D77" s="283">
        <f>SUM(D78:D80)</f>
        <v>0</v>
      </c>
      <c r="E77" s="258"/>
      <c r="F77" s="247">
        <f t="shared" si="12"/>
        <v>0</v>
      </c>
      <c r="G77" s="283">
        <f>SUM(G78:G80)</f>
        <v>0</v>
      </c>
      <c r="H77" s="258"/>
      <c r="I77" s="247">
        <f>SUM(G77:H77)</f>
        <v>0</v>
      </c>
    </row>
    <row r="78" spans="1:9" s="172" customFormat="1" ht="15.95" customHeight="1" x14ac:dyDescent="0.3">
      <c r="A78" s="9"/>
      <c r="B78" s="209" t="s">
        <v>30</v>
      </c>
      <c r="C78" s="207" t="s">
        <v>259</v>
      </c>
      <c r="D78" s="283"/>
      <c r="E78" s="258"/>
      <c r="F78" s="247">
        <f t="shared" si="12"/>
        <v>0</v>
      </c>
      <c r="G78" s="283"/>
      <c r="H78" s="258"/>
      <c r="I78" s="247">
        <f>SUM(G78:H78)</f>
        <v>0</v>
      </c>
    </row>
    <row r="79" spans="1:9" s="172" customFormat="1" ht="15.95" customHeight="1" x14ac:dyDescent="0.3">
      <c r="A79" s="9"/>
      <c r="B79" s="209" t="s">
        <v>52</v>
      </c>
      <c r="C79" s="207" t="s">
        <v>258</v>
      </c>
      <c r="D79" s="283"/>
      <c r="E79" s="258"/>
      <c r="F79" s="247">
        <f t="shared" si="12"/>
        <v>0</v>
      </c>
      <c r="G79" s="283"/>
      <c r="H79" s="258"/>
      <c r="I79" s="247">
        <f>SUM(G79:H79)</f>
        <v>0</v>
      </c>
    </row>
    <row r="80" spans="1:9" s="172" customFormat="1" ht="15.95" customHeight="1" x14ac:dyDescent="0.3">
      <c r="A80" s="9"/>
      <c r="B80" s="209" t="s">
        <v>53</v>
      </c>
      <c r="C80" s="207" t="s">
        <v>115</v>
      </c>
      <c r="D80" s="283"/>
      <c r="E80" s="258"/>
      <c r="F80" s="247">
        <f t="shared" si="12"/>
        <v>0</v>
      </c>
      <c r="G80" s="283"/>
      <c r="H80" s="258"/>
      <c r="I80" s="247">
        <f>SUM(G80:H80)</f>
        <v>0</v>
      </c>
    </row>
    <row r="81" spans="1:9" s="172" customFormat="1" ht="15.95" customHeight="1" x14ac:dyDescent="0.3">
      <c r="A81" s="9" t="s">
        <v>383</v>
      </c>
      <c r="B81" s="490" t="s">
        <v>384</v>
      </c>
      <c r="C81" s="490"/>
      <c r="D81" s="283"/>
      <c r="E81" s="258"/>
      <c r="F81" s="363"/>
      <c r="G81" s="283">
        <v>10406</v>
      </c>
      <c r="H81" s="258">
        <f>5847+4559</f>
        <v>10406</v>
      </c>
      <c r="I81" s="363"/>
    </row>
    <row r="82" spans="1:9" s="172" customFormat="1" ht="15.95" customHeight="1" x14ac:dyDescent="0.3">
      <c r="A82" s="171" t="s">
        <v>171</v>
      </c>
      <c r="B82" s="484" t="s">
        <v>172</v>
      </c>
      <c r="C82" s="484"/>
      <c r="D82" s="271">
        <f t="shared" ref="D82:I82" si="14">+D76+D77</f>
        <v>93447</v>
      </c>
      <c r="E82" s="256">
        <f t="shared" si="14"/>
        <v>93447</v>
      </c>
      <c r="F82" s="256">
        <f t="shared" si="14"/>
        <v>0</v>
      </c>
      <c r="G82" s="271">
        <f>+G76+G77+G81</f>
        <v>106945</v>
      </c>
      <c r="H82" s="256">
        <f>+H76+H77+H81</f>
        <v>106945</v>
      </c>
      <c r="I82" s="256">
        <f t="shared" si="14"/>
        <v>0</v>
      </c>
    </row>
    <row r="83" spans="1:9" s="172" customFormat="1" ht="15.95" customHeight="1" x14ac:dyDescent="0.3">
      <c r="A83" s="171" t="s">
        <v>215</v>
      </c>
      <c r="B83" s="484" t="s">
        <v>217</v>
      </c>
      <c r="C83" s="484"/>
      <c r="D83" s="285">
        <f t="shared" ref="D83:I83" si="15">+D30+D82</f>
        <v>314206</v>
      </c>
      <c r="E83" s="284">
        <f t="shared" si="15"/>
        <v>273139</v>
      </c>
      <c r="F83" s="188">
        <f t="shared" si="15"/>
        <v>41067</v>
      </c>
      <c r="G83" s="285">
        <f t="shared" si="15"/>
        <v>328177</v>
      </c>
      <c r="H83" s="284">
        <f t="shared" si="15"/>
        <v>261284</v>
      </c>
      <c r="I83" s="188">
        <f t="shared" si="15"/>
        <v>66893</v>
      </c>
    </row>
    <row r="84" spans="1:9" s="172" customFormat="1" ht="15.95" customHeight="1" thickBot="1" x14ac:dyDescent="0.35">
      <c r="A84" s="189" t="s">
        <v>216</v>
      </c>
      <c r="B84" s="190" t="s">
        <v>218</v>
      </c>
      <c r="C84" s="190"/>
      <c r="D84" s="191">
        <f t="shared" ref="D84:I84" si="16">+D61+D75</f>
        <v>314206</v>
      </c>
      <c r="E84" s="191">
        <f t="shared" si="16"/>
        <v>267603</v>
      </c>
      <c r="F84" s="191">
        <f t="shared" si="16"/>
        <v>46603</v>
      </c>
      <c r="G84" s="191">
        <f t="shared" si="16"/>
        <v>328177</v>
      </c>
      <c r="H84" s="191">
        <f t="shared" si="16"/>
        <v>278266</v>
      </c>
      <c r="I84" s="191">
        <f t="shared" si="16"/>
        <v>49911</v>
      </c>
    </row>
    <row r="85" spans="1:9" ht="20.100000000000001" customHeight="1" x14ac:dyDescent="0.2">
      <c r="B85" s="15"/>
      <c r="C85" s="15"/>
      <c r="D85" s="16"/>
      <c r="E85" s="16"/>
      <c r="F85" s="16"/>
    </row>
    <row r="86" spans="1:9" ht="20.100000000000001" customHeight="1" x14ac:dyDescent="0.2">
      <c r="B86" s="15"/>
      <c r="C86" s="15"/>
      <c r="D86" s="194">
        <f>+D84-D83</f>
        <v>0</v>
      </c>
      <c r="E86" s="194">
        <f>+E84-E83</f>
        <v>-5536</v>
      </c>
      <c r="F86" s="194">
        <f>+F84-F83</f>
        <v>5536</v>
      </c>
      <c r="G86" s="194">
        <f>+G84-G83</f>
        <v>0</v>
      </c>
      <c r="H86" s="179">
        <f>SUM(E86:G86)</f>
        <v>0</v>
      </c>
    </row>
    <row r="87" spans="1:9" ht="20.100000000000001" customHeight="1" x14ac:dyDescent="0.2">
      <c r="B87" s="15"/>
      <c r="C87" s="15"/>
      <c r="D87" s="16"/>
      <c r="E87" s="16"/>
      <c r="F87" s="16"/>
    </row>
    <row r="88" spans="1:9" ht="20.100000000000001" customHeight="1" x14ac:dyDescent="0.2">
      <c r="B88" s="15"/>
      <c r="C88" s="15"/>
      <c r="D88" s="16"/>
      <c r="E88" s="16"/>
      <c r="F88" s="16"/>
    </row>
    <row r="89" spans="1:9" ht="20.100000000000001" customHeight="1" x14ac:dyDescent="0.2">
      <c r="B89" s="15"/>
      <c r="C89" s="15"/>
      <c r="D89" s="16"/>
      <c r="E89" s="16"/>
      <c r="F89" s="16"/>
    </row>
    <row r="90" spans="1:9" ht="20.100000000000001" customHeight="1" x14ac:dyDescent="0.2">
      <c r="B90" s="15"/>
      <c r="C90" s="15"/>
      <c r="D90" s="16"/>
      <c r="E90" s="16"/>
      <c r="F90" s="16"/>
    </row>
    <row r="91" spans="1:9" ht="20.100000000000001" customHeight="1" x14ac:dyDescent="0.2">
      <c r="B91" s="15"/>
      <c r="C91" s="15"/>
      <c r="D91" s="16"/>
      <c r="E91" s="16"/>
      <c r="F91" s="16"/>
    </row>
    <row r="92" spans="1:9" ht="20.100000000000001" customHeight="1" x14ac:dyDescent="0.2">
      <c r="B92" s="15"/>
      <c r="C92" s="15"/>
      <c r="D92" s="16"/>
      <c r="E92" s="16"/>
      <c r="F92" s="16"/>
    </row>
    <row r="93" spans="1:9" ht="20.100000000000001" customHeight="1" x14ac:dyDescent="0.2">
      <c r="B93" s="15"/>
      <c r="C93" s="15"/>
      <c r="D93" s="16"/>
      <c r="E93" s="16"/>
      <c r="F93" s="16"/>
    </row>
    <row r="94" spans="1:9" ht="20.100000000000001" customHeight="1" x14ac:dyDescent="0.2">
      <c r="B94" s="15"/>
      <c r="C94" s="15"/>
      <c r="D94" s="16"/>
      <c r="E94" s="16"/>
      <c r="F94" s="16"/>
    </row>
    <row r="95" spans="1:9" ht="20.100000000000001" customHeight="1" x14ac:dyDescent="0.2">
      <c r="B95" s="15"/>
      <c r="C95" s="15"/>
      <c r="D95" s="16"/>
      <c r="E95" s="16"/>
      <c r="F95" s="16"/>
    </row>
    <row r="96" spans="1:9" ht="20.100000000000001" customHeight="1" x14ac:dyDescent="0.2">
      <c r="B96" s="15"/>
      <c r="C96" s="15"/>
      <c r="D96" s="16"/>
      <c r="E96" s="16"/>
      <c r="F96" s="16"/>
    </row>
    <row r="97" spans="2:6" ht="20.100000000000001" customHeight="1" x14ac:dyDescent="0.2">
      <c r="B97" s="15"/>
      <c r="C97" s="15"/>
      <c r="D97" s="16"/>
      <c r="E97" s="16"/>
      <c r="F97" s="16"/>
    </row>
    <row r="98" spans="2:6" ht="20.100000000000001" customHeight="1" x14ac:dyDescent="0.2">
      <c r="B98" s="15"/>
      <c r="C98" s="15"/>
      <c r="D98" s="16"/>
      <c r="E98" s="16"/>
      <c r="F98" s="16"/>
    </row>
    <row r="99" spans="2:6" ht="20.100000000000001" customHeight="1" x14ac:dyDescent="0.2">
      <c r="B99" s="15"/>
      <c r="C99" s="15"/>
      <c r="D99" s="16"/>
      <c r="E99" s="16"/>
      <c r="F99" s="16"/>
    </row>
    <row r="100" spans="2:6" ht="20.100000000000001" customHeight="1" x14ac:dyDescent="0.2">
      <c r="B100" s="15"/>
      <c r="C100" s="15"/>
      <c r="D100" s="16"/>
      <c r="E100" s="16"/>
      <c r="F100" s="16"/>
    </row>
    <row r="101" spans="2:6" ht="20.100000000000001" customHeight="1" x14ac:dyDescent="0.2">
      <c r="B101" s="15"/>
      <c r="C101" s="15"/>
      <c r="D101" s="16"/>
      <c r="E101" s="16"/>
      <c r="F101" s="16"/>
    </row>
    <row r="102" spans="2:6" ht="20.100000000000001" customHeight="1" x14ac:dyDescent="0.2">
      <c r="B102" s="15"/>
      <c r="C102" s="15"/>
      <c r="D102" s="16"/>
      <c r="E102" s="16"/>
      <c r="F102" s="16"/>
    </row>
    <row r="103" spans="2:6" ht="20.100000000000001" customHeight="1" x14ac:dyDescent="0.2">
      <c r="B103" s="15"/>
      <c r="C103" s="15"/>
      <c r="D103" s="16"/>
      <c r="E103" s="16"/>
      <c r="F103" s="16"/>
    </row>
    <row r="104" spans="2:6" ht="20.100000000000001" customHeight="1" x14ac:dyDescent="0.2">
      <c r="B104" s="15"/>
      <c r="C104" s="15"/>
      <c r="D104" s="16"/>
      <c r="E104" s="16"/>
      <c r="F104" s="16"/>
    </row>
    <row r="105" spans="2:6" ht="20.100000000000001" customHeight="1" x14ac:dyDescent="0.2">
      <c r="B105" s="15"/>
      <c r="C105" s="15"/>
      <c r="D105" s="16"/>
      <c r="E105" s="16"/>
      <c r="F105" s="16"/>
    </row>
    <row r="106" spans="2:6" ht="20.100000000000001" customHeight="1" x14ac:dyDescent="0.2">
      <c r="B106" s="15"/>
      <c r="C106" s="15"/>
      <c r="D106" s="16"/>
      <c r="E106" s="16"/>
      <c r="F106" s="16"/>
    </row>
  </sheetData>
  <mergeCells count="62">
    <mergeCell ref="B26:C26"/>
    <mergeCell ref="B29:C29"/>
    <mergeCell ref="B83:C83"/>
    <mergeCell ref="B31:C31"/>
    <mergeCell ref="B33:C33"/>
    <mergeCell ref="B48:C48"/>
    <mergeCell ref="B69:C69"/>
    <mergeCell ref="B74:C74"/>
    <mergeCell ref="B32:C32"/>
    <mergeCell ref="B59:C59"/>
    <mergeCell ref="B58:C58"/>
    <mergeCell ref="B82:C82"/>
    <mergeCell ref="B62:C62"/>
    <mergeCell ref="B54:C54"/>
    <mergeCell ref="B51:C51"/>
    <mergeCell ref="B64:C64"/>
    <mergeCell ref="B77:C77"/>
    <mergeCell ref="B68:C68"/>
    <mergeCell ref="B14:C14"/>
    <mergeCell ref="B19:C19"/>
    <mergeCell ref="B67:C67"/>
    <mergeCell ref="B21:C21"/>
    <mergeCell ref="E6:E7"/>
    <mergeCell ref="B18:C18"/>
    <mergeCell ref="B17:C17"/>
    <mergeCell ref="B13:C13"/>
    <mergeCell ref="B11:C11"/>
    <mergeCell ref="B12:C12"/>
    <mergeCell ref="D8:F8"/>
    <mergeCell ref="B9:C9"/>
    <mergeCell ref="B10:C10"/>
    <mergeCell ref="B20:C20"/>
    <mergeCell ref="B47:C47"/>
    <mergeCell ref="B38:C38"/>
    <mergeCell ref="B15:C15"/>
    <mergeCell ref="B16:C16"/>
    <mergeCell ref="B81:C81"/>
    <mergeCell ref="B63:C63"/>
    <mergeCell ref="B23:C23"/>
    <mergeCell ref="B75:C75"/>
    <mergeCell ref="B76:C76"/>
    <mergeCell ref="B61:C61"/>
    <mergeCell ref="B28:C28"/>
    <mergeCell ref="B60:C60"/>
    <mergeCell ref="B34:C34"/>
    <mergeCell ref="B42:C42"/>
    <mergeCell ref="B24:C24"/>
    <mergeCell ref="B27:C27"/>
    <mergeCell ref="B30:C30"/>
    <mergeCell ref="B25:C25"/>
    <mergeCell ref="I6:I7"/>
    <mergeCell ref="A1:F1"/>
    <mergeCell ref="A5:F5"/>
    <mergeCell ref="A4:F4"/>
    <mergeCell ref="A3:F3"/>
    <mergeCell ref="A6:A8"/>
    <mergeCell ref="B6:C8"/>
    <mergeCell ref="H6:H7"/>
    <mergeCell ref="F6:F7"/>
    <mergeCell ref="D6:D7"/>
    <mergeCell ref="G6:G7"/>
    <mergeCell ref="G8:I8"/>
  </mergeCells>
  <phoneticPr fontId="3" type="noConversion"/>
  <printOptions horizontalCentered="1"/>
  <pageMargins left="0.15748031496062992" right="0" top="0" bottom="0" header="0" footer="0"/>
  <pageSetup paperSize="9" scale="6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M193"/>
  <sheetViews>
    <sheetView showGridLines="0" view="pageBreakPreview" topLeftCell="A13" zoomScaleNormal="100" zoomScaleSheetLayoutView="100" workbookViewId="0">
      <selection activeCell="AO8" sqref="AO8"/>
    </sheetView>
  </sheetViews>
  <sheetFormatPr defaultRowHeight="12.75" x14ac:dyDescent="0.2"/>
  <cols>
    <col min="1" max="6" width="3.28515625" style="21" customWidth="1"/>
    <col min="7" max="7" width="5.140625" style="21" customWidth="1"/>
    <col min="8" max="11" width="3.28515625" style="21" customWidth="1"/>
    <col min="12" max="12" width="4.28515625" style="21" customWidth="1"/>
    <col min="13" max="14" width="3.28515625" style="21" customWidth="1"/>
    <col min="15" max="15" width="4.42578125" style="21" customWidth="1"/>
    <col min="16" max="19" width="3.28515625" style="21" customWidth="1"/>
    <col min="20" max="20" width="2.42578125" style="21" customWidth="1"/>
    <col min="21" max="21" width="3.28515625" style="21" customWidth="1"/>
    <col min="22" max="22" width="0.28515625" style="21" customWidth="1"/>
    <col min="23" max="25" width="3.28515625" style="21" customWidth="1"/>
    <col min="26" max="26" width="1.85546875" style="21" customWidth="1"/>
    <col min="27" max="27" width="4.5703125" style="21" customWidth="1"/>
    <col min="28" max="28" width="2.5703125" style="178" customWidth="1"/>
    <col min="29" max="29" width="3.5703125" style="178" customWidth="1"/>
    <col min="30" max="30" width="2.5703125" style="178" customWidth="1"/>
    <col min="31" max="31" width="4.5703125" style="178" customWidth="1"/>
    <col min="32" max="32" width="4.28515625" style="178" customWidth="1"/>
    <col min="33" max="33" width="4.42578125" style="21" customWidth="1"/>
    <col min="34" max="34" width="2.42578125" style="21" customWidth="1"/>
    <col min="35" max="35" width="2.5703125" style="21" customWidth="1"/>
    <col min="36" max="36" width="3.28515625" style="21" customWidth="1"/>
    <col min="37" max="37" width="9.42578125" style="217" customWidth="1"/>
    <col min="38" max="38" width="12.5703125" style="178" bestFit="1" customWidth="1"/>
    <col min="39" max="16384" width="9.140625" style="21"/>
  </cols>
  <sheetData>
    <row r="1" spans="1:39" s="37" customFormat="1" ht="22.5" customHeight="1" x14ac:dyDescent="0.25">
      <c r="A1" s="543" t="s">
        <v>318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216"/>
      <c r="AL1" s="263"/>
    </row>
    <row r="2" spans="1:39" s="37" customFormat="1" ht="15.75" x14ac:dyDescent="0.25">
      <c r="A2" s="543"/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216"/>
      <c r="AL2" s="263"/>
    </row>
    <row r="3" spans="1:39" s="37" customFormat="1" ht="15.75" x14ac:dyDescent="0.25">
      <c r="A3" s="38"/>
      <c r="B3" s="38"/>
      <c r="C3" s="38"/>
      <c r="D3" s="38"/>
      <c r="E3" s="38"/>
      <c r="F3" s="543" t="s">
        <v>280</v>
      </c>
      <c r="G3" s="568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38"/>
      <c r="W3" s="38"/>
      <c r="X3" s="38"/>
      <c r="Y3" s="38"/>
      <c r="Z3" s="38"/>
      <c r="AA3" s="38"/>
      <c r="AB3" s="364"/>
      <c r="AC3" s="364"/>
      <c r="AD3" s="364"/>
      <c r="AE3" s="364"/>
      <c r="AF3" s="364"/>
      <c r="AG3" s="38"/>
      <c r="AH3" s="38"/>
      <c r="AI3" s="38"/>
      <c r="AJ3" s="38"/>
      <c r="AK3" s="216"/>
      <c r="AL3" s="263"/>
    </row>
    <row r="4" spans="1:39" ht="15.75" x14ac:dyDescent="0.2">
      <c r="A4" s="609" t="s">
        <v>219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</row>
    <row r="5" spans="1:39" ht="15.75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365"/>
      <c r="AC5" s="365"/>
      <c r="AD5" s="365"/>
      <c r="AE5" s="365"/>
      <c r="AF5" s="365"/>
      <c r="AG5" s="24"/>
      <c r="AH5" s="24"/>
      <c r="AI5" s="24"/>
      <c r="AJ5" s="24"/>
    </row>
    <row r="6" spans="1:39" x14ac:dyDescent="0.2">
      <c r="X6" s="21" t="s">
        <v>299</v>
      </c>
      <c r="AH6" s="25" t="s">
        <v>213</v>
      </c>
    </row>
    <row r="7" spans="1:39" ht="31.5" customHeight="1" x14ac:dyDescent="0.2">
      <c r="A7" s="544" t="s">
        <v>196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6"/>
      <c r="T7" s="550" t="s">
        <v>210</v>
      </c>
      <c r="U7" s="551"/>
      <c r="V7" s="554" t="s">
        <v>266</v>
      </c>
      <c r="W7" s="544" t="s">
        <v>235</v>
      </c>
      <c r="X7" s="545"/>
      <c r="Y7" s="545"/>
      <c r="Z7" s="545"/>
      <c r="AA7" s="546"/>
      <c r="AB7" s="556" t="s">
        <v>385</v>
      </c>
      <c r="AC7" s="557"/>
      <c r="AD7" s="557"/>
      <c r="AE7" s="557"/>
      <c r="AF7" s="558"/>
      <c r="AG7" s="26" t="s">
        <v>220</v>
      </c>
      <c r="AH7" s="26"/>
      <c r="AI7" s="26"/>
      <c r="AJ7" s="26"/>
      <c r="AL7" s="264" t="s">
        <v>270</v>
      </c>
      <c r="AM7" s="63"/>
    </row>
    <row r="8" spans="1:39" x14ac:dyDescent="0.2">
      <c r="A8" s="27"/>
      <c r="B8" s="23"/>
      <c r="C8" s="23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28"/>
      <c r="T8" s="552"/>
      <c r="U8" s="553"/>
      <c r="V8" s="555"/>
      <c r="W8" s="547"/>
      <c r="X8" s="548"/>
      <c r="Y8" s="548"/>
      <c r="Z8" s="548"/>
      <c r="AA8" s="549"/>
      <c r="AB8" s="559"/>
      <c r="AC8" s="560"/>
      <c r="AD8" s="560"/>
      <c r="AE8" s="560"/>
      <c r="AF8" s="561"/>
      <c r="AG8" s="293"/>
      <c r="AH8" s="37"/>
      <c r="AI8" s="294"/>
      <c r="AJ8" s="294"/>
      <c r="AL8" s="264"/>
      <c r="AM8" s="63"/>
    </row>
    <row r="9" spans="1:39" ht="24.75" customHeight="1" x14ac:dyDescent="0.2">
      <c r="A9" s="583" t="s">
        <v>33</v>
      </c>
      <c r="B9" s="584"/>
      <c r="C9" s="584"/>
      <c r="D9" s="584"/>
      <c r="E9" s="584"/>
      <c r="F9" s="584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5"/>
      <c r="T9" s="581" t="s">
        <v>214</v>
      </c>
      <c r="U9" s="582"/>
      <c r="V9" s="234">
        <v>5831111</v>
      </c>
      <c r="W9" s="578">
        <f>(15610+25650+25650)*2</f>
        <v>133820</v>
      </c>
      <c r="X9" s="579"/>
      <c r="Y9" s="579"/>
      <c r="Z9" s="579"/>
      <c r="AA9" s="580"/>
      <c r="AB9" s="578">
        <f>(15610+25650+25650)*2+119000</f>
        <v>252820</v>
      </c>
      <c r="AC9" s="579"/>
      <c r="AD9" s="579"/>
      <c r="AE9" s="579"/>
      <c r="AF9" s="580"/>
      <c r="AG9" s="29"/>
      <c r="AH9" s="30"/>
      <c r="AI9" s="30"/>
      <c r="AJ9" s="30"/>
      <c r="AK9" s="217">
        <f>90/100</f>
        <v>0.9</v>
      </c>
      <c r="AL9" s="264">
        <f>+W9*AK9</f>
        <v>120438</v>
      </c>
      <c r="AM9" s="63">
        <v>9421221</v>
      </c>
    </row>
    <row r="10" spans="1:39" ht="24.75" customHeight="1" x14ac:dyDescent="0.2">
      <c r="A10" s="583" t="s">
        <v>34</v>
      </c>
      <c r="B10" s="584"/>
      <c r="C10" s="584"/>
      <c r="D10" s="584"/>
      <c r="E10" s="584"/>
      <c r="F10" s="584"/>
      <c r="G10" s="584"/>
      <c r="H10" s="584"/>
      <c r="I10" s="584"/>
      <c r="J10" s="584"/>
      <c r="K10" s="584"/>
      <c r="L10" s="584"/>
      <c r="M10" s="584"/>
      <c r="N10" s="584"/>
      <c r="O10" s="584"/>
      <c r="P10" s="584"/>
      <c r="Q10" s="584"/>
      <c r="R10" s="584"/>
      <c r="S10" s="585"/>
      <c r="T10" s="581">
        <v>2</v>
      </c>
      <c r="U10" s="582"/>
      <c r="V10" s="234"/>
      <c r="W10" s="598"/>
      <c r="X10" s="599"/>
      <c r="Y10" s="599"/>
      <c r="Z10" s="599"/>
      <c r="AA10" s="600"/>
      <c r="AB10" s="575"/>
      <c r="AC10" s="576"/>
      <c r="AD10" s="576"/>
      <c r="AE10" s="576"/>
      <c r="AF10" s="577"/>
      <c r="AG10" s="29"/>
      <c r="AH10" s="30"/>
      <c r="AI10" s="30"/>
      <c r="AJ10" s="30"/>
      <c r="AL10" s="264"/>
      <c r="AM10" s="63"/>
    </row>
    <row r="11" spans="1:39" ht="31.5" customHeight="1" x14ac:dyDescent="0.2">
      <c r="A11" s="583" t="s">
        <v>35</v>
      </c>
      <c r="B11" s="584"/>
      <c r="C11" s="584"/>
      <c r="D11" s="584"/>
      <c r="E11" s="584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5"/>
      <c r="T11" s="581">
        <v>3</v>
      </c>
      <c r="U11" s="582"/>
      <c r="V11" s="234">
        <v>5831113</v>
      </c>
      <c r="W11" s="598"/>
      <c r="X11" s="599"/>
      <c r="Y11" s="599"/>
      <c r="Z11" s="599"/>
      <c r="AA11" s="600"/>
      <c r="AB11" s="575"/>
      <c r="AC11" s="576"/>
      <c r="AD11" s="576"/>
      <c r="AE11" s="576"/>
      <c r="AF11" s="577"/>
      <c r="AG11" s="29"/>
      <c r="AH11" s="30"/>
      <c r="AI11" s="30"/>
      <c r="AJ11" s="30"/>
      <c r="AK11" s="217">
        <f>90/100</f>
        <v>0.9</v>
      </c>
      <c r="AL11" s="264">
        <f>+W11*AK11</f>
        <v>0</v>
      </c>
      <c r="AM11" s="63">
        <v>9421221</v>
      </c>
    </row>
    <row r="12" spans="1:39" ht="29.25" customHeight="1" x14ac:dyDescent="0.2">
      <c r="A12" s="583" t="s">
        <v>36</v>
      </c>
      <c r="B12" s="584"/>
      <c r="C12" s="584"/>
      <c r="D12" s="584"/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5"/>
      <c r="T12" s="581">
        <v>4</v>
      </c>
      <c r="U12" s="582"/>
      <c r="V12" s="234"/>
      <c r="W12" s="598"/>
      <c r="X12" s="599"/>
      <c r="Y12" s="599"/>
      <c r="Z12" s="599"/>
      <c r="AA12" s="600"/>
      <c r="AB12" s="575"/>
      <c r="AC12" s="576"/>
      <c r="AD12" s="576"/>
      <c r="AE12" s="576"/>
      <c r="AF12" s="577"/>
      <c r="AG12" s="29"/>
      <c r="AH12" s="30"/>
      <c r="AI12" s="30"/>
      <c r="AJ12" s="30"/>
      <c r="AL12" s="264"/>
      <c r="AM12" s="63"/>
    </row>
    <row r="13" spans="1:39" ht="22.5" customHeight="1" x14ac:dyDescent="0.2">
      <c r="A13" s="583" t="s">
        <v>309</v>
      </c>
      <c r="B13" s="584"/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5"/>
      <c r="T13" s="581">
        <v>5</v>
      </c>
      <c r="U13" s="582"/>
      <c r="V13" s="234">
        <v>5831121</v>
      </c>
      <c r="W13" s="578">
        <f>3*30*22800</f>
        <v>2052000</v>
      </c>
      <c r="X13" s="579"/>
      <c r="Y13" s="579"/>
      <c r="Z13" s="579"/>
      <c r="AA13" s="580"/>
      <c r="AB13" s="565">
        <v>2052000</v>
      </c>
      <c r="AC13" s="566"/>
      <c r="AD13" s="566"/>
      <c r="AE13" s="566"/>
      <c r="AF13" s="567"/>
      <c r="AG13" s="29"/>
      <c r="AH13" s="30"/>
      <c r="AI13" s="30"/>
      <c r="AJ13" s="30"/>
      <c r="AK13" s="217">
        <f>80/100</f>
        <v>0.8</v>
      </c>
      <c r="AL13" s="264">
        <f>+W13*AK13</f>
        <v>1641600</v>
      </c>
      <c r="AM13" s="63">
        <v>9421221</v>
      </c>
    </row>
    <row r="14" spans="1:39" ht="22.5" customHeight="1" x14ac:dyDescent="0.2">
      <c r="A14" s="606" t="s">
        <v>37</v>
      </c>
      <c r="B14" s="607"/>
      <c r="C14" s="607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8"/>
      <c r="T14" s="581">
        <v>6</v>
      </c>
      <c r="U14" s="582"/>
      <c r="V14" s="234"/>
      <c r="W14" s="39"/>
      <c r="X14" s="40"/>
      <c r="Y14" s="40"/>
      <c r="Z14" s="40"/>
      <c r="AA14" s="41"/>
      <c r="AB14" s="575"/>
      <c r="AC14" s="576"/>
      <c r="AD14" s="576"/>
      <c r="AE14" s="576"/>
      <c r="AF14" s="577"/>
      <c r="AG14" s="29"/>
      <c r="AH14" s="30"/>
      <c r="AI14" s="30"/>
      <c r="AJ14" s="30"/>
      <c r="AL14" s="264"/>
      <c r="AM14" s="63"/>
    </row>
    <row r="15" spans="1:39" ht="19.5" customHeight="1" x14ac:dyDescent="0.2">
      <c r="A15" s="31" t="s">
        <v>236</v>
      </c>
      <c r="B15" s="32"/>
      <c r="C15" s="32"/>
      <c r="D15" s="32"/>
      <c r="E15" s="33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5"/>
      <c r="T15" s="581">
        <v>7</v>
      </c>
      <c r="U15" s="582"/>
      <c r="V15" s="234"/>
      <c r="W15" s="572"/>
      <c r="X15" s="573"/>
      <c r="Y15" s="573"/>
      <c r="Z15" s="573"/>
      <c r="AA15" s="574"/>
      <c r="AB15" s="575"/>
      <c r="AC15" s="576"/>
      <c r="AD15" s="576"/>
      <c r="AE15" s="576"/>
      <c r="AF15" s="577"/>
      <c r="AG15" s="29"/>
      <c r="AH15" s="30"/>
      <c r="AI15" s="30"/>
      <c r="AJ15" s="30"/>
      <c r="AL15" s="264"/>
      <c r="AM15" s="63"/>
    </row>
    <row r="16" spans="1:39" ht="19.5" customHeight="1" x14ac:dyDescent="0.2">
      <c r="A16" s="583" t="s">
        <v>368</v>
      </c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584"/>
      <c r="S16" s="585"/>
      <c r="T16" s="581">
        <v>8</v>
      </c>
      <c r="U16" s="582"/>
      <c r="V16" s="234">
        <v>5831141</v>
      </c>
      <c r="W16" s="562">
        <f>2158600/2*3</f>
        <v>3237900</v>
      </c>
      <c r="X16" s="563"/>
      <c r="Y16" s="563"/>
      <c r="Z16" s="563"/>
      <c r="AA16" s="564"/>
      <c r="AB16" s="562">
        <f>2158600/2*3</f>
        <v>3237900</v>
      </c>
      <c r="AC16" s="563"/>
      <c r="AD16" s="563"/>
      <c r="AE16" s="563"/>
      <c r="AF16" s="564"/>
      <c r="AG16" s="29"/>
      <c r="AH16" s="30"/>
      <c r="AI16" s="30"/>
      <c r="AJ16" s="30"/>
      <c r="AK16" s="217">
        <f>90/100</f>
        <v>0.9</v>
      </c>
      <c r="AL16" s="264">
        <f>+W16*AK16</f>
        <v>2914110</v>
      </c>
      <c r="AM16" s="63">
        <v>9421221</v>
      </c>
    </row>
    <row r="17" spans="1:39" ht="24.75" customHeight="1" x14ac:dyDescent="0.2">
      <c r="A17" s="583" t="s">
        <v>242</v>
      </c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584"/>
      <c r="S17" s="585"/>
      <c r="T17" s="581">
        <v>9</v>
      </c>
      <c r="U17" s="582"/>
      <c r="V17" s="234"/>
      <c r="W17" s="572"/>
      <c r="X17" s="573"/>
      <c r="Y17" s="573"/>
      <c r="Z17" s="573"/>
      <c r="AA17" s="574"/>
      <c r="AB17" s="575"/>
      <c r="AC17" s="576"/>
      <c r="AD17" s="576"/>
      <c r="AE17" s="576"/>
      <c r="AF17" s="577"/>
      <c r="AG17" s="29"/>
      <c r="AH17" s="30"/>
      <c r="AI17" s="30"/>
      <c r="AJ17" s="30"/>
      <c r="AL17" s="264"/>
      <c r="AM17" s="63"/>
    </row>
    <row r="18" spans="1:39" ht="19.5" customHeight="1" x14ac:dyDescent="0.2">
      <c r="A18" s="583" t="s">
        <v>237</v>
      </c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584"/>
      <c r="S18" s="585"/>
      <c r="T18" s="581">
        <v>10</v>
      </c>
      <c r="U18" s="582"/>
      <c r="V18" s="234"/>
      <c r="W18" s="562">
        <v>4756000</v>
      </c>
      <c r="X18" s="563"/>
      <c r="Y18" s="563"/>
      <c r="Z18" s="563"/>
      <c r="AA18" s="564"/>
      <c r="AB18" s="562">
        <v>4756000</v>
      </c>
      <c r="AC18" s="563"/>
      <c r="AD18" s="563"/>
      <c r="AE18" s="563"/>
      <c r="AF18" s="564"/>
      <c r="AG18" s="29"/>
      <c r="AH18" s="30"/>
      <c r="AI18" s="30"/>
      <c r="AJ18" s="30"/>
      <c r="AL18" s="264"/>
      <c r="AM18" s="63"/>
    </row>
    <row r="19" spans="1:39" ht="19.5" customHeight="1" x14ac:dyDescent="0.2">
      <c r="A19" s="601" t="s">
        <v>369</v>
      </c>
      <c r="B19" s="602"/>
      <c r="C19" s="60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  <c r="Q19" s="602"/>
      <c r="R19" s="602"/>
      <c r="S19" s="603"/>
      <c r="T19" s="604">
        <v>11</v>
      </c>
      <c r="U19" s="605"/>
      <c r="V19" s="322"/>
      <c r="W19" s="595">
        <v>2221000</v>
      </c>
      <c r="X19" s="596"/>
      <c r="Y19" s="596"/>
      <c r="Z19" s="596"/>
      <c r="AA19" s="597"/>
      <c r="AB19" s="595">
        <v>844000</v>
      </c>
      <c r="AC19" s="596"/>
      <c r="AD19" s="596"/>
      <c r="AE19" s="596"/>
      <c r="AF19" s="597"/>
      <c r="AG19" s="29"/>
      <c r="AH19" s="30"/>
      <c r="AI19" s="30"/>
      <c r="AJ19" s="30"/>
      <c r="AL19" s="264"/>
      <c r="AM19" s="63"/>
    </row>
    <row r="20" spans="1:39" ht="19.5" customHeight="1" x14ac:dyDescent="0.2">
      <c r="A20" s="583" t="s">
        <v>238</v>
      </c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584"/>
      <c r="S20" s="585"/>
      <c r="T20" s="581">
        <v>12</v>
      </c>
      <c r="U20" s="582"/>
      <c r="V20" s="234">
        <v>5831161</v>
      </c>
      <c r="W20" s="598"/>
      <c r="X20" s="599"/>
      <c r="Y20" s="599"/>
      <c r="Z20" s="599"/>
      <c r="AA20" s="600"/>
      <c r="AB20" s="575"/>
      <c r="AC20" s="576"/>
      <c r="AD20" s="576"/>
      <c r="AE20" s="576"/>
      <c r="AF20" s="577"/>
      <c r="AG20" s="29"/>
      <c r="AH20" s="30"/>
      <c r="AI20" s="30"/>
      <c r="AJ20" s="30"/>
      <c r="AK20" s="217">
        <f>75/100</f>
        <v>0.75</v>
      </c>
      <c r="AL20" s="264">
        <f>+W20*AK20</f>
        <v>0</v>
      </c>
      <c r="AM20" s="63">
        <v>9421221</v>
      </c>
    </row>
    <row r="21" spans="1:39" ht="19.5" customHeight="1" x14ac:dyDescent="0.2">
      <c r="A21" s="583" t="s">
        <v>239</v>
      </c>
      <c r="B21" s="584"/>
      <c r="C21" s="584"/>
      <c r="D21" s="584"/>
      <c r="E21" s="584"/>
      <c r="F21" s="584"/>
      <c r="G21" s="584"/>
      <c r="H21" s="584"/>
      <c r="I21" s="584"/>
      <c r="J21" s="584"/>
      <c r="K21" s="584"/>
      <c r="L21" s="584"/>
      <c r="M21" s="584"/>
      <c r="N21" s="584"/>
      <c r="O21" s="584"/>
      <c r="P21" s="584"/>
      <c r="Q21" s="584"/>
      <c r="R21" s="584"/>
      <c r="S21" s="585"/>
      <c r="T21" s="581">
        <v>13</v>
      </c>
      <c r="U21" s="582"/>
      <c r="V21" s="234"/>
      <c r="W21" s="572">
        <v>0</v>
      </c>
      <c r="X21" s="573"/>
      <c r="Y21" s="573"/>
      <c r="Z21" s="573"/>
      <c r="AA21" s="574"/>
      <c r="AB21" s="575"/>
      <c r="AC21" s="576"/>
      <c r="AD21" s="576"/>
      <c r="AE21" s="576"/>
      <c r="AF21" s="577"/>
      <c r="AG21" s="29"/>
      <c r="AH21" s="30"/>
      <c r="AI21" s="30"/>
      <c r="AJ21" s="30"/>
      <c r="AL21" s="264"/>
      <c r="AM21" s="63"/>
    </row>
    <row r="22" spans="1:39" ht="19.5" customHeight="1" x14ac:dyDescent="0.2">
      <c r="A22" s="583" t="s">
        <v>240</v>
      </c>
      <c r="B22" s="584"/>
      <c r="C22" s="584"/>
      <c r="D22" s="584"/>
      <c r="E22" s="584"/>
      <c r="F22" s="584"/>
      <c r="G22" s="584"/>
      <c r="H22" s="584"/>
      <c r="I22" s="584"/>
      <c r="J22" s="584"/>
      <c r="K22" s="584"/>
      <c r="L22" s="584"/>
      <c r="M22" s="584"/>
      <c r="N22" s="584"/>
      <c r="O22" s="584"/>
      <c r="P22" s="584"/>
      <c r="Q22" s="584"/>
      <c r="R22" s="584"/>
      <c r="S22" s="585"/>
      <c r="T22" s="581">
        <v>14</v>
      </c>
      <c r="U22" s="582"/>
      <c r="V22" s="234">
        <v>5831171</v>
      </c>
      <c r="W22" s="562">
        <v>517000</v>
      </c>
      <c r="X22" s="563"/>
      <c r="Y22" s="563"/>
      <c r="Z22" s="563"/>
      <c r="AA22" s="564"/>
      <c r="AB22" s="562">
        <f>517000+4000</f>
        <v>521000</v>
      </c>
      <c r="AC22" s="563"/>
      <c r="AD22" s="563"/>
      <c r="AE22" s="563"/>
      <c r="AF22" s="564"/>
      <c r="AG22" s="29"/>
      <c r="AH22" s="30"/>
      <c r="AI22" s="30"/>
      <c r="AJ22" s="30"/>
      <c r="AL22" s="264"/>
      <c r="AM22" s="63"/>
    </row>
    <row r="23" spans="1:39" ht="19.5" customHeight="1" x14ac:dyDescent="0.2">
      <c r="A23" s="583" t="s">
        <v>241</v>
      </c>
      <c r="B23" s="584"/>
      <c r="C23" s="584"/>
      <c r="D23" s="584"/>
      <c r="E23" s="584"/>
      <c r="F23" s="584"/>
      <c r="G23" s="584"/>
      <c r="H23" s="584"/>
      <c r="I23" s="584"/>
      <c r="J23" s="584"/>
      <c r="K23" s="584"/>
      <c r="L23" s="584"/>
      <c r="M23" s="584"/>
      <c r="N23" s="584"/>
      <c r="O23" s="584"/>
      <c r="P23" s="584"/>
      <c r="Q23" s="584"/>
      <c r="R23" s="584"/>
      <c r="S23" s="585"/>
      <c r="T23" s="581">
        <v>15</v>
      </c>
      <c r="U23" s="582"/>
      <c r="V23" s="234">
        <v>5831172</v>
      </c>
      <c r="W23" s="562">
        <v>200000</v>
      </c>
      <c r="X23" s="563"/>
      <c r="Y23" s="563"/>
      <c r="Z23" s="563"/>
      <c r="AA23" s="564"/>
      <c r="AB23" s="562">
        <v>105000</v>
      </c>
      <c r="AC23" s="563"/>
      <c r="AD23" s="563"/>
      <c r="AE23" s="563"/>
      <c r="AF23" s="564"/>
      <c r="AG23" s="29"/>
      <c r="AH23" s="30"/>
      <c r="AI23" s="30"/>
      <c r="AJ23" s="30"/>
      <c r="AL23" s="264"/>
      <c r="AM23" s="63"/>
    </row>
    <row r="24" spans="1:39" ht="24.75" customHeight="1" x14ac:dyDescent="0.2">
      <c r="A24" s="592" t="s">
        <v>221</v>
      </c>
      <c r="B24" s="593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4"/>
      <c r="T24" s="581">
        <v>16</v>
      </c>
      <c r="U24" s="582"/>
      <c r="V24" s="234">
        <v>5831181</v>
      </c>
      <c r="W24" s="572"/>
      <c r="X24" s="573"/>
      <c r="Y24" s="573"/>
      <c r="Z24" s="573"/>
      <c r="AA24" s="574"/>
      <c r="AB24" s="575"/>
      <c r="AC24" s="576"/>
      <c r="AD24" s="576"/>
      <c r="AE24" s="576"/>
      <c r="AF24" s="577"/>
      <c r="AG24" s="29"/>
      <c r="AH24" s="30"/>
      <c r="AI24" s="30"/>
      <c r="AJ24" s="30"/>
      <c r="AK24" s="218">
        <v>1</v>
      </c>
      <c r="AL24" s="264">
        <f>+W24*AK24</f>
        <v>0</v>
      </c>
      <c r="AM24" s="63">
        <v>9421221</v>
      </c>
    </row>
    <row r="25" spans="1:39" ht="24.75" customHeight="1" x14ac:dyDescent="0.2">
      <c r="A25" s="592" t="s">
        <v>222</v>
      </c>
      <c r="B25" s="593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4"/>
      <c r="T25" s="581">
        <v>17</v>
      </c>
      <c r="U25" s="582"/>
      <c r="V25" s="234"/>
      <c r="W25" s="572"/>
      <c r="X25" s="573"/>
      <c r="Y25" s="573"/>
      <c r="Z25" s="573"/>
      <c r="AA25" s="574"/>
      <c r="AB25" s="575"/>
      <c r="AC25" s="576"/>
      <c r="AD25" s="576"/>
      <c r="AE25" s="576"/>
      <c r="AF25" s="577"/>
      <c r="AG25" s="29"/>
      <c r="AH25" s="30"/>
      <c r="AI25" s="30"/>
      <c r="AJ25" s="30"/>
      <c r="AL25" s="264"/>
      <c r="AM25" s="63"/>
    </row>
    <row r="26" spans="1:39" ht="19.5" customHeight="1" x14ac:dyDescent="0.2">
      <c r="A26" s="592" t="s">
        <v>223</v>
      </c>
      <c r="B26" s="593"/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4"/>
      <c r="T26" s="581">
        <v>18</v>
      </c>
      <c r="U26" s="582"/>
      <c r="V26" s="234"/>
      <c r="W26" s="572"/>
      <c r="X26" s="573"/>
      <c r="Y26" s="573"/>
      <c r="Z26" s="573"/>
      <c r="AA26" s="574"/>
      <c r="AB26" s="575"/>
      <c r="AC26" s="576"/>
      <c r="AD26" s="576"/>
      <c r="AE26" s="576"/>
      <c r="AF26" s="577"/>
      <c r="AG26" s="29"/>
      <c r="AH26" s="30"/>
      <c r="AI26" s="30"/>
      <c r="AJ26" s="30"/>
      <c r="AL26" s="264"/>
      <c r="AM26" s="63"/>
    </row>
    <row r="27" spans="1:39" ht="19.5" customHeight="1" x14ac:dyDescent="0.2">
      <c r="A27" s="610" t="s">
        <v>312</v>
      </c>
      <c r="B27" s="611"/>
      <c r="C27" s="611"/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1"/>
      <c r="P27" s="611"/>
      <c r="Q27" s="611"/>
      <c r="R27" s="611"/>
      <c r="S27" s="612"/>
      <c r="T27" s="581">
        <v>19</v>
      </c>
      <c r="U27" s="582"/>
      <c r="V27" s="234"/>
      <c r="W27" s="562">
        <f>29*50000</f>
        <v>1450000</v>
      </c>
      <c r="X27" s="563"/>
      <c r="Y27" s="563"/>
      <c r="Z27" s="563"/>
      <c r="AA27" s="564"/>
      <c r="AB27" s="562">
        <f>29*50000</f>
        <v>1450000</v>
      </c>
      <c r="AC27" s="563"/>
      <c r="AD27" s="563"/>
      <c r="AE27" s="563"/>
      <c r="AF27" s="564"/>
      <c r="AG27" s="29"/>
      <c r="AH27" s="30"/>
      <c r="AI27" s="30"/>
      <c r="AJ27" s="30"/>
      <c r="AL27" s="264"/>
      <c r="AM27" s="63"/>
    </row>
    <row r="28" spans="1:39" ht="25.5" customHeight="1" x14ac:dyDescent="0.2">
      <c r="A28" s="613" t="s">
        <v>38</v>
      </c>
      <c r="B28" s="614"/>
      <c r="C28" s="614"/>
      <c r="D28" s="614"/>
      <c r="E28" s="614"/>
      <c r="F28" s="614"/>
      <c r="G28" s="614"/>
      <c r="H28" s="614"/>
      <c r="I28" s="614"/>
      <c r="J28" s="614"/>
      <c r="K28" s="614"/>
      <c r="L28" s="614"/>
      <c r="M28" s="614"/>
      <c r="N28" s="614"/>
      <c r="O28" s="614"/>
      <c r="P28" s="614"/>
      <c r="Q28" s="614"/>
      <c r="R28" s="614"/>
      <c r="S28" s="615"/>
      <c r="T28" s="581">
        <v>20</v>
      </c>
      <c r="U28" s="582"/>
      <c r="V28" s="234"/>
      <c r="W28" s="569">
        <f>SUM(W9:AA27)</f>
        <v>14567720</v>
      </c>
      <c r="X28" s="570"/>
      <c r="Y28" s="570"/>
      <c r="Z28" s="570"/>
      <c r="AA28" s="571"/>
      <c r="AB28" s="569">
        <f>SUM(AB9:AF27)</f>
        <v>13218720</v>
      </c>
      <c r="AC28" s="570"/>
      <c r="AD28" s="570"/>
      <c r="AE28" s="570"/>
      <c r="AF28" s="571"/>
      <c r="AG28" s="291"/>
      <c r="AH28" s="292"/>
      <c r="AI28" s="292"/>
      <c r="AJ28" s="292"/>
      <c r="AL28" s="264">
        <f>SUM(AL9:AL27)</f>
        <v>4676148</v>
      </c>
      <c r="AM28" s="63"/>
    </row>
    <row r="29" spans="1:39" ht="19.5" customHeight="1" x14ac:dyDescent="0.2">
      <c r="A29" s="592" t="s">
        <v>224</v>
      </c>
      <c r="B29" s="593"/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4"/>
      <c r="T29" s="581">
        <v>21</v>
      </c>
      <c r="U29" s="582"/>
      <c r="V29" s="234"/>
      <c r="W29" s="572"/>
      <c r="X29" s="573"/>
      <c r="Y29" s="573"/>
      <c r="Z29" s="573"/>
      <c r="AA29" s="574"/>
      <c r="AB29" s="575"/>
      <c r="AC29" s="576"/>
      <c r="AD29" s="576"/>
      <c r="AE29" s="576"/>
      <c r="AF29" s="577"/>
      <c r="AG29" s="29"/>
      <c r="AH29" s="30"/>
      <c r="AI29" s="30"/>
      <c r="AJ29" s="30"/>
      <c r="AL29" s="264"/>
      <c r="AM29" s="63"/>
    </row>
    <row r="30" spans="1:39" ht="19.5" customHeight="1" x14ac:dyDescent="0.2">
      <c r="A30" s="592" t="s">
        <v>225</v>
      </c>
      <c r="B30" s="593"/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4"/>
      <c r="T30" s="581">
        <v>22</v>
      </c>
      <c r="U30" s="582"/>
      <c r="V30" s="234"/>
      <c r="W30" s="39"/>
      <c r="X30" s="40"/>
      <c r="Y30" s="40"/>
      <c r="Z30" s="40"/>
      <c r="AA30" s="41"/>
      <c r="AB30" s="366"/>
      <c r="AC30" s="367"/>
      <c r="AD30" s="367"/>
      <c r="AE30" s="367"/>
      <c r="AF30" s="368"/>
      <c r="AG30" s="29"/>
      <c r="AH30" s="30"/>
      <c r="AI30" s="30"/>
      <c r="AJ30" s="30"/>
      <c r="AL30" s="264"/>
      <c r="AM30" s="63"/>
    </row>
    <row r="31" spans="1:39" ht="24.75" customHeight="1" x14ac:dyDescent="0.2">
      <c r="A31" s="592" t="s">
        <v>226</v>
      </c>
      <c r="B31" s="593"/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4"/>
      <c r="T31" s="581">
        <v>23</v>
      </c>
      <c r="U31" s="582"/>
      <c r="V31" s="234"/>
      <c r="W31" s="572"/>
      <c r="X31" s="573"/>
      <c r="Y31" s="573"/>
      <c r="Z31" s="573"/>
      <c r="AA31" s="574"/>
      <c r="AB31" s="575"/>
      <c r="AC31" s="576"/>
      <c r="AD31" s="576"/>
      <c r="AE31" s="576"/>
      <c r="AF31" s="577"/>
      <c r="AG31" s="29"/>
      <c r="AH31" s="30"/>
      <c r="AI31" s="30"/>
      <c r="AJ31" s="30"/>
      <c r="AL31" s="264"/>
      <c r="AM31" s="63"/>
    </row>
    <row r="32" spans="1:39" ht="19.5" customHeight="1" x14ac:dyDescent="0.2">
      <c r="A32" s="592" t="s">
        <v>227</v>
      </c>
      <c r="B32" s="593"/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4"/>
      <c r="T32" s="581">
        <v>24</v>
      </c>
      <c r="U32" s="582"/>
      <c r="V32" s="234">
        <v>5831223</v>
      </c>
      <c r="W32" s="572"/>
      <c r="X32" s="573"/>
      <c r="Y32" s="573"/>
      <c r="Z32" s="573"/>
      <c r="AA32" s="574"/>
      <c r="AB32" s="575"/>
      <c r="AC32" s="576"/>
      <c r="AD32" s="576"/>
      <c r="AE32" s="576"/>
      <c r="AF32" s="577"/>
      <c r="AG32" s="29"/>
      <c r="AH32" s="30"/>
      <c r="AI32" s="30"/>
      <c r="AJ32" s="30"/>
      <c r="AL32" s="264"/>
      <c r="AM32" s="63"/>
    </row>
    <row r="33" spans="1:39" ht="19.5" customHeight="1" x14ac:dyDescent="0.2">
      <c r="A33" s="592" t="s">
        <v>367</v>
      </c>
      <c r="B33" s="593"/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4"/>
      <c r="T33" s="581">
        <v>25</v>
      </c>
      <c r="U33" s="582"/>
      <c r="V33" s="234"/>
      <c r="W33" s="572"/>
      <c r="X33" s="573"/>
      <c r="Y33" s="573"/>
      <c r="Z33" s="573"/>
      <c r="AA33" s="574"/>
      <c r="AB33" s="575"/>
      <c r="AC33" s="576"/>
      <c r="AD33" s="576"/>
      <c r="AE33" s="576"/>
      <c r="AF33" s="577"/>
      <c r="AG33" s="29"/>
      <c r="AH33" s="30"/>
      <c r="AI33" s="30"/>
      <c r="AJ33" s="30"/>
      <c r="AL33" s="264"/>
      <c r="AM33" s="63"/>
    </row>
    <row r="34" spans="1:39" ht="19.5" customHeight="1" x14ac:dyDescent="0.2">
      <c r="A34" s="592" t="s">
        <v>228</v>
      </c>
      <c r="B34" s="593"/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4"/>
      <c r="T34" s="581">
        <v>26</v>
      </c>
      <c r="U34" s="582"/>
      <c r="V34" s="234">
        <v>5831225</v>
      </c>
      <c r="W34" s="572"/>
      <c r="X34" s="573"/>
      <c r="Y34" s="573"/>
      <c r="Z34" s="573"/>
      <c r="AA34" s="574"/>
      <c r="AB34" s="575"/>
      <c r="AC34" s="576"/>
      <c r="AD34" s="576"/>
      <c r="AE34" s="576"/>
      <c r="AF34" s="577"/>
      <c r="AG34" s="29"/>
      <c r="AH34" s="30"/>
      <c r="AI34" s="30"/>
      <c r="AJ34" s="30"/>
      <c r="AL34" s="264"/>
      <c r="AM34" s="63"/>
    </row>
    <row r="35" spans="1:39" ht="19.5" customHeight="1" x14ac:dyDescent="0.2">
      <c r="A35" s="592" t="s">
        <v>229</v>
      </c>
      <c r="B35" s="593"/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4"/>
      <c r="T35" s="581">
        <v>27</v>
      </c>
      <c r="U35" s="582"/>
      <c r="V35" s="234">
        <v>583123</v>
      </c>
      <c r="W35" s="562">
        <f>29970+24606+45000+30132+45000</f>
        <v>174708</v>
      </c>
      <c r="X35" s="563"/>
      <c r="Y35" s="563"/>
      <c r="Z35" s="563"/>
      <c r="AA35" s="564"/>
      <c r="AB35" s="565">
        <v>174708</v>
      </c>
      <c r="AC35" s="566"/>
      <c r="AD35" s="566"/>
      <c r="AE35" s="566"/>
      <c r="AF35" s="567"/>
      <c r="AG35" s="29"/>
      <c r="AH35" s="30"/>
      <c r="AI35" s="30"/>
      <c r="AJ35" s="30"/>
      <c r="AL35" s="264"/>
      <c r="AM35" s="63"/>
    </row>
    <row r="36" spans="1:39" ht="24.75" customHeight="1" x14ac:dyDescent="0.2">
      <c r="A36" s="592" t="s">
        <v>230</v>
      </c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4"/>
      <c r="T36" s="581">
        <v>28</v>
      </c>
      <c r="U36" s="582"/>
      <c r="V36" s="234"/>
      <c r="W36" s="572"/>
      <c r="X36" s="573"/>
      <c r="Y36" s="573"/>
      <c r="Z36" s="573"/>
      <c r="AA36" s="574"/>
      <c r="AB36" s="575"/>
      <c r="AC36" s="576"/>
      <c r="AD36" s="576"/>
      <c r="AE36" s="576"/>
      <c r="AF36" s="577"/>
      <c r="AG36" s="29"/>
      <c r="AH36" s="30"/>
      <c r="AI36" s="30"/>
      <c r="AJ36" s="30"/>
      <c r="AL36" s="264"/>
      <c r="AM36" s="63"/>
    </row>
    <row r="37" spans="1:39" ht="19.5" customHeight="1" x14ac:dyDescent="0.2">
      <c r="A37" s="592" t="s">
        <v>231</v>
      </c>
      <c r="B37" s="593"/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4"/>
      <c r="T37" s="581">
        <v>29</v>
      </c>
      <c r="U37" s="582"/>
      <c r="V37" s="234"/>
      <c r="W37" s="572"/>
      <c r="X37" s="573"/>
      <c r="Y37" s="573"/>
      <c r="Z37" s="573"/>
      <c r="AA37" s="574"/>
      <c r="AB37" s="575"/>
      <c r="AC37" s="576"/>
      <c r="AD37" s="576"/>
      <c r="AE37" s="576"/>
      <c r="AF37" s="577"/>
      <c r="AG37" s="29"/>
      <c r="AH37" s="30"/>
      <c r="AI37" s="30"/>
      <c r="AJ37" s="30"/>
      <c r="AL37" s="264"/>
      <c r="AM37" s="63"/>
    </row>
    <row r="38" spans="1:39" ht="19.5" customHeight="1" x14ac:dyDescent="0.2">
      <c r="A38" s="592" t="s">
        <v>232</v>
      </c>
      <c r="B38" s="593"/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4"/>
      <c r="T38" s="581">
        <v>30</v>
      </c>
      <c r="U38" s="582"/>
      <c r="V38" s="234"/>
      <c r="W38" s="572"/>
      <c r="X38" s="573"/>
      <c r="Y38" s="573"/>
      <c r="Z38" s="573"/>
      <c r="AA38" s="574"/>
      <c r="AB38" s="575"/>
      <c r="AC38" s="576"/>
      <c r="AD38" s="576"/>
      <c r="AE38" s="576"/>
      <c r="AF38" s="577"/>
      <c r="AG38" s="29"/>
      <c r="AH38" s="30"/>
      <c r="AI38" s="30"/>
      <c r="AJ38" s="30"/>
      <c r="AL38" s="264"/>
      <c r="AM38" s="63"/>
    </row>
    <row r="39" spans="1:39" ht="19.5" customHeight="1" x14ac:dyDescent="0.2">
      <c r="A39" s="592" t="s">
        <v>233</v>
      </c>
      <c r="B39" s="593"/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4"/>
      <c r="T39" s="581">
        <v>31</v>
      </c>
      <c r="U39" s="582"/>
      <c r="V39" s="234"/>
      <c r="W39" s="562">
        <f>2*5800*100</f>
        <v>1160000</v>
      </c>
      <c r="X39" s="563"/>
      <c r="Y39" s="563"/>
      <c r="Z39" s="563"/>
      <c r="AA39" s="564"/>
      <c r="AB39" s="565">
        <v>1160000</v>
      </c>
      <c r="AC39" s="566"/>
      <c r="AD39" s="566"/>
      <c r="AE39" s="566"/>
      <c r="AF39" s="567"/>
      <c r="AG39" s="29"/>
      <c r="AH39" s="30"/>
      <c r="AI39" s="30"/>
      <c r="AJ39" s="30"/>
      <c r="AL39" s="264"/>
      <c r="AM39" s="63"/>
    </row>
    <row r="40" spans="1:39" ht="19.5" customHeight="1" x14ac:dyDescent="0.2">
      <c r="A40" s="586" t="s">
        <v>39</v>
      </c>
      <c r="B40" s="587"/>
      <c r="C40" s="587"/>
      <c r="D40" s="587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8"/>
      <c r="T40" s="581">
        <v>32</v>
      </c>
      <c r="U40" s="582"/>
      <c r="V40" s="234"/>
      <c r="W40" s="569">
        <f>SUM(W29:AA39)</f>
        <v>1334708</v>
      </c>
      <c r="X40" s="570"/>
      <c r="Y40" s="570"/>
      <c r="Z40" s="570"/>
      <c r="AA40" s="571"/>
      <c r="AB40" s="569">
        <f>SUM(AB29:AF39)</f>
        <v>1334708</v>
      </c>
      <c r="AC40" s="570"/>
      <c r="AD40" s="570"/>
      <c r="AE40" s="570"/>
      <c r="AF40" s="571"/>
      <c r="AG40" s="291"/>
      <c r="AH40" s="292"/>
      <c r="AI40" s="292"/>
      <c r="AJ40" s="292"/>
      <c r="AL40" s="264"/>
      <c r="AM40" s="63"/>
    </row>
    <row r="41" spans="1:39" ht="26.25" customHeight="1" x14ac:dyDescent="0.2">
      <c r="A41" s="586" t="s">
        <v>40</v>
      </c>
      <c r="B41" s="587"/>
      <c r="C41" s="587"/>
      <c r="D41" s="587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8"/>
      <c r="T41" s="581">
        <v>33</v>
      </c>
      <c r="U41" s="582"/>
      <c r="V41" s="234"/>
      <c r="W41" s="569">
        <f>W28+W40</f>
        <v>15902428</v>
      </c>
      <c r="X41" s="570"/>
      <c r="Y41" s="570"/>
      <c r="Z41" s="570"/>
      <c r="AA41" s="571"/>
      <c r="AB41" s="569">
        <f>AB28+AB40</f>
        <v>14553428</v>
      </c>
      <c r="AC41" s="570"/>
      <c r="AD41" s="570"/>
      <c r="AE41" s="570"/>
      <c r="AF41" s="571"/>
      <c r="AG41" s="291"/>
      <c r="AH41" s="292"/>
      <c r="AI41" s="292"/>
      <c r="AJ41" s="292"/>
      <c r="AL41" s="264"/>
      <c r="AM41" s="63"/>
    </row>
    <row r="42" spans="1:39" ht="27" customHeight="1" x14ac:dyDescent="0.2">
      <c r="A42" s="583" t="s">
        <v>234</v>
      </c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584"/>
      <c r="S42" s="585"/>
      <c r="T42" s="581">
        <v>34</v>
      </c>
      <c r="U42" s="582"/>
      <c r="V42" s="234"/>
      <c r="W42" s="589"/>
      <c r="X42" s="590"/>
      <c r="Y42" s="590"/>
      <c r="Z42" s="590"/>
      <c r="AA42" s="591"/>
      <c r="AB42" s="565"/>
      <c r="AC42" s="566"/>
      <c r="AD42" s="566"/>
      <c r="AE42" s="566"/>
      <c r="AF42" s="567"/>
      <c r="AG42" s="289"/>
      <c r="AH42" s="290"/>
      <c r="AI42" s="290"/>
      <c r="AJ42" s="290"/>
      <c r="AL42" s="264"/>
      <c r="AM42" s="63"/>
    </row>
    <row r="43" spans="1:39" ht="27" customHeight="1" x14ac:dyDescent="0.2">
      <c r="A43" s="583" t="s">
        <v>260</v>
      </c>
      <c r="B43" s="584"/>
      <c r="C43" s="584"/>
      <c r="D43" s="584"/>
      <c r="E43" s="584"/>
      <c r="F43" s="584"/>
      <c r="G43" s="584"/>
      <c r="H43" s="584"/>
      <c r="I43" s="584"/>
      <c r="J43" s="584"/>
      <c r="K43" s="584"/>
      <c r="L43" s="584"/>
      <c r="M43" s="584"/>
      <c r="N43" s="584"/>
      <c r="O43" s="584"/>
      <c r="P43" s="584"/>
      <c r="Q43" s="584"/>
      <c r="R43" s="584"/>
      <c r="S43" s="585"/>
      <c r="T43" s="581">
        <v>35</v>
      </c>
      <c r="U43" s="582"/>
      <c r="V43" s="234">
        <v>58314</v>
      </c>
      <c r="W43" s="562">
        <v>367665</v>
      </c>
      <c r="X43" s="563"/>
      <c r="Y43" s="563"/>
      <c r="Z43" s="563"/>
      <c r="AA43" s="564"/>
      <c r="AB43" s="562">
        <f>367666+1411000</f>
        <v>1778666</v>
      </c>
      <c r="AC43" s="563"/>
      <c r="AD43" s="563"/>
      <c r="AE43" s="563"/>
      <c r="AF43" s="564"/>
      <c r="AG43" s="289"/>
      <c r="AH43" s="290"/>
      <c r="AI43" s="290"/>
      <c r="AJ43" s="290"/>
      <c r="AL43" s="264"/>
      <c r="AM43" s="63"/>
    </row>
    <row r="44" spans="1:39" ht="20.25" customHeight="1" x14ac:dyDescent="0.2">
      <c r="A44" s="586" t="s">
        <v>41</v>
      </c>
      <c r="B44" s="587"/>
      <c r="C44" s="587"/>
      <c r="D44" s="587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8"/>
      <c r="T44" s="581">
        <v>36</v>
      </c>
      <c r="U44" s="582"/>
      <c r="V44" s="234"/>
      <c r="W44" s="569">
        <f>SUM(W41+W42+W43)</f>
        <v>16270093</v>
      </c>
      <c r="X44" s="570"/>
      <c r="Y44" s="570"/>
      <c r="Z44" s="570"/>
      <c r="AA44" s="571"/>
      <c r="AB44" s="569">
        <f>SUM(AB41+AB42+AB43)</f>
        <v>16332094</v>
      </c>
      <c r="AC44" s="570"/>
      <c r="AD44" s="570"/>
      <c r="AE44" s="570"/>
      <c r="AF44" s="571"/>
      <c r="AG44" s="291"/>
      <c r="AH44" s="292"/>
      <c r="AI44" s="292"/>
      <c r="AJ44" s="292"/>
      <c r="AL44" s="264">
        <f>+AL39+AL28</f>
        <v>4676148</v>
      </c>
      <c r="AM44" s="63"/>
    </row>
    <row r="45" spans="1:39" ht="21.95" customHeight="1" x14ac:dyDescent="0.2"/>
    <row r="46" spans="1:39" ht="21.95" customHeight="1" x14ac:dyDescent="0.2"/>
    <row r="47" spans="1:39" ht="21.95" customHeight="1" x14ac:dyDescent="0.2"/>
    <row r="48" spans="1:39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spans="1:4" ht="21.95" customHeight="1" x14ac:dyDescent="0.2"/>
    <row r="98" spans="1:4" ht="21.95" customHeight="1" x14ac:dyDescent="0.2"/>
    <row r="99" spans="1:4" ht="21.95" customHeight="1" x14ac:dyDescent="0.2"/>
    <row r="100" spans="1:4" ht="21.95" customHeight="1" x14ac:dyDescent="0.2"/>
    <row r="101" spans="1:4" ht="21.95" customHeight="1" x14ac:dyDescent="0.2"/>
    <row r="102" spans="1:4" ht="21.95" customHeight="1" x14ac:dyDescent="0.2"/>
    <row r="103" spans="1:4" ht="21.95" customHeight="1" x14ac:dyDescent="0.2"/>
    <row r="104" spans="1:4" ht="21.95" customHeight="1" x14ac:dyDescent="0.2"/>
    <row r="105" spans="1:4" ht="21.95" customHeight="1" x14ac:dyDescent="0.2"/>
    <row r="106" spans="1:4" ht="21.95" customHeight="1" x14ac:dyDescent="0.2"/>
    <row r="107" spans="1:4" ht="21.95" customHeight="1" x14ac:dyDescent="0.2"/>
    <row r="108" spans="1:4" ht="21.95" customHeight="1" x14ac:dyDescent="0.2"/>
    <row r="109" spans="1:4" ht="21.95" customHeight="1" x14ac:dyDescent="0.2"/>
    <row r="110" spans="1:4" ht="21.95" customHeight="1" x14ac:dyDescent="0.2"/>
    <row r="111" spans="1:4" ht="21.95" customHeight="1" x14ac:dyDescent="0.2">
      <c r="A111" s="36"/>
      <c r="B111" s="36"/>
      <c r="C111" s="36"/>
      <c r="D111" s="36"/>
    </row>
    <row r="112" spans="1:4" ht="21.95" customHeight="1" x14ac:dyDescent="0.2">
      <c r="A112" s="36"/>
      <c r="B112" s="36"/>
      <c r="C112" s="36"/>
      <c r="D112" s="36"/>
    </row>
    <row r="113" spans="1:4" ht="21.95" customHeight="1" x14ac:dyDescent="0.2">
      <c r="A113" s="36"/>
      <c r="B113" s="36"/>
      <c r="C113" s="36"/>
      <c r="D113" s="36"/>
    </row>
    <row r="114" spans="1:4" ht="21.95" customHeight="1" x14ac:dyDescent="0.2">
      <c r="A114" s="36"/>
      <c r="B114" s="36"/>
      <c r="C114" s="36"/>
      <c r="D114" s="36"/>
    </row>
    <row r="115" spans="1:4" ht="21.95" customHeight="1" x14ac:dyDescent="0.2">
      <c r="A115" s="36"/>
      <c r="B115" s="36"/>
      <c r="C115" s="36"/>
      <c r="D115" s="36"/>
    </row>
    <row r="116" spans="1:4" ht="21.95" customHeight="1" x14ac:dyDescent="0.2">
      <c r="A116" s="36"/>
      <c r="B116" s="36"/>
      <c r="C116" s="36"/>
      <c r="D116" s="36"/>
    </row>
    <row r="117" spans="1:4" ht="21.95" customHeight="1" x14ac:dyDescent="0.2">
      <c r="A117" s="36"/>
      <c r="B117" s="36"/>
      <c r="C117" s="36"/>
      <c r="D117" s="36"/>
    </row>
    <row r="118" spans="1:4" ht="21.95" customHeight="1" x14ac:dyDescent="0.2">
      <c r="A118" s="36"/>
      <c r="B118" s="36"/>
      <c r="C118" s="36"/>
      <c r="D118" s="36"/>
    </row>
    <row r="119" spans="1:4" ht="21.95" customHeight="1" x14ac:dyDescent="0.2">
      <c r="A119" s="36"/>
      <c r="B119" s="36"/>
      <c r="C119" s="36"/>
      <c r="D119" s="36"/>
    </row>
    <row r="120" spans="1:4" ht="21.95" customHeight="1" x14ac:dyDescent="0.2">
      <c r="A120" s="36"/>
      <c r="B120" s="36"/>
      <c r="C120" s="36"/>
      <c r="D120" s="36"/>
    </row>
    <row r="121" spans="1:4" ht="21.95" customHeight="1" x14ac:dyDescent="0.2">
      <c r="A121" s="36"/>
      <c r="B121" s="36"/>
      <c r="C121" s="36"/>
      <c r="D121" s="36"/>
    </row>
    <row r="122" spans="1:4" ht="21.95" customHeight="1" x14ac:dyDescent="0.2">
      <c r="A122" s="36"/>
      <c r="B122" s="36"/>
      <c r="C122" s="36"/>
      <c r="D122" s="36"/>
    </row>
    <row r="123" spans="1:4" ht="21.95" customHeight="1" x14ac:dyDescent="0.2">
      <c r="A123" s="36"/>
      <c r="B123" s="36"/>
      <c r="C123" s="36"/>
      <c r="D123" s="36"/>
    </row>
    <row r="124" spans="1:4" ht="21.95" customHeight="1" x14ac:dyDescent="0.2">
      <c r="A124" s="36"/>
      <c r="B124" s="36"/>
      <c r="C124" s="36"/>
      <c r="D124" s="36"/>
    </row>
    <row r="125" spans="1:4" ht="21.95" customHeight="1" x14ac:dyDescent="0.2">
      <c r="A125" s="36"/>
      <c r="B125" s="36"/>
      <c r="C125" s="36"/>
      <c r="D125" s="36"/>
    </row>
    <row r="126" spans="1:4" ht="21.95" customHeight="1" x14ac:dyDescent="0.2">
      <c r="A126" s="36"/>
      <c r="B126" s="36"/>
      <c r="C126" s="36"/>
      <c r="D126" s="36"/>
    </row>
    <row r="127" spans="1:4" ht="21.95" customHeight="1" x14ac:dyDescent="0.2">
      <c r="A127" s="36"/>
      <c r="B127" s="36"/>
      <c r="C127" s="36"/>
      <c r="D127" s="36"/>
    </row>
    <row r="128" spans="1:4" ht="21.95" customHeight="1" x14ac:dyDescent="0.2">
      <c r="A128" s="36"/>
      <c r="B128" s="36"/>
      <c r="C128" s="36"/>
      <c r="D128" s="36"/>
    </row>
    <row r="129" spans="1:4" ht="21.95" customHeight="1" x14ac:dyDescent="0.2">
      <c r="A129" s="36"/>
      <c r="B129" s="36"/>
      <c r="C129" s="36"/>
      <c r="D129" s="36"/>
    </row>
    <row r="130" spans="1:4" ht="21.95" customHeight="1" x14ac:dyDescent="0.2">
      <c r="A130" s="36"/>
      <c r="B130" s="36"/>
      <c r="C130" s="36"/>
      <c r="D130" s="36"/>
    </row>
    <row r="131" spans="1:4" ht="21.95" customHeight="1" x14ac:dyDescent="0.2">
      <c r="A131" s="36"/>
      <c r="B131" s="36"/>
      <c r="C131" s="36"/>
      <c r="D131" s="36"/>
    </row>
    <row r="132" spans="1:4" ht="21.95" customHeight="1" x14ac:dyDescent="0.2">
      <c r="A132" s="36"/>
      <c r="B132" s="36"/>
      <c r="C132" s="36"/>
      <c r="D132" s="36"/>
    </row>
    <row r="133" spans="1:4" ht="21.95" customHeight="1" x14ac:dyDescent="0.2">
      <c r="A133" s="36"/>
      <c r="B133" s="36"/>
      <c r="C133" s="36"/>
      <c r="D133" s="36"/>
    </row>
    <row r="134" spans="1:4" ht="21.95" customHeight="1" x14ac:dyDescent="0.2">
      <c r="A134" s="36"/>
      <c r="B134" s="36"/>
      <c r="C134" s="36"/>
      <c r="D134" s="36"/>
    </row>
    <row r="135" spans="1:4" ht="21.95" customHeight="1" x14ac:dyDescent="0.2">
      <c r="A135" s="36"/>
      <c r="B135" s="36"/>
      <c r="C135" s="36"/>
      <c r="D135" s="36"/>
    </row>
    <row r="136" spans="1:4" ht="21.95" customHeight="1" x14ac:dyDescent="0.2">
      <c r="A136" s="36"/>
      <c r="B136" s="36"/>
      <c r="C136" s="36"/>
      <c r="D136" s="36"/>
    </row>
    <row r="137" spans="1:4" ht="21.95" customHeight="1" x14ac:dyDescent="0.2">
      <c r="A137" s="36"/>
      <c r="B137" s="36"/>
      <c r="C137" s="36"/>
      <c r="D137" s="36"/>
    </row>
    <row r="138" spans="1:4" ht="21.95" customHeight="1" x14ac:dyDescent="0.2">
      <c r="A138" s="36"/>
      <c r="B138" s="36"/>
      <c r="C138" s="36"/>
      <c r="D138" s="36"/>
    </row>
    <row r="139" spans="1:4" ht="21.95" customHeight="1" x14ac:dyDescent="0.2">
      <c r="A139" s="36"/>
      <c r="B139" s="36"/>
      <c r="C139" s="36"/>
      <c r="D139" s="36"/>
    </row>
    <row r="140" spans="1:4" ht="21.95" customHeight="1" x14ac:dyDescent="0.2">
      <c r="A140" s="36"/>
      <c r="B140" s="36"/>
      <c r="C140" s="36"/>
      <c r="D140" s="36"/>
    </row>
    <row r="141" spans="1:4" ht="21.95" customHeight="1" x14ac:dyDescent="0.2">
      <c r="A141" s="36"/>
      <c r="B141" s="36"/>
      <c r="C141" s="36"/>
      <c r="D141" s="36"/>
    </row>
    <row r="142" spans="1:4" ht="21.95" customHeight="1" x14ac:dyDescent="0.2">
      <c r="A142" s="36"/>
      <c r="B142" s="36"/>
      <c r="C142" s="36"/>
      <c r="D142" s="36"/>
    </row>
    <row r="143" spans="1:4" ht="21.95" customHeight="1" x14ac:dyDescent="0.2">
      <c r="A143" s="36"/>
      <c r="B143" s="36"/>
      <c r="C143" s="36"/>
      <c r="D143" s="36"/>
    </row>
    <row r="144" spans="1:4" ht="21.95" customHeight="1" x14ac:dyDescent="0.2">
      <c r="A144" s="36"/>
      <c r="B144" s="36"/>
      <c r="C144" s="36"/>
      <c r="D144" s="36"/>
    </row>
    <row r="145" spans="1:4" ht="21.95" customHeight="1" x14ac:dyDescent="0.2">
      <c r="A145" s="36"/>
      <c r="B145" s="36"/>
      <c r="C145" s="36"/>
      <c r="D145" s="36"/>
    </row>
    <row r="146" spans="1:4" ht="21.95" customHeight="1" x14ac:dyDescent="0.2">
      <c r="A146" s="36"/>
      <c r="B146" s="36"/>
      <c r="C146" s="36"/>
      <c r="D146" s="36"/>
    </row>
    <row r="147" spans="1:4" ht="21.95" customHeight="1" x14ac:dyDescent="0.2">
      <c r="A147" s="36"/>
      <c r="B147" s="36"/>
      <c r="C147" s="36"/>
      <c r="D147" s="36"/>
    </row>
    <row r="148" spans="1:4" ht="21.95" customHeight="1" x14ac:dyDescent="0.2">
      <c r="A148" s="36"/>
      <c r="B148" s="36"/>
      <c r="C148" s="36"/>
      <c r="D148" s="36"/>
    </row>
    <row r="149" spans="1:4" ht="21.95" customHeight="1" x14ac:dyDescent="0.2">
      <c r="A149" s="36"/>
      <c r="B149" s="36"/>
      <c r="C149" s="36"/>
      <c r="D149" s="36"/>
    </row>
    <row r="150" spans="1:4" ht="21.95" customHeight="1" x14ac:dyDescent="0.2">
      <c r="A150" s="36"/>
      <c r="B150" s="36"/>
      <c r="C150" s="36"/>
      <c r="D150" s="36"/>
    </row>
    <row r="151" spans="1:4" ht="21.95" customHeight="1" x14ac:dyDescent="0.2">
      <c r="A151" s="36"/>
      <c r="B151" s="36"/>
      <c r="C151" s="36"/>
      <c r="D151" s="36"/>
    </row>
    <row r="152" spans="1:4" ht="21.95" customHeight="1" x14ac:dyDescent="0.2">
      <c r="A152" s="36"/>
      <c r="B152" s="36"/>
      <c r="C152" s="36"/>
      <c r="D152" s="36"/>
    </row>
    <row r="153" spans="1:4" ht="21.95" customHeight="1" x14ac:dyDescent="0.2">
      <c r="A153" s="36"/>
      <c r="B153" s="36"/>
      <c r="C153" s="36"/>
      <c r="D153" s="36"/>
    </row>
    <row r="154" spans="1:4" ht="21.95" customHeight="1" x14ac:dyDescent="0.2">
      <c r="A154" s="36"/>
      <c r="B154" s="36"/>
      <c r="C154" s="36"/>
      <c r="D154" s="36"/>
    </row>
    <row r="155" spans="1:4" ht="21.95" customHeight="1" x14ac:dyDescent="0.2">
      <c r="A155" s="36"/>
      <c r="B155" s="36"/>
      <c r="C155" s="36"/>
      <c r="D155" s="36"/>
    </row>
    <row r="156" spans="1:4" ht="21.95" customHeight="1" x14ac:dyDescent="0.2">
      <c r="A156" s="36"/>
      <c r="B156" s="36"/>
      <c r="C156" s="36"/>
      <c r="D156" s="36"/>
    </row>
    <row r="157" spans="1:4" ht="21.95" customHeight="1" x14ac:dyDescent="0.2">
      <c r="A157" s="36"/>
      <c r="B157" s="36"/>
      <c r="C157" s="36"/>
      <c r="D157" s="36"/>
    </row>
    <row r="158" spans="1:4" ht="21.95" customHeight="1" x14ac:dyDescent="0.2">
      <c r="A158" s="36"/>
      <c r="B158" s="36"/>
      <c r="C158" s="36"/>
      <c r="D158" s="36"/>
    </row>
    <row r="159" spans="1:4" ht="21.95" customHeight="1" x14ac:dyDescent="0.2">
      <c r="A159" s="36"/>
      <c r="B159" s="36"/>
      <c r="C159" s="36"/>
      <c r="D159" s="36"/>
    </row>
    <row r="160" spans="1:4" ht="21.95" customHeight="1" x14ac:dyDescent="0.2">
      <c r="A160" s="36"/>
      <c r="B160" s="36"/>
      <c r="C160" s="36"/>
      <c r="D160" s="36"/>
    </row>
    <row r="161" spans="1:4" ht="21.95" customHeight="1" x14ac:dyDescent="0.2">
      <c r="A161" s="36"/>
      <c r="B161" s="36"/>
      <c r="C161" s="36"/>
      <c r="D161" s="36"/>
    </row>
    <row r="162" spans="1:4" ht="21.95" customHeight="1" x14ac:dyDescent="0.2">
      <c r="A162" s="36"/>
      <c r="B162" s="36"/>
      <c r="C162" s="36"/>
      <c r="D162" s="36"/>
    </row>
    <row r="163" spans="1:4" ht="21.95" customHeight="1" x14ac:dyDescent="0.2">
      <c r="A163" s="36"/>
      <c r="B163" s="36"/>
      <c r="C163" s="36"/>
      <c r="D163" s="36"/>
    </row>
    <row r="164" spans="1:4" ht="21.95" customHeight="1" x14ac:dyDescent="0.2">
      <c r="A164" s="36"/>
      <c r="B164" s="36"/>
      <c r="C164" s="36"/>
      <c r="D164" s="36"/>
    </row>
    <row r="165" spans="1:4" ht="21.95" customHeight="1" x14ac:dyDescent="0.2">
      <c r="A165" s="36"/>
      <c r="B165" s="36"/>
      <c r="C165" s="36"/>
      <c r="D165" s="36"/>
    </row>
    <row r="166" spans="1:4" ht="21.95" customHeight="1" x14ac:dyDescent="0.2">
      <c r="A166" s="36"/>
      <c r="B166" s="36"/>
      <c r="C166" s="36"/>
      <c r="D166" s="36"/>
    </row>
    <row r="167" spans="1:4" ht="21.95" customHeight="1" x14ac:dyDescent="0.2">
      <c r="A167" s="36"/>
      <c r="B167" s="36"/>
      <c r="C167" s="36"/>
      <c r="D167" s="36"/>
    </row>
    <row r="168" spans="1:4" ht="21.95" customHeight="1" x14ac:dyDescent="0.2">
      <c r="A168" s="36"/>
      <c r="B168" s="36"/>
      <c r="C168" s="36"/>
      <c r="D168" s="36"/>
    </row>
    <row r="169" spans="1:4" ht="21.95" customHeight="1" x14ac:dyDescent="0.2">
      <c r="A169" s="36"/>
      <c r="B169" s="36"/>
      <c r="C169" s="36"/>
      <c r="D169" s="36"/>
    </row>
    <row r="170" spans="1:4" ht="21.95" customHeight="1" x14ac:dyDescent="0.2">
      <c r="A170" s="36"/>
      <c r="B170" s="36"/>
      <c r="C170" s="36"/>
      <c r="D170" s="36"/>
    </row>
    <row r="171" spans="1:4" ht="21.95" customHeight="1" x14ac:dyDescent="0.2">
      <c r="A171" s="36"/>
      <c r="B171" s="36"/>
      <c r="C171" s="36"/>
      <c r="D171" s="36"/>
    </row>
    <row r="172" spans="1:4" ht="21.95" customHeight="1" x14ac:dyDescent="0.2">
      <c r="A172" s="36"/>
      <c r="B172" s="36"/>
      <c r="C172" s="36"/>
      <c r="D172" s="36"/>
    </row>
    <row r="173" spans="1:4" ht="21.95" customHeight="1" x14ac:dyDescent="0.2">
      <c r="A173" s="36"/>
      <c r="B173" s="36"/>
      <c r="C173" s="36"/>
      <c r="D173" s="36"/>
    </row>
    <row r="174" spans="1:4" ht="21.95" customHeight="1" x14ac:dyDescent="0.2">
      <c r="A174" s="36"/>
      <c r="B174" s="36"/>
      <c r="C174" s="36"/>
      <c r="D174" s="36"/>
    </row>
    <row r="175" spans="1:4" ht="21.95" customHeight="1" x14ac:dyDescent="0.2">
      <c r="A175" s="36"/>
      <c r="B175" s="36"/>
      <c r="C175" s="36"/>
      <c r="D175" s="36"/>
    </row>
    <row r="176" spans="1:4" ht="21.95" customHeight="1" x14ac:dyDescent="0.2">
      <c r="A176" s="36"/>
      <c r="B176" s="36"/>
      <c r="C176" s="36"/>
      <c r="D176" s="36"/>
    </row>
    <row r="177" spans="1:4" ht="21.95" customHeight="1" x14ac:dyDescent="0.2">
      <c r="A177" s="36"/>
      <c r="B177" s="36"/>
      <c r="C177" s="36"/>
      <c r="D177" s="36"/>
    </row>
    <row r="178" spans="1:4" ht="21.95" customHeight="1" x14ac:dyDescent="0.2">
      <c r="A178" s="36"/>
      <c r="B178" s="36"/>
      <c r="C178" s="36"/>
      <c r="D178" s="36"/>
    </row>
    <row r="179" spans="1:4" ht="21.95" customHeight="1" x14ac:dyDescent="0.2">
      <c r="A179" s="36"/>
      <c r="B179" s="36"/>
      <c r="C179" s="36"/>
      <c r="D179" s="36"/>
    </row>
    <row r="180" spans="1:4" ht="21.95" customHeight="1" x14ac:dyDescent="0.2">
      <c r="A180" s="36"/>
      <c r="B180" s="36"/>
      <c r="C180" s="36"/>
      <c r="D180" s="36"/>
    </row>
    <row r="181" spans="1:4" ht="21.95" customHeight="1" x14ac:dyDescent="0.2">
      <c r="A181" s="36"/>
      <c r="B181" s="36"/>
      <c r="C181" s="36"/>
      <c r="D181" s="36"/>
    </row>
    <row r="182" spans="1:4" ht="21.95" customHeight="1" x14ac:dyDescent="0.2">
      <c r="A182" s="36"/>
      <c r="B182" s="36"/>
      <c r="C182" s="36"/>
      <c r="D182" s="36"/>
    </row>
    <row r="183" spans="1:4" ht="21.95" customHeight="1" x14ac:dyDescent="0.2">
      <c r="A183" s="36"/>
      <c r="B183" s="36"/>
      <c r="C183" s="36"/>
      <c r="D183" s="36"/>
    </row>
    <row r="184" spans="1:4" ht="21.95" customHeight="1" x14ac:dyDescent="0.2">
      <c r="A184" s="36"/>
      <c r="B184" s="36"/>
      <c r="C184" s="36"/>
      <c r="D184" s="36"/>
    </row>
    <row r="185" spans="1:4" ht="21.95" customHeight="1" x14ac:dyDescent="0.2">
      <c r="A185" s="36"/>
      <c r="B185" s="36"/>
      <c r="C185" s="36"/>
      <c r="D185" s="36"/>
    </row>
    <row r="186" spans="1:4" ht="21.95" customHeight="1" x14ac:dyDescent="0.2">
      <c r="A186" s="36"/>
      <c r="B186" s="36"/>
      <c r="C186" s="36"/>
      <c r="D186" s="36"/>
    </row>
    <row r="187" spans="1:4" x14ac:dyDescent="0.2">
      <c r="A187" s="36"/>
      <c r="B187" s="36"/>
      <c r="C187" s="36"/>
      <c r="D187" s="36"/>
    </row>
    <row r="188" spans="1:4" x14ac:dyDescent="0.2">
      <c r="A188" s="36"/>
      <c r="B188" s="36"/>
      <c r="C188" s="36"/>
      <c r="D188" s="36"/>
    </row>
    <row r="189" spans="1:4" x14ac:dyDescent="0.2">
      <c r="A189" s="36"/>
      <c r="B189" s="36"/>
      <c r="C189" s="36"/>
      <c r="D189" s="36"/>
    </row>
    <row r="190" spans="1:4" x14ac:dyDescent="0.2">
      <c r="A190" s="36"/>
      <c r="B190" s="36"/>
      <c r="C190" s="36"/>
      <c r="D190" s="36"/>
    </row>
    <row r="191" spans="1:4" x14ac:dyDescent="0.2">
      <c r="A191" s="36"/>
      <c r="B191" s="36"/>
      <c r="C191" s="36"/>
      <c r="D191" s="36"/>
    </row>
    <row r="192" spans="1:4" x14ac:dyDescent="0.2">
      <c r="A192" s="36"/>
      <c r="B192" s="36"/>
      <c r="C192" s="36"/>
      <c r="D192" s="36"/>
    </row>
    <row r="193" spans="1:4" x14ac:dyDescent="0.2">
      <c r="A193" s="36"/>
      <c r="B193" s="36"/>
      <c r="C193" s="36"/>
      <c r="D193" s="36"/>
    </row>
  </sheetData>
  <mergeCells count="149">
    <mergeCell ref="A23:S23"/>
    <mergeCell ref="AB11:AF11"/>
    <mergeCell ref="W15:AA15"/>
    <mergeCell ref="AB15:AF15"/>
    <mergeCell ref="W12:AA12"/>
    <mergeCell ref="A33:S33"/>
    <mergeCell ref="A31:S31"/>
    <mergeCell ref="A30:S30"/>
    <mergeCell ref="A28:S28"/>
    <mergeCell ref="T35:U35"/>
    <mergeCell ref="T30:U30"/>
    <mergeCell ref="T34:U34"/>
    <mergeCell ref="T25:U25"/>
    <mergeCell ref="T26:U26"/>
    <mergeCell ref="T31:U31"/>
    <mergeCell ref="T32:U32"/>
    <mergeCell ref="T33:U33"/>
    <mergeCell ref="T27:U27"/>
    <mergeCell ref="A4:AJ4"/>
    <mergeCell ref="A7:S7"/>
    <mergeCell ref="AB10:AF10"/>
    <mergeCell ref="AB18:AF18"/>
    <mergeCell ref="W9:AA9"/>
    <mergeCell ref="A11:S11"/>
    <mergeCell ref="A17:S17"/>
    <mergeCell ref="A13:S13"/>
    <mergeCell ref="A36:S36"/>
    <mergeCell ref="T36:U36"/>
    <mergeCell ref="A24:S24"/>
    <mergeCell ref="A29:S29"/>
    <mergeCell ref="A25:S25"/>
    <mergeCell ref="T28:U28"/>
    <mergeCell ref="T29:U29"/>
    <mergeCell ref="T13:U13"/>
    <mergeCell ref="T23:U23"/>
    <mergeCell ref="T16:U16"/>
    <mergeCell ref="T18:U18"/>
    <mergeCell ref="T21:U21"/>
    <mergeCell ref="A35:S35"/>
    <mergeCell ref="A27:S27"/>
    <mergeCell ref="A34:S34"/>
    <mergeCell ref="A32:S32"/>
    <mergeCell ref="W13:AA13"/>
    <mergeCell ref="AB16:AF16"/>
    <mergeCell ref="AB14:AF14"/>
    <mergeCell ref="W11:AA11"/>
    <mergeCell ref="AB17:AF17"/>
    <mergeCell ref="W18:AA18"/>
    <mergeCell ref="A9:S9"/>
    <mergeCell ref="A18:S18"/>
    <mergeCell ref="A14:S14"/>
    <mergeCell ref="T9:U9"/>
    <mergeCell ref="T10:U10"/>
    <mergeCell ref="T11:U11"/>
    <mergeCell ref="T12:U12"/>
    <mergeCell ref="A10:S10"/>
    <mergeCell ref="T17:U17"/>
    <mergeCell ref="A16:S16"/>
    <mergeCell ref="T15:U15"/>
    <mergeCell ref="A12:S12"/>
    <mergeCell ref="AB12:AF12"/>
    <mergeCell ref="AB13:AF13"/>
    <mergeCell ref="W10:AA10"/>
    <mergeCell ref="W17:AA17"/>
    <mergeCell ref="W16:AA16"/>
    <mergeCell ref="T14:U14"/>
    <mergeCell ref="AB31:AF31"/>
    <mergeCell ref="AB21:AF21"/>
    <mergeCell ref="W22:AA22"/>
    <mergeCell ref="AB19:AF19"/>
    <mergeCell ref="A22:S22"/>
    <mergeCell ref="W20:AA20"/>
    <mergeCell ref="AB20:AF20"/>
    <mergeCell ref="T22:U22"/>
    <mergeCell ref="A19:S19"/>
    <mergeCell ref="A20:S20"/>
    <mergeCell ref="A26:S26"/>
    <mergeCell ref="A21:S21"/>
    <mergeCell ref="W19:AA19"/>
    <mergeCell ref="W21:AA21"/>
    <mergeCell ref="W24:AA24"/>
    <mergeCell ref="T19:U19"/>
    <mergeCell ref="T20:U20"/>
    <mergeCell ref="W26:AA26"/>
    <mergeCell ref="AB26:AF26"/>
    <mergeCell ref="W27:AA27"/>
    <mergeCell ref="AB27:AF27"/>
    <mergeCell ref="AB22:AF22"/>
    <mergeCell ref="AB24:AF24"/>
    <mergeCell ref="T24:U24"/>
    <mergeCell ref="AB25:AF25"/>
    <mergeCell ref="W23:AA23"/>
    <mergeCell ref="AB23:AF23"/>
    <mergeCell ref="W44:AA44"/>
    <mergeCell ref="A44:S44"/>
    <mergeCell ref="AB44:AF44"/>
    <mergeCell ref="W41:AA41"/>
    <mergeCell ref="AB41:AF41"/>
    <mergeCell ref="W42:AA42"/>
    <mergeCell ref="W43:AA43"/>
    <mergeCell ref="AB43:AF43"/>
    <mergeCell ref="AB34:AF34"/>
    <mergeCell ref="W38:AA38"/>
    <mergeCell ref="W35:AA35"/>
    <mergeCell ref="AB35:AF35"/>
    <mergeCell ref="AB36:AF36"/>
    <mergeCell ref="W36:AA36"/>
    <mergeCell ref="AB38:AF38"/>
    <mergeCell ref="T44:U44"/>
    <mergeCell ref="A39:S39"/>
    <mergeCell ref="T39:U39"/>
    <mergeCell ref="A37:S37"/>
    <mergeCell ref="A38:S38"/>
    <mergeCell ref="W31:AA31"/>
    <mergeCell ref="A43:S43"/>
    <mergeCell ref="A40:S40"/>
    <mergeCell ref="T40:U40"/>
    <mergeCell ref="A42:S42"/>
    <mergeCell ref="AB42:AF42"/>
    <mergeCell ref="W40:AA40"/>
    <mergeCell ref="AB40:AF40"/>
    <mergeCell ref="T41:U41"/>
    <mergeCell ref="T42:U42"/>
    <mergeCell ref="T43:U43"/>
    <mergeCell ref="A41:S41"/>
    <mergeCell ref="A2:AJ2"/>
    <mergeCell ref="A1:AJ1"/>
    <mergeCell ref="W7:AA8"/>
    <mergeCell ref="T7:U8"/>
    <mergeCell ref="V7:V8"/>
    <mergeCell ref="AB7:AF8"/>
    <mergeCell ref="W39:AA39"/>
    <mergeCell ref="AB39:AF39"/>
    <mergeCell ref="F3:U3"/>
    <mergeCell ref="W28:AA28"/>
    <mergeCell ref="AB28:AF28"/>
    <mergeCell ref="W37:AA37"/>
    <mergeCell ref="AB37:AF37"/>
    <mergeCell ref="AB33:AF33"/>
    <mergeCell ref="W34:AA34"/>
    <mergeCell ref="W33:AA33"/>
    <mergeCell ref="W32:AA32"/>
    <mergeCell ref="AB32:AF32"/>
    <mergeCell ref="AB9:AF9"/>
    <mergeCell ref="W29:AA29"/>
    <mergeCell ref="AB29:AF29"/>
    <mergeCell ref="T38:U38"/>
    <mergeCell ref="T37:U37"/>
    <mergeCell ref="W25:AA25"/>
  </mergeCells>
  <phoneticPr fontId="0" type="noConversion"/>
  <printOptions horizontalCentered="1"/>
  <pageMargins left="0.16" right="0.19685039370078741" top="0.28000000000000003" bottom="0.35" header="0.18" footer="0.3"/>
  <pageSetup paperSize="9" scale="82" fitToHeight="0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P187"/>
  <sheetViews>
    <sheetView showGridLines="0" view="pageBreakPreview" topLeftCell="A22" zoomScaleNormal="100" zoomScaleSheetLayoutView="100" workbookViewId="0">
      <selection activeCell="B3" sqref="B3:AM3"/>
    </sheetView>
  </sheetViews>
  <sheetFormatPr defaultRowHeight="12.75" x14ac:dyDescent="0.2"/>
  <cols>
    <col min="1" max="1" width="5.28515625" style="21" customWidth="1"/>
    <col min="2" max="7" width="3.28515625" style="21" customWidth="1"/>
    <col min="8" max="8" width="5.140625" style="21" customWidth="1"/>
    <col min="9" max="12" width="3.28515625" style="21" customWidth="1"/>
    <col min="13" max="13" width="4.28515625" style="21" customWidth="1"/>
    <col min="14" max="15" width="3.28515625" style="21" customWidth="1"/>
    <col min="16" max="16" width="4.42578125" style="21" customWidth="1"/>
    <col min="17" max="24" width="3.28515625" style="21" customWidth="1"/>
    <col min="25" max="25" width="6.42578125" style="21" customWidth="1"/>
    <col min="26" max="29" width="3.42578125" style="21" customWidth="1"/>
    <col min="30" max="30" width="6" style="21" customWidth="1"/>
    <col min="31" max="31" width="3.42578125" style="21" customWidth="1"/>
    <col min="32" max="32" width="5.140625" style="21" customWidth="1"/>
    <col min="33" max="33" width="4.42578125" style="21" customWidth="1"/>
    <col min="34" max="34" width="4.7109375" style="21" customWidth="1"/>
    <col min="35" max="35" width="4" style="21" customWidth="1"/>
    <col min="36" max="36" width="5.140625" style="21" customWidth="1"/>
    <col min="37" max="37" width="2.42578125" style="21" customWidth="1"/>
    <col min="38" max="38" width="2.85546875" style="21" customWidth="1"/>
    <col min="39" max="39" width="4.140625" style="21" customWidth="1"/>
    <col min="40" max="16384" width="9.140625" style="21"/>
  </cols>
  <sheetData>
    <row r="1" spans="1:39" x14ac:dyDescent="0.2"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</row>
    <row r="2" spans="1:39" x14ac:dyDescent="0.2"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  <c r="AM2" s="543"/>
    </row>
    <row r="3" spans="1:39" s="37" customFormat="1" ht="26.25" customHeight="1" x14ac:dyDescent="0.25">
      <c r="B3" s="543" t="s">
        <v>311</v>
      </c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</row>
    <row r="4" spans="1:39" s="37" customFormat="1" ht="19.5" customHeight="1" x14ac:dyDescent="0.25"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  <c r="AM4" s="543"/>
    </row>
    <row r="5" spans="1:39" s="37" customFormat="1" ht="15.75" x14ac:dyDescent="0.25">
      <c r="B5" s="543" t="s">
        <v>280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8"/>
      <c r="AL5" s="518"/>
      <c r="AM5" s="518"/>
    </row>
    <row r="6" spans="1:39" ht="15.75" x14ac:dyDescent="0.2">
      <c r="B6" s="609" t="s">
        <v>243</v>
      </c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</row>
    <row r="7" spans="1:39" ht="15.75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467"/>
      <c r="AA7" s="467"/>
      <c r="AB7" s="467"/>
      <c r="AC7" s="467"/>
      <c r="AD7" s="467"/>
      <c r="AE7" s="24"/>
      <c r="AF7" s="24"/>
      <c r="AG7" s="24"/>
      <c r="AH7" s="24"/>
      <c r="AI7" s="24"/>
      <c r="AJ7" s="24"/>
      <c r="AK7" s="24"/>
      <c r="AL7" s="24"/>
      <c r="AM7" s="24"/>
    </row>
    <row r="8" spans="1:39" x14ac:dyDescent="0.2">
      <c r="V8" s="21" t="s">
        <v>276</v>
      </c>
      <c r="AK8" s="25"/>
    </row>
    <row r="9" spans="1:39" ht="31.5" customHeight="1" x14ac:dyDescent="0.2">
      <c r="A9" s="624"/>
      <c r="B9" s="544" t="s">
        <v>196</v>
      </c>
      <c r="C9" s="545"/>
      <c r="D9" s="545"/>
      <c r="E9" s="545"/>
      <c r="F9" s="545"/>
      <c r="G9" s="545"/>
      <c r="H9" s="545"/>
      <c r="I9" s="545"/>
      <c r="J9" s="545"/>
      <c r="K9" s="545"/>
      <c r="L9" s="545"/>
      <c r="M9" s="545"/>
      <c r="N9" s="545"/>
      <c r="O9" s="545"/>
      <c r="P9" s="545"/>
      <c r="Q9" s="545"/>
      <c r="R9" s="545"/>
      <c r="S9" s="545"/>
      <c r="T9" s="546"/>
      <c r="U9" s="544" t="s">
        <v>235</v>
      </c>
      <c r="V9" s="545"/>
      <c r="W9" s="545"/>
      <c r="X9" s="545"/>
      <c r="Y9" s="546"/>
      <c r="Z9" s="544" t="s">
        <v>385</v>
      </c>
      <c r="AA9" s="545"/>
      <c r="AB9" s="545"/>
      <c r="AC9" s="545"/>
      <c r="AD9" s="546"/>
      <c r="AE9" s="544"/>
      <c r="AF9" s="545"/>
      <c r="AG9" s="545"/>
      <c r="AH9" s="545"/>
      <c r="AI9" s="546"/>
      <c r="AJ9" s="544"/>
      <c r="AK9" s="638"/>
      <c r="AL9" s="638"/>
      <c r="AM9" s="639"/>
    </row>
    <row r="10" spans="1:39" x14ac:dyDescent="0.2">
      <c r="A10" s="625"/>
      <c r="B10" s="27"/>
      <c r="C10" s="23"/>
      <c r="D10" s="23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8"/>
      <c r="U10" s="547"/>
      <c r="V10" s="548"/>
      <c r="W10" s="548"/>
      <c r="X10" s="548"/>
      <c r="Y10" s="549"/>
      <c r="Z10" s="547"/>
      <c r="AA10" s="548"/>
      <c r="AB10" s="548"/>
      <c r="AC10" s="548"/>
      <c r="AD10" s="549"/>
      <c r="AE10" s="547"/>
      <c r="AF10" s="548"/>
      <c r="AG10" s="548"/>
      <c r="AH10" s="548"/>
      <c r="AI10" s="549"/>
      <c r="AJ10" s="640"/>
      <c r="AK10" s="641"/>
      <c r="AL10" s="641"/>
      <c r="AM10" s="642"/>
    </row>
    <row r="11" spans="1:39" ht="24.75" customHeight="1" x14ac:dyDescent="0.2">
      <c r="A11" s="63"/>
      <c r="B11" s="635" t="s">
        <v>24</v>
      </c>
      <c r="C11" s="636"/>
      <c r="D11" s="636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636"/>
      <c r="R11" s="636"/>
      <c r="S11" s="636"/>
      <c r="T11" s="637"/>
      <c r="U11" s="572"/>
      <c r="V11" s="573"/>
      <c r="W11" s="573"/>
      <c r="X11" s="573"/>
      <c r="Y11" s="574"/>
      <c r="Z11" s="572"/>
      <c r="AA11" s="573"/>
      <c r="AB11" s="573"/>
      <c r="AC11" s="573"/>
      <c r="AD11" s="574"/>
      <c r="AE11" s="621"/>
      <c r="AF11" s="622"/>
      <c r="AG11" s="622"/>
      <c r="AH11" s="622"/>
      <c r="AI11" s="623"/>
      <c r="AJ11" s="621"/>
      <c r="AK11" s="622"/>
      <c r="AL11" s="622"/>
      <c r="AM11" s="622"/>
    </row>
    <row r="12" spans="1:39" ht="24.75" customHeight="1" x14ac:dyDescent="0.2">
      <c r="A12" s="63"/>
      <c r="B12" s="583" t="s">
        <v>343</v>
      </c>
      <c r="C12" s="584"/>
      <c r="D12" s="584"/>
      <c r="E12" s="584"/>
      <c r="F12" s="584"/>
      <c r="G12" s="584"/>
      <c r="H12" s="584"/>
      <c r="I12" s="584"/>
      <c r="J12" s="584"/>
      <c r="K12" s="584"/>
      <c r="L12" s="584"/>
      <c r="M12" s="584"/>
      <c r="N12" s="584"/>
      <c r="O12" s="584"/>
      <c r="P12" s="584"/>
      <c r="Q12" s="584"/>
      <c r="R12" s="584"/>
      <c r="S12" s="584"/>
      <c r="T12" s="585"/>
      <c r="U12" s="572">
        <f>681748+601388</f>
        <v>1283136</v>
      </c>
      <c r="V12" s="573"/>
      <c r="W12" s="573"/>
      <c r="X12" s="573"/>
      <c r="Y12" s="574"/>
      <c r="Z12" s="572">
        <f>681748+601388</f>
        <v>1283136</v>
      </c>
      <c r="AA12" s="573"/>
      <c r="AB12" s="573"/>
      <c r="AC12" s="573"/>
      <c r="AD12" s="574"/>
      <c r="AE12" s="621"/>
      <c r="AF12" s="622"/>
      <c r="AG12" s="622"/>
      <c r="AH12" s="622"/>
      <c r="AI12" s="623"/>
      <c r="AJ12" s="621"/>
      <c r="AK12" s="622"/>
      <c r="AL12" s="622"/>
      <c r="AM12" s="622"/>
    </row>
    <row r="13" spans="1:39" ht="24.75" customHeight="1" x14ac:dyDescent="0.2">
      <c r="A13" s="63"/>
      <c r="B13" s="583" t="s">
        <v>344</v>
      </c>
      <c r="C13" s="584"/>
      <c r="D13" s="584"/>
      <c r="E13" s="584"/>
      <c r="F13" s="584"/>
      <c r="G13" s="584"/>
      <c r="H13" s="584"/>
      <c r="I13" s="584"/>
      <c r="J13" s="584"/>
      <c r="K13" s="584"/>
      <c r="L13" s="584"/>
      <c r="M13" s="584"/>
      <c r="N13" s="584"/>
      <c r="O13" s="584"/>
      <c r="P13" s="584"/>
      <c r="Q13" s="584"/>
      <c r="R13" s="584"/>
      <c r="S13" s="584"/>
      <c r="T13" s="585"/>
      <c r="U13" s="572">
        <f>(714018+101915)*2</f>
        <v>1631866</v>
      </c>
      <c r="V13" s="573"/>
      <c r="W13" s="573"/>
      <c r="X13" s="573"/>
      <c r="Y13" s="574"/>
      <c r="Z13" s="572">
        <f>(714018+101915)*2</f>
        <v>1631866</v>
      </c>
      <c r="AA13" s="573"/>
      <c r="AB13" s="573"/>
      <c r="AC13" s="573"/>
      <c r="AD13" s="574"/>
      <c r="AE13" s="621"/>
      <c r="AF13" s="622"/>
      <c r="AG13" s="622"/>
      <c r="AH13" s="622"/>
      <c r="AI13" s="623"/>
      <c r="AJ13" s="621"/>
      <c r="AK13" s="622"/>
      <c r="AL13" s="622"/>
      <c r="AM13" s="622"/>
    </row>
    <row r="14" spans="1:39" ht="23.25" customHeight="1" x14ac:dyDescent="0.2">
      <c r="A14" s="63"/>
      <c r="B14" s="632" t="s">
        <v>289</v>
      </c>
      <c r="C14" s="633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4"/>
      <c r="U14" s="572">
        <f>3746000+117000*12+196473</f>
        <v>5346473</v>
      </c>
      <c r="V14" s="573"/>
      <c r="W14" s="573"/>
      <c r="X14" s="573"/>
      <c r="Y14" s="574"/>
      <c r="Z14" s="562">
        <v>5347000</v>
      </c>
      <c r="AA14" s="563"/>
      <c r="AB14" s="563"/>
      <c r="AC14" s="563"/>
      <c r="AD14" s="564"/>
      <c r="AE14" s="621"/>
      <c r="AF14" s="622"/>
      <c r="AG14" s="622"/>
      <c r="AH14" s="622"/>
      <c r="AI14" s="623"/>
      <c r="AJ14" s="621"/>
      <c r="AK14" s="622"/>
      <c r="AL14" s="622"/>
      <c r="AM14" s="622"/>
    </row>
    <row r="15" spans="1:39" ht="23.25" customHeight="1" x14ac:dyDescent="0.2">
      <c r="A15" s="63"/>
      <c r="B15" s="626" t="s">
        <v>281</v>
      </c>
      <c r="C15" s="627"/>
      <c r="D15" s="627"/>
      <c r="E15" s="627"/>
      <c r="F15" s="627"/>
      <c r="G15" s="627"/>
      <c r="H15" s="627"/>
      <c r="I15" s="627"/>
      <c r="J15" s="627"/>
      <c r="K15" s="627"/>
      <c r="L15" s="627"/>
      <c r="M15" s="627"/>
      <c r="N15" s="627"/>
      <c r="O15" s="627"/>
      <c r="P15" s="627"/>
      <c r="Q15" s="627"/>
      <c r="R15" s="627"/>
      <c r="S15" s="627"/>
      <c r="T15" s="628"/>
      <c r="U15" s="572">
        <v>224000</v>
      </c>
      <c r="V15" s="573"/>
      <c r="W15" s="573"/>
      <c r="X15" s="573"/>
      <c r="Y15" s="574"/>
      <c r="Z15" s="572">
        <v>224000</v>
      </c>
      <c r="AA15" s="573"/>
      <c r="AB15" s="573"/>
      <c r="AC15" s="573"/>
      <c r="AD15" s="574"/>
      <c r="AE15" s="621"/>
      <c r="AF15" s="622"/>
      <c r="AG15" s="622"/>
      <c r="AH15" s="622"/>
      <c r="AI15" s="623"/>
      <c r="AJ15" s="621"/>
      <c r="AK15" s="622"/>
      <c r="AL15" s="622"/>
      <c r="AM15" s="622"/>
    </row>
    <row r="16" spans="1:39" ht="23.25" customHeight="1" x14ac:dyDescent="0.2">
      <c r="A16" s="63"/>
      <c r="B16" s="610" t="s">
        <v>287</v>
      </c>
      <c r="C16" s="611"/>
      <c r="D16" s="611"/>
      <c r="E16" s="611"/>
      <c r="F16" s="611"/>
      <c r="G16" s="611"/>
      <c r="H16" s="611"/>
      <c r="I16" s="611"/>
      <c r="J16" s="611"/>
      <c r="K16" s="611"/>
      <c r="L16" s="611"/>
      <c r="M16" s="611"/>
      <c r="N16" s="611"/>
      <c r="O16" s="611"/>
      <c r="P16" s="611"/>
      <c r="Q16" s="611"/>
      <c r="R16" s="611"/>
      <c r="S16" s="611"/>
      <c r="T16" s="612"/>
      <c r="U16" s="572">
        <v>60000</v>
      </c>
      <c r="V16" s="573"/>
      <c r="W16" s="573"/>
      <c r="X16" s="573"/>
      <c r="Y16" s="574"/>
      <c r="Z16" s="572">
        <v>60000</v>
      </c>
      <c r="AA16" s="573"/>
      <c r="AB16" s="573"/>
      <c r="AC16" s="573"/>
      <c r="AD16" s="574"/>
      <c r="AE16" s="468"/>
      <c r="AF16" s="469"/>
      <c r="AG16" s="469"/>
      <c r="AH16" s="469"/>
      <c r="AI16" s="470"/>
      <c r="AJ16" s="468"/>
      <c r="AK16" s="469"/>
      <c r="AL16" s="469"/>
      <c r="AM16" s="469"/>
    </row>
    <row r="17" spans="1:42" ht="23.25" customHeight="1" x14ac:dyDescent="0.2">
      <c r="A17" s="63"/>
      <c r="B17" s="592" t="s">
        <v>404</v>
      </c>
      <c r="C17" s="593"/>
      <c r="D17" s="593"/>
      <c r="E17" s="593"/>
      <c r="F17" s="593"/>
      <c r="G17" s="593"/>
      <c r="H17" s="593"/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4"/>
      <c r="U17" s="464"/>
      <c r="V17" s="465"/>
      <c r="W17" s="465"/>
      <c r="X17" s="465"/>
      <c r="Y17" s="466"/>
      <c r="Z17" s="572">
        <v>150000</v>
      </c>
      <c r="AA17" s="573"/>
      <c r="AB17" s="573"/>
      <c r="AC17" s="573"/>
      <c r="AD17" s="574"/>
      <c r="AE17" s="468"/>
      <c r="AF17" s="469"/>
      <c r="AG17" s="469"/>
      <c r="AH17" s="469"/>
      <c r="AI17" s="470"/>
      <c r="AJ17" s="468"/>
      <c r="AK17" s="469"/>
      <c r="AL17" s="469"/>
      <c r="AM17" s="469"/>
    </row>
    <row r="18" spans="1:42" ht="23.25" customHeight="1" x14ac:dyDescent="0.2">
      <c r="A18" s="63"/>
      <c r="B18" s="592" t="s">
        <v>244</v>
      </c>
      <c r="C18" s="593"/>
      <c r="D18" s="593"/>
      <c r="E18" s="593"/>
      <c r="F18" s="593"/>
      <c r="G18" s="593"/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94"/>
      <c r="U18" s="572">
        <v>400000</v>
      </c>
      <c r="V18" s="573"/>
      <c r="W18" s="573"/>
      <c r="X18" s="573"/>
      <c r="Y18" s="574"/>
      <c r="Z18" s="562">
        <v>400000</v>
      </c>
      <c r="AA18" s="563"/>
      <c r="AB18" s="563"/>
      <c r="AC18" s="563"/>
      <c r="AD18" s="564"/>
      <c r="AE18" s="468"/>
      <c r="AF18" s="469"/>
      <c r="AG18" s="469"/>
      <c r="AH18" s="469"/>
      <c r="AI18" s="470"/>
      <c r="AJ18" s="468"/>
      <c r="AK18" s="469"/>
      <c r="AL18" s="469"/>
      <c r="AM18" s="469"/>
    </row>
    <row r="19" spans="1:42" ht="19.5" customHeight="1" x14ac:dyDescent="0.2">
      <c r="A19" s="63"/>
      <c r="B19" s="586" t="s">
        <v>25</v>
      </c>
      <c r="C19" s="587"/>
      <c r="D19" s="587"/>
      <c r="E19" s="587"/>
      <c r="F19" s="587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8"/>
      <c r="U19" s="616">
        <f>SUM(U12:Y15)</f>
        <v>8485475</v>
      </c>
      <c r="V19" s="617"/>
      <c r="W19" s="617"/>
      <c r="X19" s="617"/>
      <c r="Y19" s="618"/>
      <c r="Z19" s="616">
        <f>SUM(Z12:AD18)</f>
        <v>9096002</v>
      </c>
      <c r="AA19" s="617"/>
      <c r="AB19" s="617"/>
      <c r="AC19" s="617"/>
      <c r="AD19" s="618"/>
      <c r="AE19" s="621"/>
      <c r="AF19" s="622"/>
      <c r="AG19" s="622"/>
      <c r="AH19" s="622"/>
      <c r="AI19" s="623"/>
      <c r="AJ19" s="621"/>
      <c r="AK19" s="622"/>
      <c r="AL19" s="622"/>
      <c r="AM19" s="622"/>
    </row>
    <row r="20" spans="1:42" ht="19.5" customHeight="1" x14ac:dyDescent="0.2">
      <c r="A20" s="63"/>
      <c r="B20" s="629"/>
      <c r="C20" s="630"/>
      <c r="D20" s="630"/>
      <c r="E20" s="630"/>
      <c r="F20" s="630"/>
      <c r="G20" s="630"/>
      <c r="H20" s="630"/>
      <c r="I20" s="630"/>
      <c r="J20" s="630"/>
      <c r="K20" s="630"/>
      <c r="L20" s="630"/>
      <c r="M20" s="630"/>
      <c r="N20" s="630"/>
      <c r="O20" s="630"/>
      <c r="P20" s="630"/>
      <c r="Q20" s="630"/>
      <c r="R20" s="630"/>
      <c r="S20" s="630"/>
      <c r="T20" s="631"/>
      <c r="U20" s="643"/>
      <c r="V20" s="644"/>
      <c r="W20" s="644"/>
      <c r="X20" s="644"/>
      <c r="Y20" s="645"/>
      <c r="Z20" s="471"/>
      <c r="AA20" s="471"/>
      <c r="AB20" s="471"/>
      <c r="AC20" s="471"/>
      <c r="AD20" s="471"/>
      <c r="AE20" s="643"/>
      <c r="AF20" s="644"/>
      <c r="AG20" s="644"/>
      <c r="AH20" s="644"/>
      <c r="AI20" s="645"/>
      <c r="AJ20" s="621"/>
      <c r="AK20" s="622"/>
      <c r="AL20" s="622"/>
      <c r="AM20" s="622"/>
    </row>
    <row r="21" spans="1:42" ht="19.5" customHeight="1" x14ac:dyDescent="0.2">
      <c r="A21" s="63"/>
      <c r="B21" s="635" t="s">
        <v>26</v>
      </c>
      <c r="C21" s="636"/>
      <c r="D21" s="636"/>
      <c r="E21" s="636"/>
      <c r="F21" s="636"/>
      <c r="G21" s="636"/>
      <c r="H21" s="636"/>
      <c r="I21" s="636"/>
      <c r="J21" s="636"/>
      <c r="K21" s="636"/>
      <c r="L21" s="636"/>
      <c r="M21" s="636"/>
      <c r="N21" s="636"/>
      <c r="O21" s="636"/>
      <c r="P21" s="636"/>
      <c r="Q21" s="636"/>
      <c r="R21" s="636"/>
      <c r="S21" s="636"/>
      <c r="T21" s="637"/>
      <c r="U21" s="572"/>
      <c r="V21" s="573"/>
      <c r="W21" s="573"/>
      <c r="X21" s="573"/>
      <c r="Y21" s="574"/>
      <c r="Z21" s="465"/>
      <c r="AA21" s="465"/>
      <c r="AB21" s="465"/>
      <c r="AC21" s="465"/>
      <c r="AD21" s="465"/>
      <c r="AE21" s="621"/>
      <c r="AF21" s="622"/>
      <c r="AG21" s="622"/>
      <c r="AH21" s="622"/>
      <c r="AI21" s="623"/>
      <c r="AJ21" s="621"/>
      <c r="AK21" s="622"/>
      <c r="AL21" s="622"/>
      <c r="AM21" s="622"/>
    </row>
    <row r="22" spans="1:42" ht="19.5" customHeight="1" x14ac:dyDescent="0.2">
      <c r="A22" s="63"/>
      <c r="B22" s="610" t="s">
        <v>282</v>
      </c>
      <c r="C22" s="611"/>
      <c r="D22" s="611"/>
      <c r="E22" s="611"/>
      <c r="F22" s="611"/>
      <c r="G22" s="611"/>
      <c r="H22" s="611"/>
      <c r="I22" s="611"/>
      <c r="J22" s="611"/>
      <c r="K22" s="611"/>
      <c r="L22" s="611"/>
      <c r="M22" s="611"/>
      <c r="N22" s="611"/>
      <c r="O22" s="611"/>
      <c r="P22" s="611"/>
      <c r="Q22" s="611"/>
      <c r="R22" s="611"/>
      <c r="S22" s="611"/>
      <c r="T22" s="612"/>
      <c r="U22" s="572">
        <v>10000</v>
      </c>
      <c r="V22" s="573"/>
      <c r="W22" s="573"/>
      <c r="X22" s="573"/>
      <c r="Y22" s="574"/>
      <c r="Z22" s="572">
        <v>10000</v>
      </c>
      <c r="AA22" s="573"/>
      <c r="AB22" s="573"/>
      <c r="AC22" s="573"/>
      <c r="AD22" s="574"/>
      <c r="AE22" s="621"/>
      <c r="AF22" s="622"/>
      <c r="AG22" s="622"/>
      <c r="AH22" s="622"/>
      <c r="AI22" s="623"/>
      <c r="AJ22" s="621"/>
      <c r="AK22" s="622"/>
      <c r="AL22" s="622"/>
      <c r="AM22" s="622"/>
    </row>
    <row r="23" spans="1:42" ht="19.5" customHeight="1" x14ac:dyDescent="0.2">
      <c r="A23" s="63"/>
      <c r="B23" s="610" t="s">
        <v>284</v>
      </c>
      <c r="C23" s="619"/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20"/>
      <c r="U23" s="572">
        <v>10000</v>
      </c>
      <c r="V23" s="573"/>
      <c r="W23" s="573"/>
      <c r="X23" s="573"/>
      <c r="Y23" s="574"/>
      <c r="Z23" s="572">
        <v>10000</v>
      </c>
      <c r="AA23" s="573"/>
      <c r="AB23" s="573"/>
      <c r="AC23" s="573"/>
      <c r="AD23" s="574"/>
      <c r="AE23" s="621"/>
      <c r="AF23" s="622"/>
      <c r="AG23" s="622"/>
      <c r="AH23" s="622"/>
      <c r="AI23" s="623"/>
      <c r="AJ23" s="621"/>
      <c r="AK23" s="622"/>
      <c r="AL23" s="622"/>
      <c r="AM23" s="622"/>
    </row>
    <row r="24" spans="1:42" ht="19.5" customHeight="1" x14ac:dyDescent="0.2">
      <c r="A24" s="63"/>
      <c r="B24" s="610" t="s">
        <v>285</v>
      </c>
      <c r="C24" s="619"/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20"/>
      <c r="U24" s="572">
        <v>50000</v>
      </c>
      <c r="V24" s="573"/>
      <c r="W24" s="573"/>
      <c r="X24" s="573"/>
      <c r="Y24" s="574"/>
      <c r="Z24" s="572">
        <v>50000</v>
      </c>
      <c r="AA24" s="573"/>
      <c r="AB24" s="573"/>
      <c r="AC24" s="573"/>
      <c r="AD24" s="574"/>
      <c r="AE24" s="621"/>
      <c r="AF24" s="622"/>
      <c r="AG24" s="622"/>
      <c r="AH24" s="622"/>
      <c r="AI24" s="623"/>
      <c r="AJ24" s="621"/>
      <c r="AK24" s="622"/>
      <c r="AL24" s="622"/>
      <c r="AM24" s="622"/>
    </row>
    <row r="25" spans="1:42" ht="19.5" customHeight="1" x14ac:dyDescent="0.2">
      <c r="A25" s="63"/>
      <c r="B25" s="610" t="s">
        <v>298</v>
      </c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20"/>
      <c r="U25" s="572">
        <v>500000</v>
      </c>
      <c r="V25" s="573"/>
      <c r="W25" s="573"/>
      <c r="X25" s="573"/>
      <c r="Y25" s="574"/>
      <c r="Z25" s="572">
        <v>500000</v>
      </c>
      <c r="AA25" s="573"/>
      <c r="AB25" s="573"/>
      <c r="AC25" s="573"/>
      <c r="AD25" s="574"/>
      <c r="AE25" s="621"/>
      <c r="AF25" s="622"/>
      <c r="AG25" s="622"/>
      <c r="AH25" s="622"/>
      <c r="AI25" s="623"/>
      <c r="AJ25" s="621"/>
      <c r="AK25" s="622"/>
      <c r="AL25" s="622"/>
      <c r="AM25" s="622"/>
    </row>
    <row r="26" spans="1:42" ht="19.5" customHeight="1" x14ac:dyDescent="0.2">
      <c r="A26" s="63"/>
      <c r="B26" s="610" t="s">
        <v>283</v>
      </c>
      <c r="C26" s="611"/>
      <c r="D26" s="611"/>
      <c r="E26" s="611"/>
      <c r="F26" s="611"/>
      <c r="G26" s="611"/>
      <c r="H26" s="611"/>
      <c r="I26" s="611"/>
      <c r="J26" s="611"/>
      <c r="K26" s="611"/>
      <c r="L26" s="611"/>
      <c r="M26" s="611"/>
      <c r="N26" s="611"/>
      <c r="O26" s="611"/>
      <c r="P26" s="611"/>
      <c r="Q26" s="611"/>
      <c r="R26" s="611"/>
      <c r="S26" s="611"/>
      <c r="T26" s="612"/>
      <c r="U26" s="572">
        <f>4371000-2411490-260000-100000</f>
        <v>1599510</v>
      </c>
      <c r="V26" s="573"/>
      <c r="W26" s="573"/>
      <c r="X26" s="573"/>
      <c r="Y26" s="574"/>
      <c r="Z26" s="572">
        <f>4371000-2411490-260000-100000</f>
        <v>1599510</v>
      </c>
      <c r="AA26" s="573"/>
      <c r="AB26" s="573"/>
      <c r="AC26" s="573"/>
      <c r="AD26" s="574"/>
      <c r="AE26" s="621"/>
      <c r="AF26" s="622"/>
      <c r="AG26" s="622"/>
      <c r="AH26" s="622"/>
      <c r="AI26" s="623"/>
      <c r="AJ26" s="621"/>
      <c r="AK26" s="622"/>
      <c r="AL26" s="622"/>
      <c r="AM26" s="622"/>
    </row>
    <row r="27" spans="1:42" ht="19.5" customHeight="1" x14ac:dyDescent="0.2">
      <c r="A27" s="63"/>
      <c r="B27" s="610" t="s">
        <v>348</v>
      </c>
      <c r="C27" s="611"/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1"/>
      <c r="P27" s="611"/>
      <c r="Q27" s="611"/>
      <c r="R27" s="611"/>
      <c r="S27" s="611"/>
      <c r="T27" s="612"/>
      <c r="U27" s="572">
        <f>61000*1.27*11+61000*1.27*2</f>
        <v>1007110</v>
      </c>
      <c r="V27" s="573"/>
      <c r="W27" s="573"/>
      <c r="X27" s="573"/>
      <c r="Y27" s="574"/>
      <c r="Z27" s="572">
        <f>61000*1.27*11+61000*1.27*2</f>
        <v>1007110</v>
      </c>
      <c r="AA27" s="573"/>
      <c r="AB27" s="573"/>
      <c r="AC27" s="573"/>
      <c r="AD27" s="574"/>
      <c r="AE27" s="621"/>
      <c r="AF27" s="622"/>
      <c r="AG27" s="622"/>
      <c r="AH27" s="622"/>
      <c r="AI27" s="623"/>
      <c r="AJ27" s="621"/>
      <c r="AK27" s="622"/>
      <c r="AL27" s="622"/>
      <c r="AM27" s="622"/>
    </row>
    <row r="28" spans="1:42" ht="19.5" customHeight="1" x14ac:dyDescent="0.2">
      <c r="A28" s="63"/>
      <c r="B28" s="610" t="s">
        <v>286</v>
      </c>
      <c r="C28" s="611"/>
      <c r="D28" s="611"/>
      <c r="E28" s="611"/>
      <c r="F28" s="611"/>
      <c r="G28" s="611"/>
      <c r="H28" s="611"/>
      <c r="I28" s="611"/>
      <c r="J28" s="611"/>
      <c r="K28" s="611"/>
      <c r="L28" s="611"/>
      <c r="M28" s="611"/>
      <c r="N28" s="611"/>
      <c r="O28" s="611"/>
      <c r="P28" s="611"/>
      <c r="Q28" s="611"/>
      <c r="R28" s="611"/>
      <c r="S28" s="611"/>
      <c r="T28" s="612"/>
      <c r="U28" s="572">
        <v>50000</v>
      </c>
      <c r="V28" s="573"/>
      <c r="W28" s="573"/>
      <c r="X28" s="573"/>
      <c r="Y28" s="574"/>
      <c r="Z28" s="572">
        <v>50000</v>
      </c>
      <c r="AA28" s="573"/>
      <c r="AB28" s="573"/>
      <c r="AC28" s="573"/>
      <c r="AD28" s="574"/>
      <c r="AE28" s="621"/>
      <c r="AF28" s="622"/>
      <c r="AG28" s="622"/>
      <c r="AH28" s="622"/>
      <c r="AI28" s="623"/>
      <c r="AJ28" s="621"/>
      <c r="AK28" s="622"/>
      <c r="AL28" s="622"/>
      <c r="AM28" s="622"/>
    </row>
    <row r="29" spans="1:42" ht="19.5" customHeight="1" x14ac:dyDescent="0.2">
      <c r="A29" s="63"/>
      <c r="B29" s="610" t="s">
        <v>288</v>
      </c>
      <c r="C29" s="611"/>
      <c r="D29" s="611"/>
      <c r="E29" s="611"/>
      <c r="F29" s="611"/>
      <c r="G29" s="611"/>
      <c r="H29" s="611"/>
      <c r="I29" s="611"/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2"/>
      <c r="U29" s="572">
        <f>9200*12</f>
        <v>110400</v>
      </c>
      <c r="V29" s="573"/>
      <c r="W29" s="573"/>
      <c r="X29" s="573"/>
      <c r="Y29" s="574"/>
      <c r="Z29" s="572">
        <f>9200*12</f>
        <v>110400</v>
      </c>
      <c r="AA29" s="573"/>
      <c r="AB29" s="573"/>
      <c r="AC29" s="573"/>
      <c r="AD29" s="574"/>
      <c r="AE29" s="621"/>
      <c r="AF29" s="622"/>
      <c r="AG29" s="622"/>
      <c r="AH29" s="622"/>
      <c r="AI29" s="623"/>
      <c r="AJ29" s="621"/>
      <c r="AK29" s="622"/>
      <c r="AL29" s="622"/>
      <c r="AM29" s="622"/>
    </row>
    <row r="30" spans="1:42" ht="19.5" customHeight="1" x14ac:dyDescent="0.2">
      <c r="A30" s="63"/>
      <c r="B30" s="610" t="s">
        <v>406</v>
      </c>
      <c r="C30" s="611"/>
      <c r="D30" s="611"/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2"/>
      <c r="U30" s="464"/>
      <c r="V30" s="465"/>
      <c r="W30" s="465"/>
      <c r="X30" s="465"/>
      <c r="Y30" s="466"/>
      <c r="Z30" s="572">
        <v>8096000</v>
      </c>
      <c r="AA30" s="573"/>
      <c r="AB30" s="573"/>
      <c r="AC30" s="573"/>
      <c r="AD30" s="574"/>
      <c r="AE30" s="468"/>
      <c r="AF30" s="469"/>
      <c r="AG30" s="469"/>
      <c r="AH30" s="469"/>
      <c r="AI30" s="470"/>
      <c r="AJ30" s="468"/>
      <c r="AK30" s="469"/>
      <c r="AL30" s="469"/>
      <c r="AM30" s="469"/>
    </row>
    <row r="31" spans="1:42" ht="19.5" customHeight="1" x14ac:dyDescent="0.2">
      <c r="A31" s="63"/>
      <c r="B31" s="610" t="s">
        <v>405</v>
      </c>
      <c r="C31" s="611"/>
      <c r="D31" s="611"/>
      <c r="E31" s="611"/>
      <c r="F31" s="611"/>
      <c r="G31" s="611"/>
      <c r="H31" s="611"/>
      <c r="I31" s="611"/>
      <c r="J31" s="611"/>
      <c r="K31" s="611"/>
      <c r="L31" s="611"/>
      <c r="M31" s="611"/>
      <c r="N31" s="611"/>
      <c r="O31" s="611"/>
      <c r="P31" s="611"/>
      <c r="Q31" s="611"/>
      <c r="R31" s="611"/>
      <c r="S31" s="611"/>
      <c r="T31" s="612"/>
      <c r="U31" s="464"/>
      <c r="V31" s="465"/>
      <c r="W31" s="465"/>
      <c r="X31" s="465"/>
      <c r="Y31" s="466"/>
      <c r="Z31" s="572">
        <v>150000</v>
      </c>
      <c r="AA31" s="573"/>
      <c r="AB31" s="573"/>
      <c r="AC31" s="573"/>
      <c r="AD31" s="574"/>
      <c r="AE31" s="468"/>
      <c r="AF31" s="469"/>
      <c r="AG31" s="469"/>
      <c r="AH31" s="469"/>
      <c r="AI31" s="470"/>
      <c r="AJ31" s="468"/>
      <c r="AK31" s="469"/>
      <c r="AL31" s="469"/>
      <c r="AM31" s="469"/>
    </row>
    <row r="32" spans="1:42" ht="19.5" customHeight="1" x14ac:dyDescent="0.2">
      <c r="A32" s="63"/>
      <c r="B32" s="586" t="s">
        <v>27</v>
      </c>
      <c r="C32" s="587"/>
      <c r="D32" s="587"/>
      <c r="E32" s="587"/>
      <c r="F32" s="587"/>
      <c r="G32" s="587"/>
      <c r="H32" s="587"/>
      <c r="I32" s="587"/>
      <c r="J32" s="587"/>
      <c r="K32" s="587"/>
      <c r="L32" s="587"/>
      <c r="M32" s="587"/>
      <c r="N32" s="587"/>
      <c r="O32" s="587"/>
      <c r="P32" s="587"/>
      <c r="Q32" s="587"/>
      <c r="R32" s="587"/>
      <c r="S32" s="587"/>
      <c r="T32" s="588"/>
      <c r="U32" s="616">
        <f>SUM(U22:Y29)</f>
        <v>3337020</v>
      </c>
      <c r="V32" s="617"/>
      <c r="W32" s="617"/>
      <c r="X32" s="617"/>
      <c r="Y32" s="618"/>
      <c r="Z32" s="616">
        <f>SUM(Z22:AD31)</f>
        <v>11583020</v>
      </c>
      <c r="AA32" s="617"/>
      <c r="AB32" s="617"/>
      <c r="AC32" s="617"/>
      <c r="AD32" s="618"/>
      <c r="AE32" s="621"/>
      <c r="AF32" s="622"/>
      <c r="AG32" s="622"/>
      <c r="AH32" s="622"/>
      <c r="AI32" s="623"/>
      <c r="AJ32" s="621"/>
      <c r="AK32" s="622"/>
      <c r="AL32" s="622"/>
      <c r="AM32" s="622"/>
      <c r="AP32" s="193"/>
    </row>
    <row r="33" spans="1:42" ht="19.5" customHeight="1" x14ac:dyDescent="0.2">
      <c r="A33" s="63"/>
      <c r="B33" s="586" t="s">
        <v>346</v>
      </c>
      <c r="C33" s="587"/>
      <c r="D33" s="587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8"/>
      <c r="U33" s="616">
        <f>+U32+U19</f>
        <v>11822495</v>
      </c>
      <c r="V33" s="617"/>
      <c r="W33" s="617"/>
      <c r="X33" s="617"/>
      <c r="Y33" s="618"/>
      <c r="Z33" s="616">
        <f>+Z32+Z19</f>
        <v>20679022</v>
      </c>
      <c r="AA33" s="617"/>
      <c r="AB33" s="617"/>
      <c r="AC33" s="617"/>
      <c r="AD33" s="618"/>
      <c r="AE33" s="621"/>
      <c r="AF33" s="622"/>
      <c r="AG33" s="622"/>
      <c r="AH33" s="622"/>
      <c r="AI33" s="623"/>
      <c r="AJ33" s="29"/>
      <c r="AK33" s="30"/>
      <c r="AL33" s="30"/>
      <c r="AM33" s="30"/>
      <c r="AP33" s="193"/>
    </row>
    <row r="34" spans="1:42" ht="19.5" customHeight="1" x14ac:dyDescent="0.2">
      <c r="A34" s="63"/>
      <c r="B34" s="583" t="s">
        <v>345</v>
      </c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5"/>
      <c r="U34" s="572">
        <f>2411490+961000</f>
        <v>3372490</v>
      </c>
      <c r="V34" s="573"/>
      <c r="W34" s="573"/>
      <c r="X34" s="573"/>
      <c r="Y34" s="574"/>
      <c r="Z34" s="572">
        <f>2411490+961000</f>
        <v>3372490</v>
      </c>
      <c r="AA34" s="573"/>
      <c r="AB34" s="573"/>
      <c r="AC34" s="573"/>
      <c r="AD34" s="574"/>
      <c r="AE34" s="621"/>
      <c r="AF34" s="622"/>
      <c r="AG34" s="622"/>
      <c r="AH34" s="622"/>
      <c r="AI34" s="623"/>
      <c r="AJ34" s="29"/>
      <c r="AK34" s="30"/>
      <c r="AL34" s="30"/>
      <c r="AM34" s="30"/>
      <c r="AP34" s="193"/>
    </row>
    <row r="35" spans="1:42" ht="19.5" customHeight="1" x14ac:dyDescent="0.2">
      <c r="A35" s="63"/>
      <c r="B35" s="583" t="s">
        <v>313</v>
      </c>
      <c r="C35" s="584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584"/>
      <c r="P35" s="584"/>
      <c r="Q35" s="584"/>
      <c r="R35" s="584"/>
      <c r="S35" s="584"/>
      <c r="T35" s="585"/>
      <c r="U35" s="572">
        <f>(730000+390000+370000)/2-245000</f>
        <v>500000</v>
      </c>
      <c r="V35" s="573"/>
      <c r="W35" s="573"/>
      <c r="X35" s="573"/>
      <c r="Y35" s="574"/>
      <c r="Z35" s="572">
        <f>(730000+390000+370000)/2-245000</f>
        <v>500000</v>
      </c>
      <c r="AA35" s="573"/>
      <c r="AB35" s="573"/>
      <c r="AC35" s="573"/>
      <c r="AD35" s="574"/>
      <c r="AE35" s="621"/>
      <c r="AF35" s="622"/>
      <c r="AG35" s="622"/>
      <c r="AH35" s="622"/>
      <c r="AI35" s="623"/>
      <c r="AJ35" s="29"/>
      <c r="AK35" s="30"/>
      <c r="AL35" s="30"/>
      <c r="AM35" s="30"/>
      <c r="AP35" s="193"/>
    </row>
    <row r="36" spans="1:42" ht="19.5" customHeight="1" x14ac:dyDescent="0.2">
      <c r="A36" s="63"/>
      <c r="B36" s="610" t="s">
        <v>402</v>
      </c>
      <c r="C36" s="619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20"/>
      <c r="U36" s="464"/>
      <c r="V36" s="465"/>
      <c r="W36" s="465"/>
      <c r="X36" s="465"/>
      <c r="Y36" s="466"/>
      <c r="Z36" s="572">
        <f>(730000+390000+370000)/2-245000</f>
        <v>500000</v>
      </c>
      <c r="AA36" s="573"/>
      <c r="AB36" s="573"/>
      <c r="AC36" s="573"/>
      <c r="AD36" s="574"/>
      <c r="AE36" s="468"/>
      <c r="AF36" s="469"/>
      <c r="AG36" s="469"/>
      <c r="AH36" s="469"/>
      <c r="AI36" s="470"/>
      <c r="AJ36" s="468"/>
      <c r="AK36" s="469"/>
      <c r="AL36" s="469"/>
      <c r="AM36" s="469"/>
      <c r="AP36" s="193"/>
    </row>
    <row r="37" spans="1:42" ht="19.5" customHeight="1" x14ac:dyDescent="0.2">
      <c r="A37" s="63"/>
      <c r="B37" s="610" t="s">
        <v>403</v>
      </c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20"/>
      <c r="U37" s="464"/>
      <c r="V37" s="465"/>
      <c r="W37" s="465"/>
      <c r="X37" s="465"/>
      <c r="Y37" s="466"/>
      <c r="Z37" s="572">
        <v>12957000</v>
      </c>
      <c r="AA37" s="573"/>
      <c r="AB37" s="573"/>
      <c r="AC37" s="573"/>
      <c r="AD37" s="574"/>
      <c r="AE37" s="468"/>
      <c r="AF37" s="469"/>
      <c r="AG37" s="469"/>
      <c r="AH37" s="469"/>
      <c r="AI37" s="470"/>
      <c r="AJ37" s="468"/>
      <c r="AK37" s="469"/>
      <c r="AL37" s="469"/>
      <c r="AM37" s="469"/>
      <c r="AP37" s="193"/>
    </row>
    <row r="38" spans="1:42" ht="19.5" customHeight="1" x14ac:dyDescent="0.2">
      <c r="A38" s="63"/>
      <c r="B38" s="586" t="s">
        <v>347</v>
      </c>
      <c r="C38" s="587"/>
      <c r="D38" s="587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8"/>
      <c r="U38" s="616">
        <f>+U34+U35</f>
        <v>3872490</v>
      </c>
      <c r="V38" s="617"/>
      <c r="W38" s="617"/>
      <c r="X38" s="617"/>
      <c r="Y38" s="618"/>
      <c r="Z38" s="616">
        <f>+Z34+Z35+Z37+Z36</f>
        <v>17329490</v>
      </c>
      <c r="AA38" s="617"/>
      <c r="AB38" s="617"/>
      <c r="AC38" s="617"/>
      <c r="AD38" s="618"/>
      <c r="AE38" s="621"/>
      <c r="AF38" s="622"/>
      <c r="AG38" s="622"/>
      <c r="AH38" s="622"/>
      <c r="AI38" s="623"/>
      <c r="AJ38" s="621"/>
      <c r="AK38" s="622"/>
      <c r="AL38" s="622"/>
      <c r="AM38" s="622"/>
      <c r="AP38" s="193"/>
    </row>
    <row r="39" spans="1:42" ht="21.95" customHeight="1" x14ac:dyDescent="0.2">
      <c r="AP39" s="193"/>
    </row>
    <row r="40" spans="1:42" ht="21.95" customHeight="1" x14ac:dyDescent="0.2">
      <c r="W40" s="193"/>
    </row>
    <row r="41" spans="1:42" ht="21.95" customHeight="1" x14ac:dyDescent="0.2"/>
    <row r="42" spans="1:42" ht="21.95" customHeight="1" x14ac:dyDescent="0.2"/>
    <row r="43" spans="1:42" ht="21.95" customHeight="1" x14ac:dyDescent="0.2"/>
    <row r="44" spans="1:42" ht="21.95" customHeight="1" x14ac:dyDescent="0.2"/>
    <row r="45" spans="1:42" ht="21.95" customHeight="1" x14ac:dyDescent="0.2"/>
    <row r="46" spans="1:42" ht="21.95" customHeight="1" x14ac:dyDescent="0.2"/>
    <row r="47" spans="1:42" ht="21.95" customHeight="1" x14ac:dyDescent="0.2"/>
    <row r="48" spans="1:42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spans="2:5" ht="21.95" customHeight="1" x14ac:dyDescent="0.2"/>
    <row r="98" spans="2:5" ht="21.95" customHeight="1" x14ac:dyDescent="0.2"/>
    <row r="99" spans="2:5" ht="21.95" customHeight="1" x14ac:dyDescent="0.2"/>
    <row r="100" spans="2:5" ht="21.95" customHeight="1" x14ac:dyDescent="0.2"/>
    <row r="101" spans="2:5" ht="21.95" customHeight="1" x14ac:dyDescent="0.2"/>
    <row r="102" spans="2:5" ht="21.95" customHeight="1" x14ac:dyDescent="0.2"/>
    <row r="103" spans="2:5" ht="21.95" customHeight="1" x14ac:dyDescent="0.2"/>
    <row r="104" spans="2:5" ht="21.95" customHeight="1" x14ac:dyDescent="0.2"/>
    <row r="105" spans="2:5" ht="21.95" customHeight="1" x14ac:dyDescent="0.2">
      <c r="B105" s="36"/>
      <c r="C105" s="36"/>
      <c r="D105" s="36"/>
      <c r="E105" s="36"/>
    </row>
    <row r="106" spans="2:5" ht="21.95" customHeight="1" x14ac:dyDescent="0.2">
      <c r="B106" s="36"/>
      <c r="C106" s="36"/>
      <c r="D106" s="36"/>
      <c r="E106" s="36"/>
    </row>
    <row r="107" spans="2:5" ht="21.95" customHeight="1" x14ac:dyDescent="0.2">
      <c r="B107" s="36"/>
      <c r="C107" s="36"/>
      <c r="D107" s="36"/>
      <c r="E107" s="36"/>
    </row>
    <row r="108" spans="2:5" ht="21.95" customHeight="1" x14ac:dyDescent="0.2">
      <c r="B108" s="36"/>
      <c r="C108" s="36"/>
      <c r="D108" s="36"/>
      <c r="E108" s="36"/>
    </row>
    <row r="109" spans="2:5" ht="21.95" customHeight="1" x14ac:dyDescent="0.2">
      <c r="B109" s="36"/>
      <c r="C109" s="36"/>
      <c r="D109" s="36"/>
      <c r="E109" s="36"/>
    </row>
    <row r="110" spans="2:5" ht="21.95" customHeight="1" x14ac:dyDescent="0.2">
      <c r="B110" s="36"/>
      <c r="C110" s="36"/>
      <c r="D110" s="36"/>
      <c r="E110" s="36"/>
    </row>
    <row r="111" spans="2:5" ht="21.95" customHeight="1" x14ac:dyDescent="0.2">
      <c r="B111" s="36"/>
      <c r="C111" s="36"/>
      <c r="D111" s="36"/>
      <c r="E111" s="36"/>
    </row>
    <row r="112" spans="2:5" ht="21.95" customHeight="1" x14ac:dyDescent="0.2">
      <c r="B112" s="36"/>
      <c r="C112" s="36"/>
      <c r="D112" s="36"/>
      <c r="E112" s="36"/>
    </row>
    <row r="113" spans="2:5" ht="21.95" customHeight="1" x14ac:dyDescent="0.2">
      <c r="B113" s="36"/>
      <c r="C113" s="36"/>
      <c r="D113" s="36"/>
      <c r="E113" s="36"/>
    </row>
    <row r="114" spans="2:5" ht="21.95" customHeight="1" x14ac:dyDescent="0.2">
      <c r="B114" s="36"/>
      <c r="C114" s="36"/>
      <c r="D114" s="36"/>
      <c r="E114" s="36"/>
    </row>
    <row r="115" spans="2:5" ht="21.95" customHeight="1" x14ac:dyDescent="0.2">
      <c r="B115" s="36"/>
      <c r="C115" s="36"/>
      <c r="D115" s="36"/>
      <c r="E115" s="36"/>
    </row>
    <row r="116" spans="2:5" ht="21.95" customHeight="1" x14ac:dyDescent="0.2">
      <c r="B116" s="36"/>
      <c r="C116" s="36"/>
      <c r="D116" s="36"/>
      <c r="E116" s="36"/>
    </row>
    <row r="117" spans="2:5" ht="21.95" customHeight="1" x14ac:dyDescent="0.2">
      <c r="B117" s="36"/>
      <c r="C117" s="36"/>
      <c r="D117" s="36"/>
      <c r="E117" s="36"/>
    </row>
    <row r="118" spans="2:5" ht="21.95" customHeight="1" x14ac:dyDescent="0.2">
      <c r="B118" s="36"/>
      <c r="C118" s="36"/>
      <c r="D118" s="36"/>
      <c r="E118" s="36"/>
    </row>
    <row r="119" spans="2:5" ht="21.95" customHeight="1" x14ac:dyDescent="0.2">
      <c r="B119" s="36"/>
      <c r="C119" s="36"/>
      <c r="D119" s="36"/>
      <c r="E119" s="36"/>
    </row>
    <row r="120" spans="2:5" ht="21.95" customHeight="1" x14ac:dyDescent="0.2">
      <c r="B120" s="36"/>
      <c r="C120" s="36"/>
      <c r="D120" s="36"/>
      <c r="E120" s="36"/>
    </row>
    <row r="121" spans="2:5" ht="21.95" customHeight="1" x14ac:dyDescent="0.2">
      <c r="B121" s="36"/>
      <c r="C121" s="36"/>
      <c r="D121" s="36"/>
      <c r="E121" s="36"/>
    </row>
    <row r="122" spans="2:5" ht="21.95" customHeight="1" x14ac:dyDescent="0.2">
      <c r="B122" s="36"/>
      <c r="C122" s="36"/>
      <c r="D122" s="36"/>
      <c r="E122" s="36"/>
    </row>
    <row r="123" spans="2:5" ht="21.95" customHeight="1" x14ac:dyDescent="0.2">
      <c r="B123" s="36"/>
      <c r="C123" s="36"/>
      <c r="D123" s="36"/>
      <c r="E123" s="36"/>
    </row>
    <row r="124" spans="2:5" ht="21.95" customHeight="1" x14ac:dyDescent="0.2">
      <c r="B124" s="36"/>
      <c r="C124" s="36"/>
      <c r="D124" s="36"/>
      <c r="E124" s="36"/>
    </row>
    <row r="125" spans="2:5" ht="21.95" customHeight="1" x14ac:dyDescent="0.2">
      <c r="B125" s="36"/>
      <c r="C125" s="36"/>
      <c r="D125" s="36"/>
      <c r="E125" s="36"/>
    </row>
    <row r="126" spans="2:5" ht="21.95" customHeight="1" x14ac:dyDescent="0.2">
      <c r="B126" s="36"/>
      <c r="C126" s="36"/>
      <c r="D126" s="36"/>
      <c r="E126" s="36"/>
    </row>
    <row r="127" spans="2:5" ht="21.95" customHeight="1" x14ac:dyDescent="0.2">
      <c r="B127" s="36"/>
      <c r="C127" s="36"/>
      <c r="D127" s="36"/>
      <c r="E127" s="36"/>
    </row>
    <row r="128" spans="2:5" ht="21.95" customHeight="1" x14ac:dyDescent="0.2">
      <c r="B128" s="36"/>
      <c r="C128" s="36"/>
      <c r="D128" s="36"/>
      <c r="E128" s="36"/>
    </row>
    <row r="129" spans="2:5" ht="21.95" customHeight="1" x14ac:dyDescent="0.2">
      <c r="B129" s="36"/>
      <c r="C129" s="36"/>
      <c r="D129" s="36"/>
      <c r="E129" s="36"/>
    </row>
    <row r="130" spans="2:5" ht="21.95" customHeight="1" x14ac:dyDescent="0.2">
      <c r="B130" s="36"/>
      <c r="C130" s="36"/>
      <c r="D130" s="36"/>
      <c r="E130" s="36"/>
    </row>
    <row r="131" spans="2:5" ht="21.95" customHeight="1" x14ac:dyDescent="0.2">
      <c r="B131" s="36"/>
      <c r="C131" s="36"/>
      <c r="D131" s="36"/>
      <c r="E131" s="36"/>
    </row>
    <row r="132" spans="2:5" ht="21.95" customHeight="1" x14ac:dyDescent="0.2">
      <c r="B132" s="36"/>
      <c r="C132" s="36"/>
      <c r="D132" s="36"/>
      <c r="E132" s="36"/>
    </row>
    <row r="133" spans="2:5" ht="21.95" customHeight="1" x14ac:dyDescent="0.2">
      <c r="B133" s="36"/>
      <c r="C133" s="36"/>
      <c r="D133" s="36"/>
      <c r="E133" s="36"/>
    </row>
    <row r="134" spans="2:5" ht="21.95" customHeight="1" x14ac:dyDescent="0.2">
      <c r="B134" s="36"/>
      <c r="C134" s="36"/>
      <c r="D134" s="36"/>
      <c r="E134" s="36"/>
    </row>
    <row r="135" spans="2:5" ht="21.95" customHeight="1" x14ac:dyDescent="0.2">
      <c r="B135" s="36"/>
      <c r="C135" s="36"/>
      <c r="D135" s="36"/>
      <c r="E135" s="36"/>
    </row>
    <row r="136" spans="2:5" ht="21.95" customHeight="1" x14ac:dyDescent="0.2">
      <c r="B136" s="36"/>
      <c r="C136" s="36"/>
      <c r="D136" s="36"/>
      <c r="E136" s="36"/>
    </row>
    <row r="137" spans="2:5" ht="21.95" customHeight="1" x14ac:dyDescent="0.2">
      <c r="B137" s="36"/>
      <c r="C137" s="36"/>
      <c r="D137" s="36"/>
      <c r="E137" s="36"/>
    </row>
    <row r="138" spans="2:5" ht="21.95" customHeight="1" x14ac:dyDescent="0.2">
      <c r="B138" s="36"/>
      <c r="C138" s="36"/>
      <c r="D138" s="36"/>
      <c r="E138" s="36"/>
    </row>
    <row r="139" spans="2:5" ht="21.95" customHeight="1" x14ac:dyDescent="0.2">
      <c r="B139" s="36"/>
      <c r="C139" s="36"/>
      <c r="D139" s="36"/>
      <c r="E139" s="36"/>
    </row>
    <row r="140" spans="2:5" ht="21.95" customHeight="1" x14ac:dyDescent="0.2">
      <c r="B140" s="36"/>
      <c r="C140" s="36"/>
      <c r="D140" s="36"/>
      <c r="E140" s="36"/>
    </row>
    <row r="141" spans="2:5" ht="21.95" customHeight="1" x14ac:dyDescent="0.2">
      <c r="B141" s="36"/>
      <c r="C141" s="36"/>
      <c r="D141" s="36"/>
      <c r="E141" s="36"/>
    </row>
    <row r="142" spans="2:5" ht="21.95" customHeight="1" x14ac:dyDescent="0.2">
      <c r="B142" s="36"/>
      <c r="C142" s="36"/>
      <c r="D142" s="36"/>
      <c r="E142" s="36"/>
    </row>
    <row r="143" spans="2:5" ht="21.95" customHeight="1" x14ac:dyDescent="0.2">
      <c r="B143" s="36"/>
      <c r="C143" s="36"/>
      <c r="D143" s="36"/>
      <c r="E143" s="36"/>
    </row>
    <row r="144" spans="2:5" ht="21.95" customHeight="1" x14ac:dyDescent="0.2">
      <c r="B144" s="36"/>
      <c r="C144" s="36"/>
      <c r="D144" s="36"/>
      <c r="E144" s="36"/>
    </row>
    <row r="145" spans="2:5" ht="21.95" customHeight="1" x14ac:dyDescent="0.2">
      <c r="B145" s="36"/>
      <c r="C145" s="36"/>
      <c r="D145" s="36"/>
      <c r="E145" s="36"/>
    </row>
    <row r="146" spans="2:5" ht="21.95" customHeight="1" x14ac:dyDescent="0.2">
      <c r="B146" s="36"/>
      <c r="C146" s="36"/>
      <c r="D146" s="36"/>
      <c r="E146" s="36"/>
    </row>
    <row r="147" spans="2:5" ht="21.95" customHeight="1" x14ac:dyDescent="0.2">
      <c r="B147" s="36"/>
      <c r="C147" s="36"/>
      <c r="D147" s="36"/>
      <c r="E147" s="36"/>
    </row>
    <row r="148" spans="2:5" ht="21.95" customHeight="1" x14ac:dyDescent="0.2">
      <c r="B148" s="36"/>
      <c r="C148" s="36"/>
      <c r="D148" s="36"/>
      <c r="E148" s="36"/>
    </row>
    <row r="149" spans="2:5" ht="21.95" customHeight="1" x14ac:dyDescent="0.2">
      <c r="B149" s="36"/>
      <c r="C149" s="36"/>
      <c r="D149" s="36"/>
      <c r="E149" s="36"/>
    </row>
    <row r="150" spans="2:5" ht="21.95" customHeight="1" x14ac:dyDescent="0.2">
      <c r="B150" s="36"/>
      <c r="C150" s="36"/>
      <c r="D150" s="36"/>
      <c r="E150" s="36"/>
    </row>
    <row r="151" spans="2:5" ht="21.95" customHeight="1" x14ac:dyDescent="0.2">
      <c r="B151" s="36"/>
      <c r="C151" s="36"/>
      <c r="D151" s="36"/>
      <c r="E151" s="36"/>
    </row>
    <row r="152" spans="2:5" ht="21.95" customHeight="1" x14ac:dyDescent="0.2">
      <c r="B152" s="36"/>
      <c r="C152" s="36"/>
      <c r="D152" s="36"/>
      <c r="E152" s="36"/>
    </row>
    <row r="153" spans="2:5" ht="21.95" customHeight="1" x14ac:dyDescent="0.2">
      <c r="B153" s="36"/>
      <c r="C153" s="36"/>
      <c r="D153" s="36"/>
      <c r="E153" s="36"/>
    </row>
    <row r="154" spans="2:5" ht="21.95" customHeight="1" x14ac:dyDescent="0.2">
      <c r="B154" s="36"/>
      <c r="C154" s="36"/>
      <c r="D154" s="36"/>
      <c r="E154" s="36"/>
    </row>
    <row r="155" spans="2:5" ht="21.95" customHeight="1" x14ac:dyDescent="0.2">
      <c r="B155" s="36"/>
      <c r="C155" s="36"/>
      <c r="D155" s="36"/>
      <c r="E155" s="36"/>
    </row>
    <row r="156" spans="2:5" ht="21.95" customHeight="1" x14ac:dyDescent="0.2">
      <c r="B156" s="36"/>
      <c r="C156" s="36"/>
      <c r="D156" s="36"/>
      <c r="E156" s="36"/>
    </row>
    <row r="157" spans="2:5" ht="21.95" customHeight="1" x14ac:dyDescent="0.2">
      <c r="B157" s="36"/>
      <c r="C157" s="36"/>
      <c r="D157" s="36"/>
      <c r="E157" s="36"/>
    </row>
    <row r="158" spans="2:5" ht="21.95" customHeight="1" x14ac:dyDescent="0.2">
      <c r="B158" s="36"/>
      <c r="C158" s="36"/>
      <c r="D158" s="36"/>
      <c r="E158" s="36"/>
    </row>
    <row r="159" spans="2:5" ht="21.95" customHeight="1" x14ac:dyDescent="0.2">
      <c r="B159" s="36"/>
      <c r="C159" s="36"/>
      <c r="D159" s="36"/>
      <c r="E159" s="36"/>
    </row>
    <row r="160" spans="2:5" ht="21.95" customHeight="1" x14ac:dyDescent="0.2">
      <c r="B160" s="36"/>
      <c r="C160" s="36"/>
      <c r="D160" s="36"/>
      <c r="E160" s="36"/>
    </row>
    <row r="161" spans="2:5" ht="21.95" customHeight="1" x14ac:dyDescent="0.2">
      <c r="B161" s="36"/>
      <c r="C161" s="36"/>
      <c r="D161" s="36"/>
      <c r="E161" s="36"/>
    </row>
    <row r="162" spans="2:5" ht="21.95" customHeight="1" x14ac:dyDescent="0.2">
      <c r="B162" s="36"/>
      <c r="C162" s="36"/>
      <c r="D162" s="36"/>
      <c r="E162" s="36"/>
    </row>
    <row r="163" spans="2:5" ht="21.95" customHeight="1" x14ac:dyDescent="0.2">
      <c r="B163" s="36"/>
      <c r="C163" s="36"/>
      <c r="D163" s="36"/>
      <c r="E163" s="36"/>
    </row>
    <row r="164" spans="2:5" ht="21.95" customHeight="1" x14ac:dyDescent="0.2">
      <c r="B164" s="36"/>
      <c r="C164" s="36"/>
      <c r="D164" s="36"/>
      <c r="E164" s="36"/>
    </row>
    <row r="165" spans="2:5" ht="21.95" customHeight="1" x14ac:dyDescent="0.2">
      <c r="B165" s="36"/>
      <c r="C165" s="36"/>
      <c r="D165" s="36"/>
      <c r="E165" s="36"/>
    </row>
    <row r="166" spans="2:5" ht="21.95" customHeight="1" x14ac:dyDescent="0.2">
      <c r="B166" s="36"/>
      <c r="C166" s="36"/>
      <c r="D166" s="36"/>
      <c r="E166" s="36"/>
    </row>
    <row r="167" spans="2:5" ht="21.95" customHeight="1" x14ac:dyDescent="0.2">
      <c r="B167" s="36"/>
      <c r="C167" s="36"/>
      <c r="D167" s="36"/>
      <c r="E167" s="36"/>
    </row>
    <row r="168" spans="2:5" ht="21.95" customHeight="1" x14ac:dyDescent="0.2">
      <c r="B168" s="36"/>
      <c r="C168" s="36"/>
      <c r="D168" s="36"/>
      <c r="E168" s="36"/>
    </row>
    <row r="169" spans="2:5" ht="21.95" customHeight="1" x14ac:dyDescent="0.2">
      <c r="B169" s="36"/>
      <c r="C169" s="36"/>
      <c r="D169" s="36"/>
      <c r="E169" s="36"/>
    </row>
    <row r="170" spans="2:5" ht="21.95" customHeight="1" x14ac:dyDescent="0.2">
      <c r="B170" s="36"/>
      <c r="C170" s="36"/>
      <c r="D170" s="36"/>
      <c r="E170" s="36"/>
    </row>
    <row r="171" spans="2:5" ht="21.95" customHeight="1" x14ac:dyDescent="0.2">
      <c r="B171" s="36"/>
      <c r="C171" s="36"/>
      <c r="D171" s="36"/>
      <c r="E171" s="36"/>
    </row>
    <row r="172" spans="2:5" ht="21.95" customHeight="1" x14ac:dyDescent="0.2">
      <c r="B172" s="36"/>
      <c r="C172" s="36"/>
      <c r="D172" s="36"/>
      <c r="E172" s="36"/>
    </row>
    <row r="173" spans="2:5" ht="21.95" customHeight="1" x14ac:dyDescent="0.2">
      <c r="B173" s="36"/>
      <c r="C173" s="36"/>
      <c r="D173" s="36"/>
      <c r="E173" s="36"/>
    </row>
    <row r="174" spans="2:5" ht="21.95" customHeight="1" x14ac:dyDescent="0.2">
      <c r="B174" s="36"/>
      <c r="C174" s="36"/>
      <c r="D174" s="36"/>
      <c r="E174" s="36"/>
    </row>
    <row r="175" spans="2:5" ht="21.95" customHeight="1" x14ac:dyDescent="0.2">
      <c r="B175" s="36"/>
      <c r="C175" s="36"/>
      <c r="D175" s="36"/>
      <c r="E175" s="36"/>
    </row>
    <row r="176" spans="2:5" ht="21.95" customHeight="1" x14ac:dyDescent="0.2">
      <c r="B176" s="36"/>
      <c r="C176" s="36"/>
      <c r="D176" s="36"/>
      <c r="E176" s="36"/>
    </row>
    <row r="177" spans="2:5" ht="21.95" customHeight="1" x14ac:dyDescent="0.2">
      <c r="B177" s="36"/>
      <c r="C177" s="36"/>
      <c r="D177" s="36"/>
      <c r="E177" s="36"/>
    </row>
    <row r="178" spans="2:5" ht="21.95" customHeight="1" x14ac:dyDescent="0.2">
      <c r="B178" s="36"/>
      <c r="C178" s="36"/>
      <c r="D178" s="36"/>
      <c r="E178" s="36"/>
    </row>
    <row r="179" spans="2:5" ht="21.95" customHeight="1" x14ac:dyDescent="0.2">
      <c r="B179" s="36"/>
      <c r="C179" s="36"/>
      <c r="D179" s="36"/>
      <c r="E179" s="36"/>
    </row>
    <row r="180" spans="2:5" ht="21.95" customHeight="1" x14ac:dyDescent="0.2">
      <c r="B180" s="36"/>
      <c r="C180" s="36"/>
      <c r="D180" s="36"/>
      <c r="E180" s="36"/>
    </row>
    <row r="181" spans="2:5" x14ac:dyDescent="0.2">
      <c r="B181" s="36"/>
      <c r="C181" s="36"/>
      <c r="D181" s="36"/>
      <c r="E181" s="36"/>
    </row>
    <row r="182" spans="2:5" x14ac:dyDescent="0.2">
      <c r="B182" s="36"/>
      <c r="C182" s="36"/>
      <c r="D182" s="36"/>
      <c r="E182" s="36"/>
    </row>
    <row r="183" spans="2:5" x14ac:dyDescent="0.2">
      <c r="B183" s="36"/>
      <c r="C183" s="36"/>
      <c r="D183" s="36"/>
      <c r="E183" s="36"/>
    </row>
    <row r="184" spans="2:5" x14ac:dyDescent="0.2">
      <c r="B184" s="36"/>
      <c r="C184" s="36"/>
      <c r="D184" s="36"/>
      <c r="E184" s="36"/>
    </row>
    <row r="185" spans="2:5" x14ac:dyDescent="0.2">
      <c r="B185" s="36"/>
      <c r="C185" s="36"/>
      <c r="D185" s="36"/>
      <c r="E185" s="36"/>
    </row>
    <row r="186" spans="2:5" x14ac:dyDescent="0.2">
      <c r="B186" s="36"/>
      <c r="C186" s="36"/>
      <c r="D186" s="36"/>
      <c r="E186" s="36"/>
    </row>
    <row r="187" spans="2:5" x14ac:dyDescent="0.2">
      <c r="B187" s="36"/>
      <c r="C187" s="36"/>
      <c r="D187" s="36"/>
      <c r="E187" s="36"/>
    </row>
  </sheetData>
  <mergeCells count="127">
    <mergeCell ref="B38:T38"/>
    <mergeCell ref="AE33:AI33"/>
    <mergeCell ref="AE34:AI34"/>
    <mergeCell ref="AE35:AI35"/>
    <mergeCell ref="B33:T33"/>
    <mergeCell ref="B35:T35"/>
    <mergeCell ref="B32:T32"/>
    <mergeCell ref="B34:T34"/>
    <mergeCell ref="B29:T29"/>
    <mergeCell ref="B37:T37"/>
    <mergeCell ref="Z33:AD33"/>
    <mergeCell ref="Z34:AD34"/>
    <mergeCell ref="Z35:AD35"/>
    <mergeCell ref="AJ38:AM38"/>
    <mergeCell ref="U32:Y32"/>
    <mergeCell ref="AE26:AI26"/>
    <mergeCell ref="AJ26:AM26"/>
    <mergeCell ref="AE32:AI32"/>
    <mergeCell ref="AJ32:AM32"/>
    <mergeCell ref="U27:Y27"/>
    <mergeCell ref="U38:Y38"/>
    <mergeCell ref="U35:Y35"/>
    <mergeCell ref="U29:Y29"/>
    <mergeCell ref="AE38:AI38"/>
    <mergeCell ref="U34:Y34"/>
    <mergeCell ref="U33:Y33"/>
    <mergeCell ref="U28:Y28"/>
    <mergeCell ref="Z27:AD27"/>
    <mergeCell ref="Z24:AD24"/>
    <mergeCell ref="Z25:AD25"/>
    <mergeCell ref="AJ19:AM19"/>
    <mergeCell ref="U20:Y20"/>
    <mergeCell ref="AE20:AI20"/>
    <mergeCell ref="AJ20:AM20"/>
    <mergeCell ref="U26:Y26"/>
    <mergeCell ref="U21:Y21"/>
    <mergeCell ref="U23:Y23"/>
    <mergeCell ref="AE22:AI22"/>
    <mergeCell ref="AE23:AI23"/>
    <mergeCell ref="AE21:AI21"/>
    <mergeCell ref="AJ21:AM21"/>
    <mergeCell ref="AE19:AI19"/>
    <mergeCell ref="AJ22:AM22"/>
    <mergeCell ref="AJ23:AM23"/>
    <mergeCell ref="Z26:AD26"/>
    <mergeCell ref="B1:AM2"/>
    <mergeCell ref="U9:Y10"/>
    <mergeCell ref="B6:AM6"/>
    <mergeCell ref="AJ11:AM11"/>
    <mergeCell ref="B3:AM3"/>
    <mergeCell ref="B4:AM4"/>
    <mergeCell ref="U11:Y11"/>
    <mergeCell ref="B9:T9"/>
    <mergeCell ref="B11:T11"/>
    <mergeCell ref="AE11:AI11"/>
    <mergeCell ref="AE9:AI10"/>
    <mergeCell ref="AJ9:AM10"/>
    <mergeCell ref="Z11:AD11"/>
    <mergeCell ref="Z9:AD10"/>
    <mergeCell ref="B5:AM5"/>
    <mergeCell ref="A9:A10"/>
    <mergeCell ref="U12:Y12"/>
    <mergeCell ref="U22:Y22"/>
    <mergeCell ref="B15:T15"/>
    <mergeCell ref="U15:Y15"/>
    <mergeCell ref="U14:Y14"/>
    <mergeCell ref="B12:T12"/>
    <mergeCell ref="U19:Y19"/>
    <mergeCell ref="B22:T22"/>
    <mergeCell ref="B20:T20"/>
    <mergeCell ref="B19:T19"/>
    <mergeCell ref="B17:T17"/>
    <mergeCell ref="B16:T16"/>
    <mergeCell ref="U16:Y16"/>
    <mergeCell ref="B14:T14"/>
    <mergeCell ref="B13:T13"/>
    <mergeCell ref="U13:Y13"/>
    <mergeCell ref="B21:T21"/>
    <mergeCell ref="AJ12:AM12"/>
    <mergeCell ref="AJ13:AM13"/>
    <mergeCell ref="AJ27:AM27"/>
    <mergeCell ref="AJ25:AM25"/>
    <mergeCell ref="AJ24:AM24"/>
    <mergeCell ref="AE27:AI27"/>
    <mergeCell ref="AE28:AI28"/>
    <mergeCell ref="AE29:AI29"/>
    <mergeCell ref="AJ28:AM28"/>
    <mergeCell ref="AJ29:AM29"/>
    <mergeCell ref="AE25:AI25"/>
    <mergeCell ref="AE15:AI15"/>
    <mergeCell ref="AJ15:AM15"/>
    <mergeCell ref="AE14:AI14"/>
    <mergeCell ref="AJ14:AM14"/>
    <mergeCell ref="AE24:AI24"/>
    <mergeCell ref="Z12:AD12"/>
    <mergeCell ref="Z13:AD13"/>
    <mergeCell ref="Z14:AD14"/>
    <mergeCell ref="Z15:AD15"/>
    <mergeCell ref="Z19:AD19"/>
    <mergeCell ref="Z17:AD17"/>
    <mergeCell ref="Z16:AD16"/>
    <mergeCell ref="AE12:AI12"/>
    <mergeCell ref="AE13:AI13"/>
    <mergeCell ref="Z37:AD37"/>
    <mergeCell ref="Z38:AD38"/>
    <mergeCell ref="B36:T36"/>
    <mergeCell ref="Z36:AD36"/>
    <mergeCell ref="B18:T18"/>
    <mergeCell ref="U18:Y18"/>
    <mergeCell ref="Z18:AD18"/>
    <mergeCell ref="B31:T31"/>
    <mergeCell ref="Z31:AD31"/>
    <mergeCell ref="B30:T30"/>
    <mergeCell ref="Z30:AD30"/>
    <mergeCell ref="Z28:AD28"/>
    <mergeCell ref="Z29:AD29"/>
    <mergeCell ref="Z32:AD32"/>
    <mergeCell ref="B26:T26"/>
    <mergeCell ref="B28:T28"/>
    <mergeCell ref="B27:T27"/>
    <mergeCell ref="B23:T23"/>
    <mergeCell ref="B25:T25"/>
    <mergeCell ref="U24:Y24"/>
    <mergeCell ref="U25:Y25"/>
    <mergeCell ref="B24:T24"/>
    <mergeCell ref="Z22:AD22"/>
    <mergeCell ref="Z23:AD23"/>
  </mergeCells>
  <phoneticPr fontId="0" type="noConversion"/>
  <printOptions horizontalCentered="1"/>
  <pageMargins left="0.17" right="0.19685039370078741" top="0.59055118110236227" bottom="0.59055118110236227" header="0.5" footer="0.5"/>
  <pageSetup paperSize="9" scale="72" fitToHeight="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38"/>
  <sheetViews>
    <sheetView topLeftCell="A9" workbookViewId="0">
      <selection activeCell="F13" sqref="F13"/>
    </sheetView>
  </sheetViews>
  <sheetFormatPr defaultRowHeight="12.75" x14ac:dyDescent="0.2"/>
  <cols>
    <col min="1" max="1" width="52" style="64" customWidth="1"/>
    <col min="2" max="2" width="13.42578125" style="65" customWidth="1"/>
    <col min="3" max="3" width="14" style="65" customWidth="1"/>
    <col min="4" max="4" width="15.42578125" style="65" customWidth="1"/>
    <col min="5" max="6" width="14.28515625" style="65" customWidth="1"/>
    <col min="7" max="7" width="12.140625" style="65" customWidth="1"/>
    <col min="8" max="8" width="5.28515625" customWidth="1"/>
    <col min="9" max="9" width="6.42578125" customWidth="1"/>
  </cols>
  <sheetData>
    <row r="1" spans="1:7" ht="18.75" x14ac:dyDescent="0.2">
      <c r="A1" s="646" t="s">
        <v>328</v>
      </c>
      <c r="B1" s="646"/>
      <c r="C1" s="646"/>
      <c r="D1" s="646"/>
      <c r="E1" s="646"/>
      <c r="F1" s="212"/>
    </row>
    <row r="2" spans="1:7" ht="18.75" x14ac:dyDescent="0.2">
      <c r="A2" s="646" t="s">
        <v>280</v>
      </c>
      <c r="B2" s="647"/>
      <c r="C2" s="647"/>
      <c r="D2" s="647"/>
      <c r="E2" s="647"/>
      <c r="F2" s="213"/>
    </row>
    <row r="4" spans="1:7" ht="18.75" x14ac:dyDescent="0.2">
      <c r="A4" s="646" t="s">
        <v>254</v>
      </c>
      <c r="B4" s="647"/>
      <c r="C4" s="647"/>
      <c r="D4" s="647"/>
      <c r="E4" s="647"/>
      <c r="F4" s="213"/>
      <c r="G4" s="214" t="s">
        <v>275</v>
      </c>
    </row>
    <row r="5" spans="1:7" ht="19.5" thickBot="1" x14ac:dyDescent="0.3">
      <c r="A5" s="212"/>
      <c r="B5" s="213"/>
      <c r="C5" s="213"/>
      <c r="D5" s="213"/>
      <c r="E5" s="213"/>
      <c r="F5" s="213"/>
      <c r="G5" s="148"/>
    </row>
    <row r="6" spans="1:7" ht="36.75" thickBot="1" x14ac:dyDescent="0.25">
      <c r="A6" s="149" t="s">
        <v>145</v>
      </c>
      <c r="B6" s="150" t="s">
        <v>146</v>
      </c>
      <c r="C6" s="150" t="s">
        <v>147</v>
      </c>
      <c r="D6" s="150" t="s">
        <v>292</v>
      </c>
      <c r="E6" s="150" t="s">
        <v>387</v>
      </c>
      <c r="F6" s="150" t="s">
        <v>398</v>
      </c>
      <c r="G6" s="151" t="s">
        <v>351</v>
      </c>
    </row>
    <row r="7" spans="1:7" ht="13.5" thickBot="1" x14ac:dyDescent="0.25">
      <c r="A7" s="152">
        <v>1</v>
      </c>
      <c r="B7" s="153">
        <v>2</v>
      </c>
      <c r="C7" s="153">
        <v>3</v>
      </c>
      <c r="D7" s="153">
        <v>4</v>
      </c>
      <c r="E7" s="153">
        <v>5</v>
      </c>
      <c r="F7" s="369"/>
      <c r="G7" s="154">
        <v>6</v>
      </c>
    </row>
    <row r="8" spans="1:7" ht="20.25" customHeight="1" x14ac:dyDescent="0.2">
      <c r="A8" s="155" t="s">
        <v>148</v>
      </c>
      <c r="B8" s="156"/>
      <c r="C8" s="157"/>
      <c r="D8" s="156"/>
      <c r="E8" s="156"/>
      <c r="F8" s="476">
        <f>SUM(F9:F11)</f>
        <v>21187733</v>
      </c>
      <c r="G8" s="158">
        <f>B8-D8-E8</f>
        <v>0</v>
      </c>
    </row>
    <row r="9" spans="1:7" ht="20.25" customHeight="1" x14ac:dyDescent="0.2">
      <c r="A9" s="159" t="s">
        <v>291</v>
      </c>
      <c r="B9" s="156">
        <v>32103366</v>
      </c>
      <c r="C9" s="157">
        <v>2014</v>
      </c>
      <c r="D9" s="156">
        <v>13028633</v>
      </c>
      <c r="E9" s="156">
        <f>+B9-D9</f>
        <v>19074733</v>
      </c>
      <c r="F9" s="156">
        <v>19074733</v>
      </c>
      <c r="G9" s="158"/>
    </row>
    <row r="10" spans="1:7" ht="20.25" customHeight="1" x14ac:dyDescent="0.2">
      <c r="A10" s="159" t="s">
        <v>388</v>
      </c>
      <c r="B10" s="156"/>
      <c r="C10" s="157"/>
      <c r="D10" s="156"/>
      <c r="E10" s="156"/>
      <c r="F10" s="370">
        <v>513000</v>
      </c>
      <c r="G10" s="158">
        <f>B10-D10-E10</f>
        <v>0</v>
      </c>
    </row>
    <row r="11" spans="1:7" ht="20.25" customHeight="1" x14ac:dyDescent="0.2">
      <c r="A11" s="160" t="s">
        <v>386</v>
      </c>
      <c r="B11" s="156"/>
      <c r="C11" s="157"/>
      <c r="D11" s="156"/>
      <c r="E11" s="156"/>
      <c r="F11" s="370">
        <v>1600000</v>
      </c>
      <c r="G11" s="158">
        <v>0</v>
      </c>
    </row>
    <row r="12" spans="1:7" ht="20.25" customHeight="1" x14ac:dyDescent="0.2">
      <c r="A12" s="155" t="s">
        <v>149</v>
      </c>
      <c r="B12" s="156"/>
      <c r="C12" s="157"/>
      <c r="D12" s="156"/>
      <c r="E12" s="156"/>
      <c r="F12" s="476">
        <f>SUM(F13:F20)+2000</f>
        <v>7161764</v>
      </c>
      <c r="G12" s="158">
        <f>B12-D12-E12</f>
        <v>0</v>
      </c>
    </row>
    <row r="13" spans="1:7" ht="20.25" customHeight="1" x14ac:dyDescent="0.2">
      <c r="A13" s="159" t="s">
        <v>352</v>
      </c>
      <c r="B13" s="156"/>
      <c r="C13" s="166"/>
      <c r="D13" s="156"/>
      <c r="E13" s="156">
        <v>3713764</v>
      </c>
      <c r="F13" s="156">
        <f>3713764+127000</f>
        <v>3840764</v>
      </c>
      <c r="G13" s="158"/>
    </row>
    <row r="14" spans="1:7" ht="20.25" customHeight="1" x14ac:dyDescent="0.2">
      <c r="A14" s="159" t="s">
        <v>359</v>
      </c>
      <c r="B14" s="156"/>
      <c r="C14" s="157"/>
      <c r="D14" s="156"/>
      <c r="E14" s="156">
        <v>300000</v>
      </c>
      <c r="F14" s="156">
        <v>300000</v>
      </c>
      <c r="G14" s="158"/>
    </row>
    <row r="15" spans="1:7" ht="20.25" customHeight="1" x14ac:dyDescent="0.2">
      <c r="A15" s="761" t="s">
        <v>408</v>
      </c>
      <c r="B15" s="168"/>
      <c r="C15" s="169"/>
      <c r="D15" s="168"/>
      <c r="E15" s="168"/>
      <c r="F15" s="371">
        <v>60000</v>
      </c>
      <c r="G15" s="170"/>
    </row>
    <row r="16" spans="1:7" ht="20.25" customHeight="1" x14ac:dyDescent="0.2">
      <c r="A16" s="761" t="s">
        <v>409</v>
      </c>
      <c r="B16" s="168"/>
      <c r="C16" s="169"/>
      <c r="D16" s="168"/>
      <c r="E16" s="168"/>
      <c r="F16" s="371">
        <v>600000</v>
      </c>
      <c r="G16" s="170"/>
    </row>
    <row r="17" spans="1:7" ht="20.25" customHeight="1" x14ac:dyDescent="0.2">
      <c r="A17" s="761" t="s">
        <v>410</v>
      </c>
      <c r="B17" s="168"/>
      <c r="C17" s="169"/>
      <c r="D17" s="168"/>
      <c r="E17" s="168"/>
      <c r="F17" s="371">
        <v>16000</v>
      </c>
      <c r="G17" s="170"/>
    </row>
    <row r="18" spans="1:7" ht="20.25" customHeight="1" x14ac:dyDescent="0.2">
      <c r="A18" s="167" t="s">
        <v>399</v>
      </c>
      <c r="B18" s="168"/>
      <c r="C18" s="169"/>
      <c r="D18" s="168"/>
      <c r="E18" s="168"/>
      <c r="F18" s="371">
        <v>425000</v>
      </c>
      <c r="G18" s="170"/>
    </row>
    <row r="19" spans="1:7" ht="20.25" customHeight="1" x14ac:dyDescent="0.2">
      <c r="A19" s="167" t="s">
        <v>400</v>
      </c>
      <c r="B19" s="168"/>
      <c r="C19" s="169"/>
      <c r="D19" s="168"/>
      <c r="E19" s="168"/>
      <c r="F19" s="371">
        <v>952000</v>
      </c>
      <c r="G19" s="170"/>
    </row>
    <row r="20" spans="1:7" ht="20.25" customHeight="1" x14ac:dyDescent="0.2">
      <c r="A20" s="167" t="s">
        <v>401</v>
      </c>
      <c r="B20" s="168"/>
      <c r="C20" s="169"/>
      <c r="D20" s="168"/>
      <c r="E20" s="168"/>
      <c r="F20" s="371">
        <f>569000+97000+300000</f>
        <v>966000</v>
      </c>
      <c r="G20" s="170"/>
    </row>
    <row r="21" spans="1:7" ht="20.25" customHeight="1" thickBot="1" x14ac:dyDescent="0.25">
      <c r="A21" s="167"/>
      <c r="B21" s="168"/>
      <c r="C21" s="169"/>
      <c r="D21" s="168"/>
      <c r="E21" s="168"/>
      <c r="F21" s="371"/>
      <c r="G21" s="170"/>
    </row>
    <row r="22" spans="1:7" ht="13.5" thickBot="1" x14ac:dyDescent="0.25">
      <c r="A22" s="161" t="s">
        <v>150</v>
      </c>
      <c r="B22" s="162">
        <f>SUM(B9:B21)</f>
        <v>32103366</v>
      </c>
      <c r="C22" s="163"/>
      <c r="D22" s="162">
        <f>SUM(D8:D14)</f>
        <v>13028633</v>
      </c>
      <c r="E22" s="162">
        <f>SUM(E8:E14)</f>
        <v>23088497</v>
      </c>
      <c r="F22" s="162">
        <f>F8+F12</f>
        <v>28349497</v>
      </c>
      <c r="G22" s="164">
        <f>SUM(G8:G14)</f>
        <v>0</v>
      </c>
    </row>
    <row r="30" spans="1:7" x14ac:dyDescent="0.2">
      <c r="B30" s="221"/>
      <c r="C30" s="221"/>
      <c r="D30" s="221"/>
    </row>
    <row r="31" spans="1:7" ht="15.75" x14ac:dyDescent="0.2">
      <c r="A31" s="236"/>
      <c r="B31" s="235"/>
      <c r="C31" s="241"/>
      <c r="D31" s="242"/>
    </row>
    <row r="32" spans="1:7" ht="15.75" x14ac:dyDescent="0.2">
      <c r="A32" s="236"/>
      <c r="B32" s="237"/>
      <c r="C32" s="238"/>
      <c r="D32" s="242"/>
    </row>
    <row r="33" spans="1:4" ht="15.75" x14ac:dyDescent="0.2">
      <c r="A33" s="287"/>
      <c r="B33" s="237"/>
      <c r="C33" s="238"/>
      <c r="D33" s="242"/>
    </row>
    <row r="34" spans="1:4" ht="15.75" x14ac:dyDescent="0.2">
      <c r="A34" s="236"/>
      <c r="B34" s="237"/>
      <c r="C34" s="238"/>
    </row>
    <row r="35" spans="1:4" x14ac:dyDescent="0.2">
      <c r="A35" s="239"/>
      <c r="B35" s="237"/>
      <c r="C35" s="240"/>
    </row>
    <row r="36" spans="1:4" ht="15.75" x14ac:dyDescent="0.25">
      <c r="A36" s="243"/>
      <c r="B36" s="237"/>
      <c r="C36" s="238"/>
      <c r="D36" s="242"/>
    </row>
    <row r="37" spans="1:4" ht="15.75" x14ac:dyDescent="0.25">
      <c r="A37" s="243"/>
      <c r="C37" s="242"/>
      <c r="D37" s="242"/>
    </row>
    <row r="38" spans="1:4" ht="15.75" x14ac:dyDescent="0.25">
      <c r="A38" s="243"/>
      <c r="C38" s="242"/>
      <c r="D38" s="242"/>
    </row>
  </sheetData>
  <mergeCells count="3">
    <mergeCell ref="A1:E1"/>
    <mergeCell ref="A2:E2"/>
    <mergeCell ref="A4:E4"/>
  </mergeCells>
  <phoneticPr fontId="20" type="noConversion"/>
  <printOptions horizontalCentered="1" gridLines="1"/>
  <pageMargins left="0.64" right="0.15" top="1.47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43"/>
  <sheetViews>
    <sheetView topLeftCell="A6" zoomScaleNormal="100" zoomScaleSheetLayoutView="100" workbookViewId="0">
      <selection activeCell="B22" sqref="B22"/>
    </sheetView>
  </sheetViews>
  <sheetFormatPr defaultRowHeight="12.75" x14ac:dyDescent="0.2"/>
  <cols>
    <col min="1" max="1" width="38.140625" style="57" customWidth="1"/>
    <col min="2" max="2" width="15.7109375" style="222" bestFit="1" customWidth="1"/>
    <col min="3" max="3" width="18" style="222" bestFit="1" customWidth="1"/>
    <col min="4" max="4" width="15.5703125" style="222" bestFit="1" customWidth="1"/>
    <col min="5" max="5" width="18" style="222" bestFit="1" customWidth="1"/>
    <col min="6" max="7" width="9.140625" style="57" customWidth="1"/>
  </cols>
  <sheetData>
    <row r="1" spans="1:5" ht="18" x14ac:dyDescent="0.25">
      <c r="A1" s="650" t="s">
        <v>328</v>
      </c>
      <c r="B1" s="650"/>
      <c r="C1" s="650"/>
      <c r="D1" s="650"/>
      <c r="E1" s="650"/>
    </row>
    <row r="2" spans="1:5" ht="18.75" x14ac:dyDescent="0.3">
      <c r="A2" s="651" t="s">
        <v>280</v>
      </c>
      <c r="B2" s="651"/>
      <c r="C2" s="651"/>
      <c r="D2" s="651"/>
      <c r="E2" s="651"/>
    </row>
    <row r="4" spans="1:5" ht="45" customHeight="1" x14ac:dyDescent="0.2">
      <c r="A4" s="649" t="s">
        <v>132</v>
      </c>
      <c r="B4" s="649"/>
      <c r="C4" s="649"/>
      <c r="D4" s="649"/>
      <c r="E4" s="649"/>
    </row>
    <row r="5" spans="1:5" ht="29.25" customHeight="1" x14ac:dyDescent="0.2"/>
    <row r="6" spans="1:5" ht="18" customHeight="1" x14ac:dyDescent="0.2"/>
    <row r="7" spans="1:5" ht="15.75" x14ac:dyDescent="0.2">
      <c r="B7" s="652"/>
      <c r="C7" s="652"/>
      <c r="D7" s="652"/>
      <c r="E7" s="652"/>
    </row>
    <row r="8" spans="1:5" ht="15.75" x14ac:dyDescent="0.25">
      <c r="A8" s="141" t="s">
        <v>133</v>
      </c>
      <c r="B8" s="648" t="s">
        <v>353</v>
      </c>
      <c r="C8" s="648"/>
      <c r="D8" s="648"/>
      <c r="E8" s="648"/>
    </row>
    <row r="9" spans="1:5" ht="13.5" thickBot="1" x14ac:dyDescent="0.25">
      <c r="E9" s="222" t="s">
        <v>277</v>
      </c>
    </row>
    <row r="10" spans="1:5" ht="16.5" thickBot="1" x14ac:dyDescent="0.3">
      <c r="A10" s="142" t="s">
        <v>134</v>
      </c>
      <c r="B10" s="223">
        <v>2014</v>
      </c>
      <c r="C10" s="223">
        <v>2015</v>
      </c>
      <c r="D10" s="223">
        <v>2016</v>
      </c>
      <c r="E10" s="224" t="s">
        <v>50</v>
      </c>
    </row>
    <row r="11" spans="1:5" ht="15.75" x14ac:dyDescent="0.25">
      <c r="A11" s="143" t="s">
        <v>135</v>
      </c>
      <c r="B11" s="225"/>
      <c r="C11" s="225"/>
      <c r="D11" s="225"/>
      <c r="E11" s="226">
        <f t="shared" ref="E11:E17" si="0">SUM(B11:D11)</f>
        <v>0</v>
      </c>
    </row>
    <row r="12" spans="1:5" ht="15.75" x14ac:dyDescent="0.25">
      <c r="A12" s="144" t="s">
        <v>136</v>
      </c>
      <c r="B12" s="227"/>
      <c r="C12" s="227"/>
      <c r="D12" s="227"/>
      <c r="E12" s="226">
        <f t="shared" si="0"/>
        <v>0</v>
      </c>
    </row>
    <row r="13" spans="1:5" ht="15.75" x14ac:dyDescent="0.25">
      <c r="A13" s="146" t="s">
        <v>137</v>
      </c>
      <c r="B13" s="227">
        <v>1302</v>
      </c>
      <c r="C13" s="227">
        <v>19397</v>
      </c>
      <c r="D13" s="227"/>
      <c r="E13" s="226">
        <f t="shared" si="0"/>
        <v>20699</v>
      </c>
    </row>
    <row r="14" spans="1:5" ht="15.75" x14ac:dyDescent="0.25">
      <c r="A14" s="146" t="s">
        <v>389</v>
      </c>
      <c r="B14" s="227"/>
      <c r="C14" s="227">
        <v>3615</v>
      </c>
      <c r="D14" s="227"/>
      <c r="E14" s="226">
        <f t="shared" si="0"/>
        <v>3615</v>
      </c>
    </row>
    <row r="15" spans="1:5" ht="15.75" x14ac:dyDescent="0.25">
      <c r="A15" s="146" t="s">
        <v>139</v>
      </c>
      <c r="B15" s="227"/>
      <c r="C15" s="227"/>
      <c r="D15" s="227"/>
      <c r="E15" s="226">
        <f t="shared" si="0"/>
        <v>0</v>
      </c>
    </row>
    <row r="16" spans="1:5" ht="16.5" thickBot="1" x14ac:dyDescent="0.3">
      <c r="A16" s="147" t="s">
        <v>32</v>
      </c>
      <c r="B16" s="228"/>
      <c r="C16" s="228"/>
      <c r="D16" s="228"/>
      <c r="E16" s="229">
        <f t="shared" si="0"/>
        <v>0</v>
      </c>
    </row>
    <row r="17" spans="1:5" ht="16.5" thickBot="1" x14ac:dyDescent="0.3">
      <c r="A17" s="142" t="s">
        <v>140</v>
      </c>
      <c r="B17" s="230">
        <f>SUM(B11:B16)</f>
        <v>1302</v>
      </c>
      <c r="C17" s="230">
        <f>SUM(C11:C16)</f>
        <v>23012</v>
      </c>
      <c r="D17" s="230">
        <f>SUM(D11:D16)</f>
        <v>0</v>
      </c>
      <c r="E17" s="231">
        <f t="shared" si="0"/>
        <v>24314</v>
      </c>
    </row>
    <row r="18" spans="1:5" ht="16.5" thickBot="1" x14ac:dyDescent="0.3">
      <c r="A18" s="58"/>
      <c r="B18" s="232"/>
      <c r="C18" s="232"/>
      <c r="D18" s="232"/>
      <c r="E18" s="232"/>
    </row>
    <row r="19" spans="1:5" ht="16.5" thickBot="1" x14ac:dyDescent="0.3">
      <c r="A19" s="142" t="s">
        <v>141</v>
      </c>
      <c r="B19" s="223">
        <v>2014</v>
      </c>
      <c r="C19" s="223">
        <v>2015</v>
      </c>
      <c r="D19" s="223">
        <v>2016</v>
      </c>
      <c r="E19" s="224" t="s">
        <v>50</v>
      </c>
    </row>
    <row r="20" spans="1:5" ht="15.75" x14ac:dyDescent="0.25">
      <c r="A20" s="143" t="s">
        <v>142</v>
      </c>
      <c r="B20" s="225"/>
      <c r="C20" s="225"/>
      <c r="D20" s="225"/>
      <c r="E20" s="226"/>
    </row>
    <row r="21" spans="1:5" ht="15.75" x14ac:dyDescent="0.25">
      <c r="A21" s="146" t="s">
        <v>143</v>
      </c>
      <c r="B21" s="227">
        <v>11349</v>
      </c>
      <c r="C21" s="227">
        <v>16269</v>
      </c>
      <c r="D21" s="227"/>
      <c r="E21" s="226"/>
    </row>
    <row r="22" spans="1:5" ht="15.75" x14ac:dyDescent="0.25">
      <c r="A22" s="146" t="s">
        <v>144</v>
      </c>
      <c r="B22" s="227">
        <v>1680</v>
      </c>
      <c r="C22" s="227">
        <f>2219+586</f>
        <v>2805</v>
      </c>
      <c r="D22" s="227"/>
      <c r="E22" s="226"/>
    </row>
    <row r="23" spans="1:5" ht="16.5" thickBot="1" x14ac:dyDescent="0.3">
      <c r="A23" s="147" t="s">
        <v>261</v>
      </c>
      <c r="B23" s="228"/>
      <c r="C23" s="228"/>
      <c r="D23" s="228"/>
      <c r="E23" s="229">
        <f>SUM(B23:D23)</f>
        <v>0</v>
      </c>
    </row>
    <row r="24" spans="1:5" ht="16.5" thickBot="1" x14ac:dyDescent="0.3">
      <c r="A24" s="142" t="s">
        <v>50</v>
      </c>
      <c r="B24" s="230">
        <f>SUM(B20:B23)</f>
        <v>13029</v>
      </c>
      <c r="C24" s="230">
        <f>SUM(C20:C23)</f>
        <v>19074</v>
      </c>
      <c r="D24" s="230">
        <f>SUM(D20:D23)</f>
        <v>0</v>
      </c>
      <c r="E24" s="231">
        <f>SUM(B24:D24)</f>
        <v>32103</v>
      </c>
    </row>
    <row r="27" spans="1:5" ht="15.75" x14ac:dyDescent="0.25">
      <c r="A27" s="141" t="s">
        <v>133</v>
      </c>
      <c r="B27" s="648" t="s">
        <v>354</v>
      </c>
      <c r="C27" s="648"/>
      <c r="D27" s="648"/>
      <c r="E27" s="648"/>
    </row>
    <row r="28" spans="1:5" ht="13.5" thickBot="1" x14ac:dyDescent="0.25">
      <c r="E28" s="222" t="s">
        <v>277</v>
      </c>
    </row>
    <row r="29" spans="1:5" ht="16.5" thickBot="1" x14ac:dyDescent="0.3">
      <c r="A29" s="142" t="s">
        <v>134</v>
      </c>
      <c r="B29" s="223">
        <v>2014</v>
      </c>
      <c r="C29" s="223">
        <v>2015</v>
      </c>
      <c r="D29" s="223">
        <v>2016</v>
      </c>
      <c r="E29" s="224" t="s">
        <v>50</v>
      </c>
    </row>
    <row r="30" spans="1:5" ht="15.75" x14ac:dyDescent="0.25">
      <c r="A30" s="143" t="s">
        <v>135</v>
      </c>
      <c r="B30" s="225"/>
      <c r="C30" s="225"/>
      <c r="D30" s="225"/>
      <c r="E30" s="226">
        <f t="shared" ref="E30:E36" si="1">SUM(B30:D30)</f>
        <v>0</v>
      </c>
    </row>
    <row r="31" spans="1:5" ht="15.75" x14ac:dyDescent="0.25">
      <c r="A31" s="144" t="s">
        <v>136</v>
      </c>
      <c r="B31" s="227"/>
      <c r="C31" s="227"/>
      <c r="D31" s="227"/>
      <c r="E31" s="226">
        <f t="shared" si="1"/>
        <v>0</v>
      </c>
    </row>
    <row r="32" spans="1:5" ht="15.75" x14ac:dyDescent="0.25">
      <c r="A32" s="146" t="s">
        <v>137</v>
      </c>
      <c r="B32" s="227"/>
      <c r="C32" s="227">
        <f>4716+99</f>
        <v>4815</v>
      </c>
      <c r="D32" s="227"/>
      <c r="E32" s="226">
        <f t="shared" si="1"/>
        <v>4815</v>
      </c>
    </row>
    <row r="33" spans="1:5" ht="15.75" x14ac:dyDescent="0.25">
      <c r="A33" s="146" t="s">
        <v>138</v>
      </c>
      <c r="B33" s="227"/>
      <c r="C33" s="227"/>
      <c r="D33" s="227"/>
      <c r="E33" s="226">
        <f t="shared" si="1"/>
        <v>0</v>
      </c>
    </row>
    <row r="34" spans="1:5" ht="15.75" x14ac:dyDescent="0.25">
      <c r="A34" s="146" t="s">
        <v>139</v>
      </c>
      <c r="B34" s="227"/>
      <c r="C34" s="227"/>
      <c r="D34" s="227"/>
      <c r="E34" s="226">
        <f t="shared" si="1"/>
        <v>0</v>
      </c>
    </row>
    <row r="35" spans="1:5" ht="16.5" thickBot="1" x14ac:dyDescent="0.3">
      <c r="A35" s="147" t="s">
        <v>32</v>
      </c>
      <c r="B35" s="228"/>
      <c r="C35" s="228"/>
      <c r="D35" s="228"/>
      <c r="E35" s="229">
        <f t="shared" si="1"/>
        <v>0</v>
      </c>
    </row>
    <row r="36" spans="1:5" ht="16.5" thickBot="1" x14ac:dyDescent="0.3">
      <c r="A36" s="142" t="s">
        <v>140</v>
      </c>
      <c r="B36" s="230">
        <f>SUM(B30:B35)</f>
        <v>0</v>
      </c>
      <c r="C36" s="230">
        <f>SUM(C30:C35)</f>
        <v>4815</v>
      </c>
      <c r="D36" s="230">
        <f>SUM(D30:D35)</f>
        <v>0</v>
      </c>
      <c r="E36" s="231">
        <f t="shared" si="1"/>
        <v>4815</v>
      </c>
    </row>
    <row r="37" spans="1:5" ht="16.5" thickBot="1" x14ac:dyDescent="0.3">
      <c r="A37" s="58"/>
      <c r="B37" s="232"/>
      <c r="C37" s="232"/>
      <c r="D37" s="232"/>
      <c r="E37" s="232"/>
    </row>
    <row r="38" spans="1:5" ht="16.5" thickBot="1" x14ac:dyDescent="0.3">
      <c r="A38" s="142" t="s">
        <v>141</v>
      </c>
      <c r="B38" s="223">
        <v>2014</v>
      </c>
      <c r="C38" s="223">
        <v>2015</v>
      </c>
      <c r="D38" s="223">
        <v>2016</v>
      </c>
      <c r="E38" s="224" t="s">
        <v>50</v>
      </c>
    </row>
    <row r="39" spans="1:5" ht="15.75" x14ac:dyDescent="0.25">
      <c r="A39" s="143" t="s">
        <v>142</v>
      </c>
      <c r="B39" s="225"/>
      <c r="C39" s="225"/>
      <c r="D39" s="225"/>
      <c r="E39" s="226"/>
    </row>
    <row r="40" spans="1:5" ht="15.75" x14ac:dyDescent="0.25">
      <c r="A40" s="146" t="s">
        <v>143</v>
      </c>
      <c r="B40" s="227">
        <v>1002</v>
      </c>
      <c r="C40" s="227">
        <f>3714+127</f>
        <v>3841</v>
      </c>
      <c r="D40" s="227"/>
      <c r="E40" s="226"/>
    </row>
    <row r="41" spans="1:5" ht="15.75" x14ac:dyDescent="0.25">
      <c r="A41" s="146" t="s">
        <v>144</v>
      </c>
      <c r="B41" s="227"/>
      <c r="C41" s="227"/>
      <c r="D41" s="227"/>
      <c r="E41" s="226"/>
    </row>
    <row r="42" spans="1:5" ht="16.5" thickBot="1" x14ac:dyDescent="0.3">
      <c r="A42" s="147" t="s">
        <v>261</v>
      </c>
      <c r="B42" s="228"/>
      <c r="C42" s="228"/>
      <c r="D42" s="228"/>
      <c r="E42" s="229">
        <f>SUM(B42:D42)</f>
        <v>0</v>
      </c>
    </row>
    <row r="43" spans="1:5" ht="16.5" thickBot="1" x14ac:dyDescent="0.3">
      <c r="A43" s="142" t="s">
        <v>50</v>
      </c>
      <c r="B43" s="230">
        <f>SUM(B39:B42)</f>
        <v>1002</v>
      </c>
      <c r="C43" s="230">
        <f>SUM(C39:C42)</f>
        <v>3841</v>
      </c>
      <c r="D43" s="230">
        <f>SUM(D39:D42)</f>
        <v>0</v>
      </c>
      <c r="E43" s="231">
        <f>SUM(B43:D43)</f>
        <v>4843</v>
      </c>
    </row>
  </sheetData>
  <mergeCells count="6">
    <mergeCell ref="B27:E27"/>
    <mergeCell ref="A4:E4"/>
    <mergeCell ref="A1:E1"/>
    <mergeCell ref="A2:E2"/>
    <mergeCell ref="B8:E8"/>
    <mergeCell ref="B7:E7"/>
  </mergeCells>
  <phoneticPr fontId="20" type="noConversion"/>
  <pageMargins left="0.75" right="0.18" top="0.56999999999999995" bottom="1" header="0.5" footer="0.5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BreakPreview" zoomScaleNormal="100" workbookViewId="0">
      <selection activeCell="A4" sqref="A4"/>
    </sheetView>
  </sheetViews>
  <sheetFormatPr defaultColWidth="8" defaultRowHeight="12.75" x14ac:dyDescent="0.2"/>
  <cols>
    <col min="1" max="1" width="5" style="140" customWidth="1"/>
    <col min="2" max="2" width="47" style="127" customWidth="1"/>
    <col min="3" max="4" width="15.140625" style="127" customWidth="1"/>
    <col min="5" max="16384" width="8" style="127"/>
  </cols>
  <sheetData>
    <row r="1" spans="1:4" ht="18" x14ac:dyDescent="0.2">
      <c r="B1" s="654" t="s">
        <v>350</v>
      </c>
      <c r="C1" s="655"/>
    </row>
    <row r="3" spans="1:4" ht="37.5" customHeight="1" x14ac:dyDescent="0.2">
      <c r="B3" s="654" t="s">
        <v>280</v>
      </c>
      <c r="C3" s="655"/>
    </row>
    <row r="4" spans="1:4" ht="36.75" customHeight="1" x14ac:dyDescent="0.2">
      <c r="B4" s="654" t="s">
        <v>255</v>
      </c>
      <c r="C4" s="655"/>
    </row>
    <row r="5" spans="1:4" s="115" customFormat="1" ht="15.75" thickBot="1" x14ac:dyDescent="0.25">
      <c r="A5" s="114"/>
      <c r="D5" s="215" t="s">
        <v>300</v>
      </c>
    </row>
    <row r="6" spans="1:4" s="119" customFormat="1" ht="48" customHeight="1" thickBot="1" x14ac:dyDescent="0.25">
      <c r="A6" s="116" t="s">
        <v>210</v>
      </c>
      <c r="B6" s="117" t="s">
        <v>69</v>
      </c>
      <c r="C6" s="117" t="s">
        <v>70</v>
      </c>
      <c r="D6" s="118" t="s">
        <v>71</v>
      </c>
    </row>
    <row r="7" spans="1:4" s="119" customFormat="1" ht="14.1" customHeight="1" thickBot="1" x14ac:dyDescent="0.25">
      <c r="A7" s="120">
        <v>1</v>
      </c>
      <c r="B7" s="121">
        <v>2</v>
      </c>
      <c r="C7" s="121">
        <v>3</v>
      </c>
      <c r="D7" s="122">
        <v>4</v>
      </c>
    </row>
    <row r="8" spans="1:4" ht="18" customHeight="1" x14ac:dyDescent="0.2">
      <c r="A8" s="123" t="s">
        <v>30</v>
      </c>
      <c r="B8" s="124" t="s">
        <v>72</v>
      </c>
      <c r="C8" s="125"/>
      <c r="D8" s="126"/>
    </row>
    <row r="9" spans="1:4" ht="18" customHeight="1" x14ac:dyDescent="0.2">
      <c r="A9" s="128" t="s">
        <v>52</v>
      </c>
      <c r="B9" s="129" t="s">
        <v>73</v>
      </c>
      <c r="C9" s="130"/>
      <c r="D9" s="131"/>
    </row>
    <row r="10" spans="1:4" ht="18" customHeight="1" x14ac:dyDescent="0.2">
      <c r="A10" s="128" t="s">
        <v>53</v>
      </c>
      <c r="B10" s="129" t="s">
        <v>74</v>
      </c>
      <c r="C10" s="130"/>
      <c r="D10" s="131"/>
    </row>
    <row r="11" spans="1:4" ht="18" customHeight="1" x14ac:dyDescent="0.2">
      <c r="A11" s="128" t="s">
        <v>54</v>
      </c>
      <c r="B11" s="129" t="s">
        <v>75</v>
      </c>
      <c r="C11" s="130"/>
      <c r="D11" s="131"/>
    </row>
    <row r="12" spans="1:4" ht="18" customHeight="1" x14ac:dyDescent="0.2">
      <c r="A12" s="128" t="s">
        <v>56</v>
      </c>
      <c r="B12" s="129" t="s">
        <v>76</v>
      </c>
      <c r="C12" s="130"/>
      <c r="D12" s="131"/>
    </row>
    <row r="13" spans="1:4" ht="18" customHeight="1" x14ac:dyDescent="0.2">
      <c r="A13" s="128" t="s">
        <v>57</v>
      </c>
      <c r="B13" s="129" t="s">
        <v>77</v>
      </c>
      <c r="C13" s="130"/>
      <c r="D13" s="131"/>
    </row>
    <row r="14" spans="1:4" ht="18" customHeight="1" x14ac:dyDescent="0.2">
      <c r="A14" s="128" t="s">
        <v>58</v>
      </c>
      <c r="B14" s="132" t="s">
        <v>78</v>
      </c>
      <c r="C14" s="130"/>
      <c r="D14" s="131"/>
    </row>
    <row r="15" spans="1:4" ht="18" customHeight="1" x14ac:dyDescent="0.2">
      <c r="A15" s="128" t="s">
        <v>60</v>
      </c>
      <c r="B15" s="132" t="s">
        <v>79</v>
      </c>
      <c r="C15" s="130"/>
      <c r="D15" s="131"/>
    </row>
    <row r="16" spans="1:4" ht="18" customHeight="1" x14ac:dyDescent="0.2">
      <c r="A16" s="128" t="s">
        <v>61</v>
      </c>
      <c r="B16" s="132" t="s">
        <v>80</v>
      </c>
      <c r="C16" s="130">
        <f>552000+409500+138000+175500</f>
        <v>1275000</v>
      </c>
      <c r="D16" s="131">
        <f>552000+409500</f>
        <v>961500</v>
      </c>
    </row>
    <row r="17" spans="1:4" ht="18" customHeight="1" x14ac:dyDescent="0.2">
      <c r="A17" s="128" t="s">
        <v>31</v>
      </c>
      <c r="B17" s="132" t="s">
        <v>81</v>
      </c>
      <c r="C17" s="130"/>
      <c r="D17" s="131"/>
    </row>
    <row r="18" spans="1:4" ht="18" customHeight="1" x14ac:dyDescent="0.2">
      <c r="A18" s="128" t="s">
        <v>64</v>
      </c>
      <c r="B18" s="132" t="s">
        <v>118</v>
      </c>
      <c r="C18" s="130"/>
      <c r="D18" s="131"/>
    </row>
    <row r="19" spans="1:4" ht="22.5" customHeight="1" x14ac:dyDescent="0.2">
      <c r="A19" s="128" t="s">
        <v>66</v>
      </c>
      <c r="B19" s="132" t="s">
        <v>119</v>
      </c>
      <c r="C19" s="130"/>
      <c r="D19" s="131"/>
    </row>
    <row r="20" spans="1:4" ht="18" customHeight="1" x14ac:dyDescent="0.2">
      <c r="A20" s="128" t="s">
        <v>120</v>
      </c>
      <c r="B20" s="129" t="s">
        <v>121</v>
      </c>
      <c r="C20" s="130"/>
      <c r="D20" s="131"/>
    </row>
    <row r="21" spans="1:4" ht="18" customHeight="1" x14ac:dyDescent="0.2">
      <c r="A21" s="128" t="s">
        <v>122</v>
      </c>
      <c r="B21" s="129" t="s">
        <v>123</v>
      </c>
      <c r="C21" s="130"/>
      <c r="D21" s="131"/>
    </row>
    <row r="22" spans="1:4" ht="18" customHeight="1" x14ac:dyDescent="0.2">
      <c r="A22" s="128" t="s">
        <v>124</v>
      </c>
      <c r="B22" s="129" t="s">
        <v>125</v>
      </c>
      <c r="C22" s="130"/>
      <c r="D22" s="131"/>
    </row>
    <row r="23" spans="1:4" ht="18" customHeight="1" x14ac:dyDescent="0.2">
      <c r="A23" s="128" t="s">
        <v>126</v>
      </c>
      <c r="B23" s="129" t="s">
        <v>127</v>
      </c>
      <c r="C23" s="130"/>
      <c r="D23" s="131"/>
    </row>
    <row r="24" spans="1:4" ht="18" customHeight="1" x14ac:dyDescent="0.2">
      <c r="A24" s="128" t="s">
        <v>128</v>
      </c>
      <c r="B24" s="129" t="s">
        <v>129</v>
      </c>
      <c r="C24" s="130"/>
      <c r="D24" s="131"/>
    </row>
    <row r="25" spans="1:4" ht="18" customHeight="1" thickBot="1" x14ac:dyDescent="0.25">
      <c r="A25" s="128" t="s">
        <v>130</v>
      </c>
      <c r="B25" s="133"/>
      <c r="C25" s="134"/>
      <c r="D25" s="131"/>
    </row>
    <row r="26" spans="1:4" ht="18" customHeight="1" thickBot="1" x14ac:dyDescent="0.25">
      <c r="A26" s="135" t="s">
        <v>131</v>
      </c>
      <c r="B26" s="136" t="s">
        <v>68</v>
      </c>
      <c r="C26" s="137">
        <f>SUM(C8:C25)</f>
        <v>1275000</v>
      </c>
      <c r="D26" s="138">
        <f>SUM(D8:D25)</f>
        <v>961500</v>
      </c>
    </row>
    <row r="27" spans="1:4" ht="8.25" customHeight="1" x14ac:dyDescent="0.2">
      <c r="A27" s="139"/>
      <c r="B27" s="653"/>
      <c r="C27" s="653"/>
      <c r="D27" s="653"/>
    </row>
  </sheetData>
  <mergeCells count="4">
    <mergeCell ref="B27:D27"/>
    <mergeCell ref="B1:C1"/>
    <mergeCell ref="B3:C3"/>
    <mergeCell ref="B4:C4"/>
  </mergeCells>
  <phoneticPr fontId="31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workbookViewId="0">
      <selection activeCell="B2" sqref="B2:H2"/>
    </sheetView>
  </sheetViews>
  <sheetFormatPr defaultColWidth="8" defaultRowHeight="12.75" x14ac:dyDescent="0.2"/>
  <cols>
    <col min="1" max="1" width="5.85546875" style="64" customWidth="1"/>
    <col min="2" max="2" width="42.5703125" style="65" customWidth="1"/>
    <col min="3" max="3" width="12.140625" style="65" bestFit="1" customWidth="1"/>
    <col min="4" max="8" width="11" style="65" customWidth="1"/>
    <col min="9" max="9" width="11.85546875" style="65" customWidth="1"/>
    <col min="10" max="16384" width="8" style="65"/>
  </cols>
  <sheetData>
    <row r="1" spans="1:9" ht="18" x14ac:dyDescent="0.2">
      <c r="B1" s="646" t="s">
        <v>361</v>
      </c>
      <c r="C1" s="663"/>
      <c r="D1" s="663"/>
      <c r="E1" s="663"/>
      <c r="F1" s="663"/>
      <c r="G1" s="663"/>
      <c r="H1" s="663"/>
    </row>
    <row r="2" spans="1:9" ht="18.75" x14ac:dyDescent="0.2">
      <c r="B2" s="646" t="s">
        <v>280</v>
      </c>
      <c r="C2" s="646"/>
      <c r="D2" s="646"/>
      <c r="E2" s="646"/>
      <c r="F2" s="646"/>
      <c r="G2" s="646"/>
      <c r="H2" s="646"/>
      <c r="I2" s="221" t="s">
        <v>301</v>
      </c>
    </row>
    <row r="3" spans="1:9" ht="18" x14ac:dyDescent="0.2">
      <c r="B3" s="646" t="s">
        <v>257</v>
      </c>
      <c r="C3" s="663"/>
      <c r="D3" s="663"/>
      <c r="E3" s="663"/>
      <c r="F3" s="663"/>
      <c r="G3" s="663"/>
      <c r="H3" s="663"/>
    </row>
    <row r="5" spans="1:9" ht="14.25" thickBot="1" x14ac:dyDescent="0.3">
      <c r="I5" s="219" t="s">
        <v>0</v>
      </c>
    </row>
    <row r="6" spans="1:9" x14ac:dyDescent="0.2">
      <c r="A6" s="664" t="s">
        <v>46</v>
      </c>
      <c r="B6" s="659" t="s">
        <v>47</v>
      </c>
      <c r="C6" s="664" t="s">
        <v>48</v>
      </c>
      <c r="D6" s="664" t="s">
        <v>293</v>
      </c>
      <c r="E6" s="656" t="s">
        <v>49</v>
      </c>
      <c r="F6" s="657"/>
      <c r="G6" s="657"/>
      <c r="H6" s="658"/>
      <c r="I6" s="659" t="s">
        <v>50</v>
      </c>
    </row>
    <row r="7" spans="1:9" ht="13.5" thickBot="1" x14ac:dyDescent="0.25">
      <c r="A7" s="665"/>
      <c r="B7" s="660"/>
      <c r="C7" s="660"/>
      <c r="D7" s="665"/>
      <c r="E7" s="66" t="s">
        <v>256</v>
      </c>
      <c r="F7" s="67" t="s">
        <v>294</v>
      </c>
      <c r="G7" s="67" t="s">
        <v>295</v>
      </c>
      <c r="H7" s="68" t="s">
        <v>296</v>
      </c>
      <c r="I7" s="660"/>
    </row>
    <row r="8" spans="1:9" ht="13.5" thickBot="1" x14ac:dyDescent="0.25">
      <c r="A8" s="69">
        <v>1</v>
      </c>
      <c r="B8" s="70">
        <v>2</v>
      </c>
      <c r="C8" s="71">
        <v>3</v>
      </c>
      <c r="D8" s="70">
        <v>4</v>
      </c>
      <c r="E8" s="69">
        <v>5</v>
      </c>
      <c r="F8" s="71">
        <v>6</v>
      </c>
      <c r="G8" s="71">
        <v>7</v>
      </c>
      <c r="H8" s="72">
        <v>8</v>
      </c>
      <c r="I8" s="73" t="s">
        <v>51</v>
      </c>
    </row>
    <row r="9" spans="1:9" ht="13.5" thickBot="1" x14ac:dyDescent="0.25">
      <c r="A9" s="74" t="s">
        <v>30</v>
      </c>
      <c r="B9" s="75" t="s">
        <v>262</v>
      </c>
      <c r="C9" s="76"/>
      <c r="D9" s="77">
        <f>SUM(D10:D11)</f>
        <v>0</v>
      </c>
      <c r="E9" s="78"/>
      <c r="F9" s="79"/>
      <c r="G9" s="79"/>
      <c r="H9" s="80"/>
      <c r="I9" s="81"/>
    </row>
    <row r="10" spans="1:9" x14ac:dyDescent="0.2">
      <c r="A10" s="82" t="s">
        <v>52</v>
      </c>
      <c r="B10" s="83"/>
      <c r="C10" s="84"/>
      <c r="D10" s="85"/>
      <c r="E10" s="86"/>
      <c r="F10" s="87"/>
      <c r="G10" s="87"/>
      <c r="H10" s="88"/>
      <c r="I10" s="89">
        <f t="shared" ref="I10:I21" si="0">SUM(D10:H10)</f>
        <v>0</v>
      </c>
    </row>
    <row r="11" spans="1:9" ht="13.5" thickBot="1" x14ac:dyDescent="0.25">
      <c r="A11" s="82" t="s">
        <v>53</v>
      </c>
      <c r="B11" s="83"/>
      <c r="C11" s="84"/>
      <c r="D11" s="85"/>
      <c r="E11" s="86"/>
      <c r="F11" s="87"/>
      <c r="G11" s="87"/>
      <c r="H11" s="88"/>
      <c r="I11" s="89">
        <f t="shared" si="0"/>
        <v>0</v>
      </c>
    </row>
    <row r="12" spans="1:9" ht="13.5" thickBot="1" x14ac:dyDescent="0.25">
      <c r="A12" s="74" t="s">
        <v>54</v>
      </c>
      <c r="B12" s="90" t="s">
        <v>55</v>
      </c>
      <c r="C12" s="91"/>
      <c r="D12" s="77">
        <f>SUM(D13:D14)</f>
        <v>0</v>
      </c>
      <c r="E12" s="78">
        <f>SUM(E13:E14)</f>
        <v>0</v>
      </c>
      <c r="F12" s="79">
        <f>SUM(F13:F14)</f>
        <v>0</v>
      </c>
      <c r="G12" s="79">
        <f>SUM(G13:G14)</f>
        <v>0</v>
      </c>
      <c r="H12" s="80">
        <f>SUM(H13:H14)</f>
        <v>0</v>
      </c>
      <c r="I12" s="81">
        <f t="shared" si="0"/>
        <v>0</v>
      </c>
    </row>
    <row r="13" spans="1:9" x14ac:dyDescent="0.2">
      <c r="A13" s="82" t="s">
        <v>56</v>
      </c>
      <c r="B13" s="83"/>
      <c r="C13" s="192"/>
      <c r="D13" s="85"/>
      <c r="E13" s="86"/>
      <c r="F13" s="87"/>
      <c r="G13" s="87"/>
      <c r="H13" s="88"/>
      <c r="I13" s="89">
        <f t="shared" si="0"/>
        <v>0</v>
      </c>
    </row>
    <row r="14" spans="1:9" ht="13.5" thickBot="1" x14ac:dyDescent="0.25">
      <c r="A14" s="82" t="s">
        <v>57</v>
      </c>
      <c r="B14" s="83"/>
      <c r="C14" s="84"/>
      <c r="D14" s="85"/>
      <c r="E14" s="86"/>
      <c r="F14" s="87"/>
      <c r="G14" s="87"/>
      <c r="H14" s="88"/>
      <c r="I14" s="89">
        <f t="shared" si="0"/>
        <v>0</v>
      </c>
    </row>
    <row r="15" spans="1:9" ht="13.5" thickBot="1" x14ac:dyDescent="0.25">
      <c r="A15" s="74" t="s">
        <v>58</v>
      </c>
      <c r="B15" s="90" t="s">
        <v>59</v>
      </c>
      <c r="C15" s="91"/>
      <c r="D15" s="77">
        <f>SUM(D16:D16)</f>
        <v>0</v>
      </c>
      <c r="E15" s="78"/>
      <c r="F15" s="79"/>
      <c r="G15" s="79"/>
      <c r="H15" s="80">
        <f>SUM(H16:H16)</f>
        <v>0</v>
      </c>
      <c r="I15" s="81">
        <f t="shared" si="0"/>
        <v>0</v>
      </c>
    </row>
    <row r="16" spans="1:9" ht="16.5" thickBot="1" x14ac:dyDescent="0.25">
      <c r="A16" s="82" t="s">
        <v>60</v>
      </c>
      <c r="B16" s="159"/>
      <c r="C16" s="84"/>
      <c r="D16" s="85"/>
      <c r="E16" s="86"/>
      <c r="F16" s="87"/>
      <c r="G16" s="87"/>
      <c r="H16" s="88"/>
      <c r="I16" s="89">
        <f t="shared" si="0"/>
        <v>0</v>
      </c>
    </row>
    <row r="17" spans="1:9" ht="13.5" thickBot="1" x14ac:dyDescent="0.25">
      <c r="A17" s="74" t="s">
        <v>61</v>
      </c>
      <c r="B17" s="90" t="s">
        <v>62</v>
      </c>
      <c r="C17" s="91"/>
      <c r="D17" s="77">
        <f>SUM(D18:D18)</f>
        <v>0</v>
      </c>
      <c r="E17" s="78">
        <f>SUM(E18:E18)</f>
        <v>0</v>
      </c>
      <c r="F17" s="79">
        <f>SUM(F18:F18)</f>
        <v>0</v>
      </c>
      <c r="G17" s="79">
        <f>SUM(G18:G18)</f>
        <v>0</v>
      </c>
      <c r="H17" s="80">
        <f>SUM(H18:H18)</f>
        <v>0</v>
      </c>
      <c r="I17" s="81">
        <f t="shared" si="0"/>
        <v>0</v>
      </c>
    </row>
    <row r="18" spans="1:9" ht="13.5" thickBot="1" x14ac:dyDescent="0.25">
      <c r="A18" s="92" t="s">
        <v>31</v>
      </c>
      <c r="B18" s="93" t="s">
        <v>63</v>
      </c>
      <c r="C18" s="94"/>
      <c r="D18" s="95"/>
      <c r="E18" s="96"/>
      <c r="F18" s="97"/>
      <c r="G18" s="97"/>
      <c r="H18" s="98"/>
      <c r="I18" s="99">
        <f t="shared" si="0"/>
        <v>0</v>
      </c>
    </row>
    <row r="19" spans="1:9" ht="13.5" thickBot="1" x14ac:dyDescent="0.25">
      <c r="A19" s="74" t="s">
        <v>64</v>
      </c>
      <c r="B19" s="100" t="s">
        <v>65</v>
      </c>
      <c r="C19" s="91"/>
      <c r="D19" s="101">
        <f>SUM(D20:D20)</f>
        <v>0</v>
      </c>
      <c r="E19" s="102">
        <f>SUM(E20:E20)</f>
        <v>0</v>
      </c>
      <c r="F19" s="103">
        <f>SUM(F20:F20)</f>
        <v>5346</v>
      </c>
      <c r="G19" s="103">
        <f>SUM(G20:G20)</f>
        <v>1399</v>
      </c>
      <c r="H19" s="104"/>
      <c r="I19" s="81">
        <f t="shared" si="0"/>
        <v>6745</v>
      </c>
    </row>
    <row r="20" spans="1:9" ht="13.5" thickBot="1" x14ac:dyDescent="0.25">
      <c r="A20" s="105" t="s">
        <v>66</v>
      </c>
      <c r="B20" s="106" t="s">
        <v>360</v>
      </c>
      <c r="C20" s="107"/>
      <c r="D20" s="108"/>
      <c r="E20" s="109"/>
      <c r="F20" s="110">
        <f>3746+117*12+196</f>
        <v>5346</v>
      </c>
      <c r="G20" s="110">
        <f>117*11+112</f>
        <v>1399</v>
      </c>
      <c r="H20" s="111"/>
      <c r="I20" s="112">
        <f t="shared" si="0"/>
        <v>6745</v>
      </c>
    </row>
    <row r="21" spans="1:9" ht="13.5" thickBot="1" x14ac:dyDescent="0.25">
      <c r="A21" s="661" t="s">
        <v>67</v>
      </c>
      <c r="B21" s="662"/>
      <c r="C21" s="113"/>
      <c r="D21" s="77">
        <f>D9+D12+D15+D17+D19</f>
        <v>0</v>
      </c>
      <c r="E21" s="78">
        <f>E9+E12+E15+E17+E19</f>
        <v>0</v>
      </c>
      <c r="F21" s="79">
        <f>F9+F12+F15+F17+F19</f>
        <v>5346</v>
      </c>
      <c r="G21" s="79">
        <f>G9+G12+G15+G17+G19</f>
        <v>1399</v>
      </c>
      <c r="H21" s="80">
        <f>H9+H12+H15+H17+H19</f>
        <v>0</v>
      </c>
      <c r="I21" s="81">
        <f t="shared" si="0"/>
        <v>6745</v>
      </c>
    </row>
    <row r="31" spans="1:9" x14ac:dyDescent="0.2">
      <c r="B31" s="220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31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7</vt:i4>
      </vt:variant>
    </vt:vector>
  </HeadingPairs>
  <TitlesOfParts>
    <vt:vector size="23" baseType="lpstr">
      <vt:lpstr>1</vt:lpstr>
      <vt:lpstr>3</vt:lpstr>
      <vt:lpstr>15</vt:lpstr>
      <vt:lpstr>5</vt:lpstr>
      <vt:lpstr>6</vt:lpstr>
      <vt:lpstr>4</vt:lpstr>
      <vt:lpstr>7</vt:lpstr>
      <vt:lpstr>8</vt:lpstr>
      <vt:lpstr>9</vt:lpstr>
      <vt:lpstr>14</vt:lpstr>
      <vt:lpstr>13</vt:lpstr>
      <vt:lpstr>12</vt:lpstr>
      <vt:lpstr>11</vt:lpstr>
      <vt:lpstr>10</vt:lpstr>
      <vt:lpstr>2</vt:lpstr>
      <vt:lpstr>16</vt:lpstr>
      <vt:lpstr>'15'!Nyomtatási_cím</vt:lpstr>
      <vt:lpstr>'5'!Nyomtatási_cím</vt:lpstr>
      <vt:lpstr>'6'!Nyomtatási_cím</vt:lpstr>
      <vt:lpstr>'15'!Nyomtatási_terület</vt:lpstr>
      <vt:lpstr>'16'!Nyomtatási_terület</vt:lpstr>
      <vt:lpstr>'5'!Nyomtatási_terület</vt:lpstr>
      <vt:lpstr>'6'!Nyomtatási_terület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</cp:lastModifiedBy>
  <cp:lastPrinted>2016-04-12T11:22:01Z</cp:lastPrinted>
  <dcterms:created xsi:type="dcterms:W3CDTF">1997-01-17T14:02:09Z</dcterms:created>
  <dcterms:modified xsi:type="dcterms:W3CDTF">2016-04-21T11:02:20Z</dcterms:modified>
</cp:coreProperties>
</file>