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95" yWindow="65521" windowWidth="5940" windowHeight="5475" tabRatio="598" activeTab="9"/>
  </bookViews>
  <sheets>
    <sheet name="bor." sheetId="1" r:id="rId1"/>
    <sheet name="mérleg" sheetId="2" r:id="rId2"/>
    <sheet name="bevétel" sheetId="3" r:id="rId3"/>
    <sheet name="Munka2" sheetId="4" r:id="rId4"/>
    <sheet name="kiad.szakf." sheetId="5" r:id="rId5"/>
    <sheet name="Munka3" sheetId="6" r:id="rId6"/>
    <sheet name="Munka9" sheetId="7" r:id="rId7"/>
    <sheet name="Munka5" sheetId="8" r:id="rId8"/>
    <sheet name="Munka6" sheetId="9" r:id="rId9"/>
    <sheet name="Munka7" sheetId="10" r:id="rId10"/>
  </sheets>
  <definedNames/>
  <calcPr fullCalcOnLoad="1"/>
</workbook>
</file>

<file path=xl/sharedStrings.xml><?xml version="1.0" encoding="utf-8"?>
<sst xmlns="http://schemas.openxmlformats.org/spreadsheetml/2006/main" count="739" uniqueCount="419">
  <si>
    <t>Megnevezés</t>
  </si>
  <si>
    <t>Összesen:</t>
  </si>
  <si>
    <t>létszám</t>
  </si>
  <si>
    <t>Sitke község Önkormányzata</t>
  </si>
  <si>
    <t>( e Ft-ban)</t>
  </si>
  <si>
    <t>e Ft</t>
  </si>
  <si>
    <t>(e Ft-ban)</t>
  </si>
  <si>
    <t>állandó</t>
  </si>
  <si>
    <t>előirányzat</t>
  </si>
  <si>
    <t xml:space="preserve"> ebből:</t>
  </si>
  <si>
    <t>MŰKÖDÉSI KIADÁSOK</t>
  </si>
  <si>
    <t>FELHALMOZÁSI KIADÁSOK</t>
  </si>
  <si>
    <t>ebből:</t>
  </si>
  <si>
    <t>tervezett</t>
  </si>
  <si>
    <t>változás</t>
  </si>
  <si>
    <t>M  e  g  n  e  v  e  z  é  s:</t>
  </si>
  <si>
    <t>%-a</t>
  </si>
  <si>
    <t>MŰKÖDÉSI BEVÉTELEK ÖSSZESEN:</t>
  </si>
  <si>
    <t>Szociális étkeztetés</t>
  </si>
  <si>
    <t>2.</t>
  </si>
  <si>
    <t>Óvodai intézményi étkeztetés</t>
  </si>
  <si>
    <t>Háziorvosi alapellátás</t>
  </si>
  <si>
    <t>Gyermekjóléti szolgáltatás</t>
  </si>
  <si>
    <t>Civil szervezetek működési támogatása</t>
  </si>
  <si>
    <t>Köztemető-fenntartás és működtetés</t>
  </si>
  <si>
    <t>Könyvtári szolgáltatások</t>
  </si>
  <si>
    <t>SITKE KÖZSÉG ÖNKORMÁNYZATA</t>
  </si>
  <si>
    <t>sor-</t>
  </si>
  <si>
    <t>szám</t>
  </si>
  <si>
    <t>1.</t>
  </si>
  <si>
    <t>3.</t>
  </si>
  <si>
    <t>TÁRGYÉVI BEVÉTELEK ÖSSZESEN:</t>
  </si>
  <si>
    <t>TÁRGYÉVI KIADÁSOK ÖSSZESEN:</t>
  </si>
  <si>
    <t>TÁRGYÉVI BEVÉTELEK ÉS KIADÁSOK EGYENLEGE:</t>
  </si>
  <si>
    <t>2013. év</t>
  </si>
  <si>
    <t>I.</t>
  </si>
  <si>
    <t>önkormányzati hivatal működésének támogatása</t>
  </si>
  <si>
    <t>település-üzemeltetéshez kapcsolódó feladatellátás támogatása</t>
  </si>
  <si>
    <t>II.</t>
  </si>
  <si>
    <t>III.</t>
  </si>
  <si>
    <t>Könyvtári, közművelődési és múzeumi feladatok támogatása</t>
  </si>
  <si>
    <t>MŰKÖDÉSI BEVÉTELEK</t>
  </si>
  <si>
    <t>a.</t>
  </si>
  <si>
    <t>b.</t>
  </si>
  <si>
    <t>c.</t>
  </si>
  <si>
    <t>d.</t>
  </si>
  <si>
    <t>gáz- és vízhálózat utólagos bekötési hozzájárulása</t>
  </si>
  <si>
    <t>VII.</t>
  </si>
  <si>
    <t>2014. év</t>
  </si>
  <si>
    <t>Közhatalmi bevételek</t>
  </si>
  <si>
    <t>KÖZHATALMI BEVÉTELEK ÖSSZESEN:</t>
  </si>
  <si>
    <t>ravatalozó használati díj</t>
  </si>
  <si>
    <t>vendégebéd térítési díja</t>
  </si>
  <si>
    <t>"Sitke község szennyvízkezelése" (NYDOP-4.1.1/A-09-2009-0028) pályázat 2012. évi áthúzódó üteme</t>
  </si>
  <si>
    <t>működési kiadások</t>
  </si>
  <si>
    <t>felhalmozási kiadások</t>
  </si>
  <si>
    <t>felújítások</t>
  </si>
  <si>
    <t>felhalmozási kiadások összesen:</t>
  </si>
  <si>
    <t>2014. évre</t>
  </si>
  <si>
    <t>TÁRGYÉVI KÖLTSÉGVETÉSI HIÁNY:</t>
  </si>
  <si>
    <t xml:space="preserve">2014. évi </t>
  </si>
  <si>
    <t>2014.év</t>
  </si>
  <si>
    <t xml:space="preserve">       - egyéb működési kiadások</t>
  </si>
  <si>
    <t xml:space="preserve">       - egyéb felhalmozási kiadások</t>
  </si>
  <si>
    <t>szociális étkeztetés térítési díja</t>
  </si>
  <si>
    <t>előző évi pénzmaradvány igénybevétele</t>
  </si>
  <si>
    <t>talajterhelési díj</t>
  </si>
  <si>
    <t>„A közösségi közlekedés feltételrendszereinek fejlesztése Sárváron és a környező településeken” (NYDOP-3.2.1/B-12 )</t>
  </si>
  <si>
    <t>"Sitke község Önkormányzatának egészségre nevelő programja" projekt  (TÁMOP-6.12-11/1-2012-1244) 2014. évi üteme</t>
  </si>
  <si>
    <t>Komplex egészségfejlesztő, prevenciós programok</t>
  </si>
  <si>
    <t>BEVÉTELEK:</t>
  </si>
  <si>
    <t>MŰKÖDÉSI TÁMOGATÁSOK ÁLLAMHÁZTARTÁSON BELÜLRŐL</t>
  </si>
  <si>
    <t xml:space="preserve"> ebből:   Helyi önkormányzatok  működésének  általános támogatása</t>
  </si>
  <si>
    <t xml:space="preserve">             Egyéb működési célú támogatások bevételei államháztartáson belülről</t>
  </si>
  <si>
    <t>FELHALMOZÁSI TÁMOGATÁSOK ÁLLAMHÁZTARTÁSON BELÜLRŐL</t>
  </si>
  <si>
    <t>KÖZHATALMI BEVÉTELEK</t>
  </si>
  <si>
    <t>FELHALMOZÁSI BEVÉTELEK</t>
  </si>
  <si>
    <t>MŰKÖDÉSI CÉLÚ ÁTVETT PÉNZESZKÖZÖK</t>
  </si>
  <si>
    <t xml:space="preserve"> ebből: működési célú visszatérítendő támogatások, kölcsönök visszatérülése államházt.kívülről</t>
  </si>
  <si>
    <t xml:space="preserve">           Egyéb működési célú átvett pénzeszközök</t>
  </si>
  <si>
    <t>FELHALMOZÁSI CÉLÚ ÁTVETT PÉNZESZKÖZÖK</t>
  </si>
  <si>
    <t xml:space="preserve"> ebből: felhalmozási célú visszatérítendő támogatások, kölcsönök visszatérülése államházt.kívülről</t>
  </si>
  <si>
    <t xml:space="preserve">           Egyéb felhalmozási célú átvett pénzeszközök</t>
  </si>
  <si>
    <t>KIADÁSOK:</t>
  </si>
  <si>
    <t xml:space="preserve">       - Személyi juttatások</t>
  </si>
  <si>
    <t xml:space="preserve">       - Munkáltatót terhelő járulékok</t>
  </si>
  <si>
    <t xml:space="preserve">       - Dologi kiadások</t>
  </si>
  <si>
    <t xml:space="preserve">       - Beruházások</t>
  </si>
  <si>
    <t xml:space="preserve">       - Felújítások</t>
  </si>
  <si>
    <t>FINANSZÍROZÁSI KIADÁSOK</t>
  </si>
  <si>
    <t xml:space="preserve"> ebből: fejlesztési célú hitelek törlesztése</t>
  </si>
  <si>
    <t xml:space="preserve">           befektetési célú részesedések vásárlása</t>
  </si>
  <si>
    <t>ELŐZŐ ÉVEKI KÖLTSÉGVETÉSI MARADVÁNY IGÉNYBEVÉTELE 2013. ÉVRŐL ÁTHÚZÓDÓ FELADATOKRA</t>
  </si>
  <si>
    <t>MŰKÖDÉSI CÉLÚ TÁMOGATÁSOK ÁLLAMHÁZTARTÁSON BELÜLRŐL</t>
  </si>
  <si>
    <t>Önkormányzatok működési támogatásai</t>
  </si>
  <si>
    <t>Helyi önkormányzatok  működésének  általános támogatása</t>
  </si>
  <si>
    <t>Települési önkormányzatok működésének támogatása</t>
  </si>
  <si>
    <t>ebből: beszámítás</t>
  </si>
  <si>
    <t>ba.</t>
  </si>
  <si>
    <t>zöldterület gazdálkodással kapcsolatos feladatok ellátásának támogatása</t>
  </si>
  <si>
    <t>bb.</t>
  </si>
  <si>
    <t>közvilágítás fenntartásának támogatása</t>
  </si>
  <si>
    <t>bc.</t>
  </si>
  <si>
    <t>köztemető fenntartással kapcsolatos feladatok támogatása</t>
  </si>
  <si>
    <t>bd.</t>
  </si>
  <si>
    <t>közutak fenntartásának támogatása</t>
  </si>
  <si>
    <t>egyéb önkormányzati feladatok támogatása</t>
  </si>
  <si>
    <t>Hozzájárulás a pénzbeni szociális ellátásokhoz</t>
  </si>
  <si>
    <t>Nem közművel összegyűjtött háztartási szennyvíz ártalmatlanítása</t>
  </si>
  <si>
    <t>Települési önkormányzatok működésének támogatása összesen:</t>
  </si>
  <si>
    <t>Települési önkormányzatok szociális, gyermekjóléti és gyermekétkeztetési feladatainak támogatása</t>
  </si>
  <si>
    <t>Egyes jövedelempótló támogatások kiegészítése</t>
  </si>
  <si>
    <t>Egyes szociális és gyermekjóléti feladatok támogatása</t>
  </si>
  <si>
    <t>5.</t>
  </si>
  <si>
    <t>Gyermekétkeztetés támogatása</t>
  </si>
  <si>
    <t>Települési önkormányzatok szociális, gyermekjóléti és gyermekétkeztetési feladatainak támogatása összesen:</t>
  </si>
  <si>
    <t>4.</t>
  </si>
  <si>
    <t>Települési önkormányzatok kulturális feladatainak támogatása</t>
  </si>
  <si>
    <t>települési önkormányzatok nyilvános könyvtári és közművelődési feladatainak támogatása</t>
  </si>
  <si>
    <t>Települési önkormányzatok kulturális feladatainak támogatása összesen:</t>
  </si>
  <si>
    <t>6.</t>
  </si>
  <si>
    <t>Működési célú központosított előirányzatok</t>
  </si>
  <si>
    <t>üdülőhelyi feladatok támogatása</t>
  </si>
  <si>
    <t>lakott külterületekkel kapcsolatos feladatok támogatása</t>
  </si>
  <si>
    <t>Helyi önkormányzatok  működésének  általános támogatása összesen:</t>
  </si>
  <si>
    <t>Egyéb működési célú támogatások bevételei államháztartáson belülről</t>
  </si>
  <si>
    <t>7.</t>
  </si>
  <si>
    <t>Egyéb működési célú támogatások bevételei államháztartáson belülről összesen:</t>
  </si>
  <si>
    <t>MŰKÖDÉSI CÉLÚ TÁMOGATÁSOK ÁLLAMHÁZTARTÁSON BELÜLRŐL ÖSSZESEN:</t>
  </si>
  <si>
    <t>FELHALMOZÁSI CÉLÚ TÁMOGATÁSOK ÁLLAMHÁZTARTÁSON BELÜLRŐL</t>
  </si>
  <si>
    <t>Egyéb felhalmozási célú támogatások bevételei államháztartáson belülről</t>
  </si>
  <si>
    <t>Egyéb felhalmozási célú támogatások bevételei államháztartáson belülről összesen:</t>
  </si>
  <si>
    <t>FELHALMOZÁSI CÉLÚ TÁMOGATÁSOK ÁLLAMHÁZ- TARTÁSON BELÜLRŐL ÖSSZESEN:</t>
  </si>
  <si>
    <t>Értékesítési és forgalmi adók</t>
  </si>
  <si>
    <t>helyi iparűzési adó</t>
  </si>
  <si>
    <t>Gépjárműadók</t>
  </si>
  <si>
    <t>gépjárműadó helyi önkormányzatot megillető része</t>
  </si>
  <si>
    <t>Egyéb áruhasználati és szolgáltatási adók</t>
  </si>
  <si>
    <t>Idegenforgalmi adó</t>
  </si>
  <si>
    <t>Egyéb közhatalmi bevételek</t>
  </si>
  <si>
    <t>Igazgatási szolgáltatási díjak</t>
  </si>
  <si>
    <t>Egyéb bírságok</t>
  </si>
  <si>
    <t>Helyi adópótlék, adóbírság</t>
  </si>
  <si>
    <t xml:space="preserve">IV. </t>
  </si>
  <si>
    <t>felhalmozási célú visszatérítendő támogatások, kölcsönök visszatérülése államháztartáson kívülről</t>
  </si>
  <si>
    <t>Első lakáshoz jutók lakásépítési és -vásárlási kölcsönének törlesztése</t>
  </si>
  <si>
    <t>Egyéb felhalmozási célú átvett pénzeszközök</t>
  </si>
  <si>
    <t>FELHALMOZÁSI CÉLÚ ÁTVETT PÉNZESZKÖZÖK ÖSSZESEN:</t>
  </si>
  <si>
    <t>KÖLTSÉGVETÉSI BEVÉTELEK</t>
  </si>
  <si>
    <t>VIII.</t>
  </si>
  <si>
    <t>FINANSZÍROZÁSI BEVÉTELEK</t>
  </si>
  <si>
    <t>Előző évi költségvetési maradvány igénybevétele</t>
  </si>
  <si>
    <t>előző éveki költségvetési maradvány igénybevétele</t>
  </si>
  <si>
    <t>BEVÉTELEK ÖSSZESEN:</t>
  </si>
  <si>
    <t>Kistelepülések szociális feladatainak támogatása</t>
  </si>
  <si>
    <t>Vagyoni típusú adók</t>
  </si>
  <si>
    <t>Magánszemélyek kommunális adója</t>
  </si>
  <si>
    <t>Szolgáltatások ellenértéke</t>
  </si>
  <si>
    <t>temetkezési szolgáltatás(sírhely megváltás)</t>
  </si>
  <si>
    <t>óvodai étkeztetés nyújtása</t>
  </si>
  <si>
    <t xml:space="preserve">bérleti és lízing díjbevételek </t>
  </si>
  <si>
    <t>önkormányzati helyiségek bérbeadása</t>
  </si>
  <si>
    <t>lakbérbevételek</t>
  </si>
  <si>
    <t>Tulajdonosi bevételek</t>
  </si>
  <si>
    <t>Ellátási díjak</t>
  </si>
  <si>
    <t>alkalmazottak térítési díja</t>
  </si>
  <si>
    <t>Kiszámlázott általános forgalmi adó</t>
  </si>
  <si>
    <t>Általános forgalmi adó visszatérítése</t>
  </si>
  <si>
    <t>Kamatbevételek</t>
  </si>
  <si>
    <t>KÖTELEZŐ, ÖNKÉNT VÁLLALT ÉS ÁLLAMI (ÁLLAMIGAZGATÁSI) FELADATAINAK BEVÉTELEI</t>
  </si>
  <si>
    <t>bevétel                                        összesen:</t>
  </si>
  <si>
    <t>kötelező</t>
  </si>
  <si>
    <t>önként vállalt</t>
  </si>
  <si>
    <t>állami (államigazgatási)</t>
  </si>
  <si>
    <t>feladatok</t>
  </si>
  <si>
    <t>kormány- zati funkció száma</t>
  </si>
  <si>
    <t>Kormányzati funkció megnevezése</t>
  </si>
  <si>
    <t>kiadás        összesen:</t>
  </si>
  <si>
    <t>k   i   a   d   á   s   o   k   b   ó   l:</t>
  </si>
  <si>
    <t>finanszírozási kiadások</t>
  </si>
  <si>
    <t>személyi juttatások</t>
  </si>
  <si>
    <t>Munkál- tatót terhelő járulékok</t>
  </si>
  <si>
    <t>dologi kiadások</t>
  </si>
  <si>
    <t>ellátottak juttatásai</t>
  </si>
  <si>
    <t>egyéb működési kiadások</t>
  </si>
  <si>
    <t>működési kiadás összesen:</t>
  </si>
  <si>
    <t>beruházások</t>
  </si>
  <si>
    <t>egyéb felhalmozási kiadások</t>
  </si>
  <si>
    <t>irányító szervi támogatás folyósítása</t>
  </si>
  <si>
    <t>hitel- törlesztés</t>
  </si>
  <si>
    <t>részesedés vásárlása</t>
  </si>
  <si>
    <t>finanszírozá- si kiadások összesen:</t>
  </si>
  <si>
    <t>011130</t>
  </si>
  <si>
    <t>Önkormányzatok és önkormányzati hivatalok jogalkotó és általános igazgatási tevékenysége</t>
  </si>
  <si>
    <t>052080</t>
  </si>
  <si>
    <t>Szennyvízcsatorna építése, fenntartása, üzemeltetése</t>
  </si>
  <si>
    <t>051030</t>
  </si>
  <si>
    <t>Nem veszélyes (települési) hulladék vegyes (ömlesztett ) begyűjtése, szállítása, átrakás</t>
  </si>
  <si>
    <t>096010</t>
  </si>
  <si>
    <t>013350</t>
  </si>
  <si>
    <t>Önkormányzati vagyonnal való gazdálkodással kapcsolatos feladatok</t>
  </si>
  <si>
    <t>045160</t>
  </si>
  <si>
    <t>Közutak, hidak, alagutak üzemeltetése, fenntartása</t>
  </si>
  <si>
    <t>066010</t>
  </si>
  <si>
    <t>Zöldterület-kezelés</t>
  </si>
  <si>
    <t>064010</t>
  </si>
  <si>
    <t>Közvilágítás</t>
  </si>
  <si>
    <t>066020</t>
  </si>
  <si>
    <t>Város- és községgazdálkodási egyéb szolgáltatások</t>
  </si>
  <si>
    <t>072111</t>
  </si>
  <si>
    <t>074054</t>
  </si>
  <si>
    <t>Munkanélküli aktív korúak ellátásai</t>
  </si>
  <si>
    <t>Lakásfenntartással, lakhatással összefüggő ellátások</t>
  </si>
  <si>
    <t>013320</t>
  </si>
  <si>
    <t>Versenysport és utánpótlás-nevelési tevékenység és támogatása</t>
  </si>
  <si>
    <t>081041</t>
  </si>
  <si>
    <t>107051</t>
  </si>
  <si>
    <t>104042</t>
  </si>
  <si>
    <t>084031</t>
  </si>
  <si>
    <t>082044</t>
  </si>
  <si>
    <t>Betegséggel kapcsolatos pénzbeni ellátások, támogatások</t>
  </si>
  <si>
    <t>Egyéb szociális természetbeni és pénzbeni ellátások</t>
  </si>
  <si>
    <t>086020</t>
  </si>
  <si>
    <t>Helyi, térségi közösségi tér biztosítása, működtetése</t>
  </si>
  <si>
    <t>094260</t>
  </si>
  <si>
    <t>Hallgatói és oktatói ösztöndíjak, egyéb juttatások</t>
  </si>
  <si>
    <t>BEVÉTELEINEK ÉS KIADÁSAINAK ALAKULÁSA</t>
  </si>
  <si>
    <t xml:space="preserve">       - Ellátottak juttatásai</t>
  </si>
  <si>
    <t>BEVÉTELEI FORRÁSONKÉNT</t>
  </si>
  <si>
    <t>közfoglalkoztatotti</t>
  </si>
  <si>
    <t>nyitó</t>
  </si>
  <si>
    <t>záró</t>
  </si>
  <si>
    <t>8 órás</t>
  </si>
  <si>
    <t>6 órás</t>
  </si>
  <si>
    <t>(fő)</t>
  </si>
  <si>
    <t>KÖTELEZŐ, ÖNKÉNT VÁLLALT ÉS ÁLLAMI (ÁLLAMIGAZGATÁSI) FELADATAINAK KIADÁSAI</t>
  </si>
  <si>
    <t>kiadás                                       összesen:</t>
  </si>
  <si>
    <t>KÖLTSÉGVETÉSI (MŰKÖDÉSI ÉS FELHALMOZÁSI) MÉRLEGE</t>
  </si>
  <si>
    <t>(közgazdasági tagolásban)</t>
  </si>
  <si>
    <t>I. Működési  költségvetés</t>
  </si>
  <si>
    <t>Működési  támogatások államháztartáson belülről</t>
  </si>
  <si>
    <t xml:space="preserve"> - önkormányzatok működési támogatásai</t>
  </si>
  <si>
    <t xml:space="preserve"> - egyéb működési célú támogatások bevételei államháztartáson belülről</t>
  </si>
  <si>
    <t xml:space="preserve">Működési bevételek   </t>
  </si>
  <si>
    <t>Működési célú átvett pénzeszközök</t>
  </si>
  <si>
    <t xml:space="preserve"> - működési célú visszatérítendő támogatások, kölcsönök visszatérülése államháztartáson kívülről</t>
  </si>
  <si>
    <t xml:space="preserve"> - egyéb működési célú átvett pénzeszközök</t>
  </si>
  <si>
    <t>Működési bevételek összesen</t>
  </si>
  <si>
    <t>Személyi juttatások</t>
  </si>
  <si>
    <t>Munkaadókat terhelő járulékok és szociális hozzájárulási adó</t>
  </si>
  <si>
    <t>Dologi kiadások</t>
  </si>
  <si>
    <t>8.</t>
  </si>
  <si>
    <t>Ellátottak pénzbeli juttatásai</t>
  </si>
  <si>
    <t>9.</t>
  </si>
  <si>
    <t>Egyéb működési célú kiadások</t>
  </si>
  <si>
    <t xml:space="preserve"> - egyéb működési célú támogatások államháztartáson belülre</t>
  </si>
  <si>
    <t xml:space="preserve"> - működési célú visszatérítendő támogatások, kölcsönök nyújtása államháztartáson kívülre</t>
  </si>
  <si>
    <t xml:space="preserve"> - egyéb működési célú támogatások államháztartáson kívülre</t>
  </si>
  <si>
    <t xml:space="preserve"> - tartalékok</t>
  </si>
  <si>
    <t>Működési kiadások összesen</t>
  </si>
  <si>
    <t>II. Felhalmozási költségvetés</t>
  </si>
  <si>
    <t>10.</t>
  </si>
  <si>
    <t>Felhalmozási támogatások államháztartáson belülről</t>
  </si>
  <si>
    <t>11.</t>
  </si>
  <si>
    <t xml:space="preserve">Felhalmozási bevételek   </t>
  </si>
  <si>
    <t>12.</t>
  </si>
  <si>
    <t>Felhalmozási célú átvett pénzeszközök</t>
  </si>
  <si>
    <t xml:space="preserve"> - felhalmozási célú visszatérítendő támogatások, kölcsönök visszatérülése államházt.kívülről</t>
  </si>
  <si>
    <t xml:space="preserve"> - egyéb felhalmozási célú átvett pénzeszközök</t>
  </si>
  <si>
    <t>Felhalmozási bevételek összesen</t>
  </si>
  <si>
    <t>13.</t>
  </si>
  <si>
    <t>Beruházások</t>
  </si>
  <si>
    <t>14.</t>
  </si>
  <si>
    <t>Felújítások</t>
  </si>
  <si>
    <t>15.</t>
  </si>
  <si>
    <t>Egyéb felhalmozási kiadások</t>
  </si>
  <si>
    <t xml:space="preserve"> - felhalmozási célú visszatérítendő támogatások, kölcsönök nyújtása államháztartáson kívülre</t>
  </si>
  <si>
    <t xml:space="preserve"> - egyéb felhalmozási célú támogatások államháztartáson kívülre</t>
  </si>
  <si>
    <t>Felhalmozási kiadások összesen</t>
  </si>
  <si>
    <t>Önkormányzat bevételei összesen:</t>
  </si>
  <si>
    <t>Önkormányzat kiadásai összesen:</t>
  </si>
  <si>
    <t>III. Finanszírozási műveletek elszámolása</t>
  </si>
  <si>
    <t>16.</t>
  </si>
  <si>
    <t>Előző év költségvetési maradványának igénybevétele</t>
  </si>
  <si>
    <t>Finanszírozási bevételek összesen:</t>
  </si>
  <si>
    <t>17.</t>
  </si>
  <si>
    <t>Hitel-, kölcsöntörlesztés államháztartáson kívülre</t>
  </si>
  <si>
    <t>18.</t>
  </si>
  <si>
    <t>Befektetési célú belföldi értékpapírok vásárlása</t>
  </si>
  <si>
    <t>Finanszírozási kiadások összesen:</t>
  </si>
  <si>
    <t>Önkormányzat bevételei mindösszesen:</t>
  </si>
  <si>
    <t>Önkormányzat kiadásai mindösszesen:</t>
  </si>
  <si>
    <t xml:space="preserve">Január </t>
  </si>
  <si>
    <t xml:space="preserve">Február 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</si>
  <si>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</si>
  <si>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</si>
  <si>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</si>
  <si>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</si>
  <si>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</si>
  <si>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</si>
  <si>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</si>
  <si>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</si>
  <si>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</si>
  <si>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</si>
  <si>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</si>
  <si>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 xml:space="preserve"> Bevételek</t>
  </si>
  <si>
    <t>működési célú támogatások államháztartáson belülről</t>
  </si>
  <si>
    <t xml:space="preserve">   -  helyi önkormányzatok  működésének  általános támogatása</t>
  </si>
  <si>
    <t xml:space="preserve">    - egyéb működési célú támogatások bevételei államháztartáson belülről</t>
  </si>
  <si>
    <t>felhalmozási célú támogatás államháztartáson belülről</t>
  </si>
  <si>
    <t>közhatalmi bevételek</t>
  </si>
  <si>
    <t>működési bevételek</t>
  </si>
  <si>
    <t>felhalmozási bevételek</t>
  </si>
  <si>
    <t xml:space="preserve">   - működési célú visszatérítendő támogatások, kölcsönök visszatérülése államházt.kívülről</t>
  </si>
  <si>
    <t xml:space="preserve">   - egyéb működési célú átvett pénzeszközök</t>
  </si>
  <si>
    <t>felhalmozási célú átvett pénzeszközök</t>
  </si>
  <si>
    <t xml:space="preserve">   - felhalmozási célú visszatérítendő támogatások, kölcsönök visszatérülése államházt.kívülről</t>
  </si>
  <si>
    <t xml:space="preserve">   - egyéb felhalmozási célú átvett pénzeszközök</t>
  </si>
  <si>
    <t>Előző havi maradvány</t>
  </si>
  <si>
    <t>Bevételek összesen:</t>
  </si>
  <si>
    <t xml:space="preserve"> Kiadások</t>
  </si>
  <si>
    <t>munkaadókat terhelő járulékok és szociális hozzájárulási adó</t>
  </si>
  <si>
    <t>Egyéb működési kiadások</t>
  </si>
  <si>
    <t xml:space="preserve"> - államháztartáson belülre</t>
  </si>
  <si>
    <t xml:space="preserve"> - államháztartáson kívülre</t>
  </si>
  <si>
    <t xml:space="preserve"> - hosszú lejáratú hitel törlesztése</t>
  </si>
  <si>
    <t xml:space="preserve"> - részesedések vásárlása</t>
  </si>
  <si>
    <t>19.</t>
  </si>
  <si>
    <t>általános tartalék</t>
  </si>
  <si>
    <t>20.</t>
  </si>
  <si>
    <t>céltartalék</t>
  </si>
  <si>
    <t>Kiadások összesen</t>
  </si>
  <si>
    <t>bevételek és kiadások egyenlege</t>
  </si>
  <si>
    <t>közfoglalkoztatás támogatása</t>
  </si>
  <si>
    <t>041232</t>
  </si>
  <si>
    <t>Téli közfoglalkoztatás</t>
  </si>
  <si>
    <t>018010</t>
  </si>
  <si>
    <t>Önkormányzatok elszámolásai a központi költségvetéssel</t>
  </si>
  <si>
    <t>ebből:  munkahelyi étkeztetés</t>
  </si>
  <si>
    <t xml:space="preserve">          egyéb vendéglátás</t>
  </si>
  <si>
    <t>Önkormányzatok funkcióba nem sorolható bevételei államháztartáson kívülről</t>
  </si>
  <si>
    <t>5. melléklet  a  2/2014. (II. 17.) önkormányzati rendelethez</t>
  </si>
  <si>
    <t>költségvetésének módosítása</t>
  </si>
  <si>
    <t xml:space="preserve">ELŐZŐ ÉVEKI KÖLTSÉGVETÉSI MARADVÁNY IGÉNYBEVÉTELE </t>
  </si>
  <si>
    <t>041140</t>
  </si>
  <si>
    <t>Területfejlesztés igazgatása</t>
  </si>
  <si>
    <t>"1. melléklet a 2/2014. (II. 11.) számú önkormányzati rendelethez</t>
  </si>
  <si>
    <t>e Ft"</t>
  </si>
  <si>
    <t>"2. melléklet a 2/2014. (II. 11.) önkormányzati rendelethez</t>
  </si>
  <si>
    <t>"</t>
  </si>
  <si>
    <t>"3. melléklet  a  2/2014. (II. 11.) önkormányzati rendelethez</t>
  </si>
  <si>
    <t>"4. melléklet a 2/2014. (II. 11.) önkormányzati rendelethez</t>
  </si>
  <si>
    <t>"10. melléklet a 2/2014. (II. 11.) önkormányzati rendelethez</t>
  </si>
  <si>
    <t>"11. melléklet a 2/2014. (II. 11.) önkormányzati rendelethez</t>
  </si>
  <si>
    <t>Sitkei Citerazenekar Kulturális Egyesületnek pályázatok lebonyolításához nyújtott visszatérítendő támogatások visszatérülése</t>
  </si>
  <si>
    <t xml:space="preserve"> </t>
  </si>
  <si>
    <t>2013. évről áthúzódó bérkompenzáció</t>
  </si>
  <si>
    <t>Működési célú központosított előirányzatok összesen:</t>
  </si>
  <si>
    <t>Szabad kapacitás terhére végzett, nem haszonszerzési célú tevékenységek kiadásai és bevételei</t>
  </si>
  <si>
    <t>Adósságkonszolidációban részt nem vett önkormányzatok fejlesztési támogatása</t>
  </si>
  <si>
    <t>045120</t>
  </si>
  <si>
    <t>Út, autópálya építése</t>
  </si>
  <si>
    <t xml:space="preserve">SITKE KÖZSÉG ÖNKORMÁNYZATA   </t>
  </si>
  <si>
    <t>M e g n e v e z é s:</t>
  </si>
  <si>
    <t>( e Ft-ban )</t>
  </si>
  <si>
    <t>Előzetesen felszámított általános forgalmi adó</t>
  </si>
  <si>
    <t>18. melléklet a 2/2014. (II. 11.) önkormányzati rendelethez</t>
  </si>
  <si>
    <t>FELÚJÍTÁSI KIADÁSAI</t>
  </si>
  <si>
    <t>045120 Út, autópálya építése</t>
  </si>
  <si>
    <t>FELÚJÍTÁSOK ÖSSZESEN:</t>
  </si>
  <si>
    <t>2014. évi bérkompenzáció támogatása</t>
  </si>
  <si>
    <t>Vidéki gazdaság és lakosság számára nyújtott alapszolgáltatások fejlesztése (mikrobusz beszerzése) támogatása</t>
  </si>
  <si>
    <t>061030</t>
  </si>
  <si>
    <t>Lakáshoz jutást segítő támogatások</t>
  </si>
  <si>
    <t>Egyéb szociális pénzbeni és természetbeni ellátások, támogatások</t>
  </si>
  <si>
    <t>Kossuth L. u. 13. szám alatti ingatlan vételárához ajándék</t>
  </si>
  <si>
    <t>MŰKÖDÉSI ÉS FELHALMOZÁSI CÉLÚ CÉLTARTALÉK</t>
  </si>
  <si>
    <t>Sor-</t>
  </si>
  <si>
    <t>Feladat</t>
  </si>
  <si>
    <t>(a Ft-ban)</t>
  </si>
  <si>
    <t>Pátria Szociális Szolgáltató Kkt. részére - házi segítségnyújtás feladatellátásának támogatása</t>
  </si>
  <si>
    <t>2014-ban kiírásra kerülő pályázatok önrészének fedezete</t>
  </si>
  <si>
    <t>Működési célú céltartalék</t>
  </si>
  <si>
    <t>Felhalmozási célú céltartalék</t>
  </si>
  <si>
    <t>Mindösszesen:</t>
  </si>
  <si>
    <t>Házi segítségnyújtás</t>
  </si>
  <si>
    <t>Helyi önkormányzatok egyéb központi támogatása</t>
  </si>
  <si>
    <t>Helyi önkormányzatok egyéb központi támogatása összesen:</t>
  </si>
  <si>
    <t>földbérleti díjak</t>
  </si>
  <si>
    <t>szennyvízcsatorna-használati díj</t>
  </si>
  <si>
    <t>Sitkei Viziközmű Társulattal a szennyvízkezelési beruházáshoz átvett támogatás</t>
  </si>
  <si>
    <t>KIADÁSAI KIEMELT ELŐIRÁNYZATONKÉNT ÉS KORMÁNYZATI FUNKCIÓNKÉNT</t>
  </si>
  <si>
    <t>Sághegy LEADER Egyesületnek nyújtott tagi kölcsön visszatérülése</t>
  </si>
  <si>
    <t>Ingatlanok értékesítése</t>
  </si>
  <si>
    <t>önkormányzati ingatlanok értékesítése</t>
  </si>
  <si>
    <t>FELHALMOZÁSI BEVÉTELEK ÖSSZESEN:</t>
  </si>
  <si>
    <t>V.</t>
  </si>
  <si>
    <t>működési célú visszatérítendő támogatások, kölcsönök visszatérülése államháztartáson kívülről</t>
  </si>
  <si>
    <t>Forgatási célú belföldi értékpapírok beváltása, értékesítése</t>
  </si>
  <si>
    <t>FORGATÁSI CÉLÚ BELFÖLDI ÉRTÉKEPAPÍROK BEVÁLTÁSA, ÉRTÉKESÍTÉSE</t>
  </si>
  <si>
    <t>OTP befektetési jegyek beváltása</t>
  </si>
  <si>
    <t>Sitke, Vadkert utca egy részének (a Vadkert utca Kápolna felé eső végétől kiindulva 235 fm hosszban, 4 m szélességben) aszfaltszőnyegezése</t>
  </si>
  <si>
    <t>Sitke, Vadkert utca egy részének (a Vadkert utca Kápolna felé eső végétől kiindulva 235 fm hosszban, 4 m szélességben) aszfaltszőnyegezésének műszaki ellenőrzése</t>
  </si>
  <si>
    <t>9. melléklet a 2/2014. (II. 11.) önkormányzati rendelethez</t>
  </si>
  <si>
    <t>közterület-foglalási díjak</t>
  </si>
  <si>
    <t>"Itthon vagy - Magyarország szeretlek!" program támogatása</t>
  </si>
  <si>
    <t>szociális célú tűzelőanyag -vásárlás támogatása</t>
  </si>
  <si>
    <t>086020 Helyi, térségi közösségi tér biztosítása, működtetése</t>
  </si>
  <si>
    <t>művelődési központ teraszlefedés és korszerűsítés költségvetésének elkészítése</t>
  </si>
  <si>
    <t>IV.</t>
  </si>
  <si>
    <t>1. melléklet a 13/2014. (XI. 25.) önkormányzati rendelethez</t>
  </si>
  <si>
    <t>2. melléklet a 13/2014. (XI. 25.) önkormányzati rendelethez</t>
  </si>
  <si>
    <t>3. melléklet a 13/2014. (XI. 25.) önkormányzati rendelethez</t>
  </si>
  <si>
    <t>4. melléklet a 13/2014. (XI. 25.) önkormányzati rendelethez</t>
  </si>
  <si>
    <t>5. melléklet a 13/2014. (XI. 25.) önkormányzati rendelethez</t>
  </si>
  <si>
    <t>6. melléklet a 13/2014. (XI. 25.) önkormányzati rendelethez</t>
  </si>
  <si>
    <t>7. melléklet a 13/2014. (XI. 25.) önkormányzati rendelethez</t>
  </si>
  <si>
    <t>8. melléklet a 13/2014.(XI. 25.) önkormányzati rendelethez</t>
  </si>
  <si>
    <t>9. melléklet a 13/2014.(XI. 25.)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</si>
</sst>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"/>
    <numFmt numFmtId="166" formatCode="0.0000"/>
    <numFmt numFmtId="167" formatCode="0.00000"/>
    <numFmt numFmtId="168" formatCode="_-* #,##0\ _F_t_-;\-* #,##0\ _F_t_-;_-* &quot;-&quot;??\ _F_t_-;_-@_-"/>
    <numFmt numFmtId="169" formatCode="_-* #,##0.0\ _F_t_-;\-* #,##0.0\ _F_t_-;_-* &quot;-&quot;??\ _F_t_-;_-@_-"/>
    <numFmt numFmtId="170" formatCode="#,##0_ ;\-#,##0\ "/>
    <numFmt numFmtId="171" formatCode="0.00000000"/>
    <numFmt numFmtId="172" formatCode="0.0000000"/>
    <numFmt numFmtId="173" formatCode="0.00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_-* #,##0.0\ _F_t_-;\-* #,##0.0\ _F_t_-;_-* &quot;-&quot;\ _F_t_-;_-@_-"/>
    <numFmt numFmtId="178" formatCode="_-* #,##0.00\ _F_t_-;\-* #,##0.00\ _F_t_-;_-* &quot;-&quot;\ _F_t_-;_-@_-"/>
    <numFmt numFmtId="179" formatCode="_-* #,##0.000\ _F_t_-;\-* #,##0.000\ _F_t_-;_-* &quot;-&quot;\ _F_t_-;_-@_-"/>
    <numFmt numFmtId="180" formatCode="_-* #,##0.0000\ _F_t_-;\-* #,##0.0000\ _F_t_-;_-* &quot;-&quot;\ _F_t_-;_-@_-"/>
  </numFmts>
  <fonts count="45">
    <font>
      <sz val="10"/>
      <name val="Arial CE"/>
      <family val="0"/>
    </font>
    <font>
      <sz val="10"/>
      <name val="MS Sans Serif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8"/>
      <name val="Arial CE"/>
      <family val="0"/>
    </font>
    <font>
      <u val="single"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u val="single"/>
      <sz val="14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Times"/>
      <family val="0"/>
    </font>
    <font>
      <sz val="12"/>
      <name val="Arial CE"/>
      <family val="0"/>
    </font>
    <font>
      <sz val="9"/>
      <name val="Times New Roman"/>
      <family val="1"/>
    </font>
    <font>
      <sz val="14"/>
      <name val="Times New Roman"/>
      <family val="1"/>
    </font>
    <font>
      <u val="singleAccounting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0" xfId="56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6" applyFont="1" applyBorder="1">
      <alignment/>
      <protection/>
    </xf>
    <xf numFmtId="0" fontId="12" fillId="0" borderId="0" xfId="56" applyFont="1" applyBorder="1" applyAlignment="1">
      <alignment horizontal="center"/>
      <protection/>
    </xf>
    <xf numFmtId="0" fontId="12" fillId="0" borderId="0" xfId="56" applyFont="1">
      <alignment/>
      <protection/>
    </xf>
    <xf numFmtId="0" fontId="6" fillId="0" borderId="0" xfId="56" applyFont="1">
      <alignment/>
      <protection/>
    </xf>
    <xf numFmtId="164" fontId="12" fillId="0" borderId="0" xfId="56" applyNumberFormat="1" applyFont="1">
      <alignment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168" fontId="6" fillId="0" borderId="0" xfId="40" applyNumberFormat="1" applyFont="1" applyAlignment="1">
      <alignment/>
    </xf>
    <xf numFmtId="168" fontId="10" fillId="0" borderId="0" xfId="40" applyNumberFormat="1" applyFont="1" applyAlignment="1">
      <alignment/>
    </xf>
    <xf numFmtId="0" fontId="12" fillId="0" borderId="0" xfId="0" applyFont="1" applyAlignment="1">
      <alignment/>
    </xf>
    <xf numFmtId="0" fontId="14" fillId="0" borderId="0" xfId="56" applyFont="1">
      <alignment/>
      <protection/>
    </xf>
    <xf numFmtId="0" fontId="9" fillId="0" borderId="0" xfId="0" applyFont="1" applyAlignment="1">
      <alignment horizontal="center"/>
    </xf>
    <xf numFmtId="168" fontId="11" fillId="0" borderId="0" xfId="40" applyNumberFormat="1" applyFont="1" applyAlignment="1">
      <alignment/>
    </xf>
    <xf numFmtId="168" fontId="4" fillId="0" borderId="0" xfId="40" applyNumberFormat="1" applyFont="1" applyAlignment="1">
      <alignment/>
    </xf>
    <xf numFmtId="168" fontId="4" fillId="0" borderId="0" xfId="40" applyNumberFormat="1" applyFont="1" applyAlignment="1">
      <alignment horizontal="right"/>
    </xf>
    <xf numFmtId="168" fontId="5" fillId="0" borderId="0" xfId="40" applyNumberFormat="1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14" fontId="6" fillId="0" borderId="0" xfId="0" applyNumberFormat="1" applyFont="1" applyAlignment="1">
      <alignment/>
    </xf>
    <xf numFmtId="0" fontId="12" fillId="0" borderId="0" xfId="56" applyFont="1" applyAlignment="1">
      <alignment horizontal="center"/>
      <protection/>
    </xf>
    <xf numFmtId="0" fontId="12" fillId="0" borderId="0" xfId="56" applyFont="1" applyAlignment="1">
      <alignment/>
      <protection/>
    </xf>
    <xf numFmtId="0" fontId="12" fillId="0" borderId="0" xfId="56" applyFont="1" applyAlignment="1">
      <alignment horizontal="left"/>
      <protection/>
    </xf>
    <xf numFmtId="0" fontId="12" fillId="0" borderId="10" xfId="56" applyFont="1" applyBorder="1" applyAlignment="1">
      <alignment horizontal="center"/>
      <protection/>
    </xf>
    <xf numFmtId="0" fontId="12" fillId="0" borderId="11" xfId="56" applyFont="1" applyBorder="1" applyAlignment="1">
      <alignment horizontal="center"/>
      <protection/>
    </xf>
    <xf numFmtId="0" fontId="12" fillId="0" borderId="11" xfId="56" applyFont="1" applyBorder="1">
      <alignment/>
      <protection/>
    </xf>
    <xf numFmtId="0" fontId="12" fillId="0" borderId="12" xfId="56" applyFont="1" applyBorder="1" applyAlignment="1">
      <alignment horizontal="center"/>
      <protection/>
    </xf>
    <xf numFmtId="1" fontId="12" fillId="0" borderId="0" xfId="56" applyNumberFormat="1" applyFont="1">
      <alignment/>
      <protection/>
    </xf>
    <xf numFmtId="1" fontId="14" fillId="0" borderId="0" xfId="56" applyNumberFormat="1" applyFont="1">
      <alignment/>
      <protection/>
    </xf>
    <xf numFmtId="0" fontId="17" fillId="0" borderId="0" xfId="56" applyFont="1">
      <alignment/>
      <protection/>
    </xf>
    <xf numFmtId="0" fontId="10" fillId="0" borderId="0" xfId="56" applyFont="1" applyAlignment="1">
      <alignment/>
      <protection/>
    </xf>
    <xf numFmtId="0" fontId="4" fillId="0" borderId="0" xfId="56" applyFont="1">
      <alignment/>
      <protection/>
    </xf>
    <xf numFmtId="168" fontId="11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11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20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0" xfId="58" applyFont="1">
      <alignment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168" fontId="6" fillId="0" borderId="0" xfId="40" applyNumberFormat="1" applyFont="1" applyAlignment="1">
      <alignment wrapText="1"/>
    </xf>
    <xf numFmtId="164" fontId="12" fillId="0" borderId="0" xfId="0" applyNumberFormat="1" applyFont="1" applyAlignment="1">
      <alignment/>
    </xf>
    <xf numFmtId="0" fontId="12" fillId="0" borderId="0" xfId="0" applyFont="1" applyAlignment="1">
      <alignment wrapText="1"/>
    </xf>
    <xf numFmtId="168" fontId="12" fillId="0" borderId="0" xfId="40" applyNumberFormat="1" applyFont="1" applyAlignment="1">
      <alignment wrapText="1"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168" fontId="14" fillId="0" borderId="0" xfId="40" applyNumberFormat="1" applyFont="1" applyAlignment="1">
      <alignment wrapText="1"/>
    </xf>
    <xf numFmtId="0" fontId="12" fillId="0" borderId="0" xfId="0" applyFont="1" applyAlignment="1">
      <alignment horizontal="left" wrapText="1"/>
    </xf>
    <xf numFmtId="168" fontId="14" fillId="0" borderId="0" xfId="40" applyNumberFormat="1" applyFont="1" applyAlignment="1">
      <alignment/>
    </xf>
    <xf numFmtId="168" fontId="12" fillId="0" borderId="10" xfId="40" applyNumberFormat="1" applyFont="1" applyBorder="1" applyAlignment="1">
      <alignment horizontal="center"/>
    </xf>
    <xf numFmtId="0" fontId="11" fillId="0" borderId="10" xfId="56" applyFont="1" applyBorder="1" applyAlignment="1">
      <alignment horizontal="center"/>
      <protection/>
    </xf>
    <xf numFmtId="0" fontId="12" fillId="0" borderId="0" xfId="56" applyFont="1" applyBorder="1" applyAlignment="1">
      <alignment horizontal="center" vertical="center"/>
      <protection/>
    </xf>
    <xf numFmtId="168" fontId="12" fillId="0" borderId="11" xfId="40" applyNumberFormat="1" applyFont="1" applyBorder="1" applyAlignment="1">
      <alignment horizontal="center"/>
    </xf>
    <xf numFmtId="168" fontId="12" fillId="0" borderId="12" xfId="40" applyNumberFormat="1" applyFont="1" applyBorder="1" applyAlignment="1">
      <alignment horizontal="center"/>
    </xf>
    <xf numFmtId="0" fontId="6" fillId="0" borderId="0" xfId="56" applyFont="1" applyBorder="1" applyAlignment="1">
      <alignment horizontal="center" vertical="center"/>
      <protection/>
    </xf>
    <xf numFmtId="168" fontId="12" fillId="0" borderId="0" xfId="40" applyNumberFormat="1" applyFont="1" applyBorder="1" applyAlignment="1">
      <alignment horizontal="center"/>
    </xf>
    <xf numFmtId="0" fontId="12" fillId="0" borderId="0" xfId="56" applyFont="1" applyBorder="1" applyAlignment="1">
      <alignment horizontal="left" vertical="center"/>
      <protection/>
    </xf>
    <xf numFmtId="168" fontId="6" fillId="0" borderId="0" xfId="4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168" fontId="6" fillId="0" borderId="0" xfId="0" applyNumberFormat="1" applyFont="1" applyAlignment="1">
      <alignment wrapText="1"/>
    </xf>
    <xf numFmtId="168" fontId="12" fillId="0" borderId="0" xfId="4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2" fillId="0" borderId="0" xfId="40" applyNumberFormat="1" applyFont="1" applyAlignment="1">
      <alignment horizontal="left" wrapText="1"/>
    </xf>
    <xf numFmtId="0" fontId="13" fillId="0" borderId="0" xfId="0" applyFont="1" applyAlignment="1">
      <alignment/>
    </xf>
    <xf numFmtId="168" fontId="13" fillId="0" borderId="0" xfId="0" applyNumberFormat="1" applyFont="1" applyAlignment="1">
      <alignment/>
    </xf>
    <xf numFmtId="0" fontId="21" fillId="0" borderId="0" xfId="0" applyFont="1" applyAlignment="1">
      <alignment/>
    </xf>
    <xf numFmtId="168" fontId="12" fillId="0" borderId="0" xfId="56" applyNumberFormat="1" applyFont="1">
      <alignment/>
      <protection/>
    </xf>
    <xf numFmtId="168" fontId="12" fillId="0" borderId="0" xfId="0" applyNumberFormat="1" applyFont="1" applyAlignment="1">
      <alignment wrapText="1"/>
    </xf>
    <xf numFmtId="0" fontId="14" fillId="0" borderId="0" xfId="0" applyFont="1" applyAlignment="1">
      <alignment/>
    </xf>
    <xf numFmtId="0" fontId="11" fillId="0" borderId="0" xfId="56" applyFont="1">
      <alignment/>
      <protection/>
    </xf>
    <xf numFmtId="0" fontId="11" fillId="0" borderId="13" xfId="58" applyFont="1" applyBorder="1" applyAlignment="1" quotePrefix="1">
      <alignment horizontal="center" vertical="center" wrapText="1"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0" xfId="59" applyFont="1">
      <alignment/>
      <protection/>
    </xf>
    <xf numFmtId="0" fontId="10" fillId="0" borderId="0" xfId="59" applyFont="1" applyAlignment="1">
      <alignment horizontal="center"/>
      <protection/>
    </xf>
    <xf numFmtId="0" fontId="11" fillId="0" borderId="16" xfId="59" applyFont="1" applyBorder="1">
      <alignment/>
      <protection/>
    </xf>
    <xf numFmtId="0" fontId="11" fillId="0" borderId="17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0" fontId="10" fillId="0" borderId="0" xfId="59" applyFont="1">
      <alignment/>
      <protection/>
    </xf>
    <xf numFmtId="168" fontId="7" fillId="0" borderId="0" xfId="40" applyNumberFormat="1" applyFont="1" applyAlignment="1">
      <alignment/>
    </xf>
    <xf numFmtId="0" fontId="10" fillId="0" borderId="0" xfId="0" applyFont="1" applyAlignment="1">
      <alignment horizontal="right"/>
    </xf>
    <xf numFmtId="0" fontId="7" fillId="0" borderId="0" xfId="0" applyFont="1" applyAlignment="1">
      <alignment/>
    </xf>
    <xf numFmtId="168" fontId="5" fillId="0" borderId="0" xfId="40" applyNumberFormat="1" applyFont="1" applyAlignment="1">
      <alignment/>
    </xf>
    <xf numFmtId="168" fontId="7" fillId="0" borderId="0" xfId="0" applyNumberFormat="1" applyFont="1" applyAlignment="1">
      <alignment/>
    </xf>
    <xf numFmtId="168" fontId="7" fillId="0" borderId="0" xfId="40" applyNumberFormat="1" applyFont="1" applyAlignment="1">
      <alignment horizontal="right"/>
    </xf>
    <xf numFmtId="0" fontId="14" fillId="0" borderId="0" xfId="56" applyFont="1">
      <alignment/>
      <protection/>
    </xf>
    <xf numFmtId="0" fontId="19" fillId="0" borderId="0" xfId="59" applyFont="1">
      <alignment/>
      <protection/>
    </xf>
    <xf numFmtId="0" fontId="19" fillId="0" borderId="0" xfId="0" applyFont="1" applyAlignment="1">
      <alignment/>
    </xf>
    <xf numFmtId="0" fontId="21" fillId="0" borderId="10" xfId="56" applyFont="1" applyBorder="1" applyAlignment="1">
      <alignment horizontal="center"/>
      <protection/>
    </xf>
    <xf numFmtId="0" fontId="7" fillId="0" borderId="20" xfId="56" applyFont="1" applyBorder="1" applyAlignment="1">
      <alignment horizontal="center"/>
      <protection/>
    </xf>
    <xf numFmtId="0" fontId="11" fillId="0" borderId="21" xfId="59" applyFont="1" applyBorder="1">
      <alignment/>
      <protection/>
    </xf>
    <xf numFmtId="0" fontId="11" fillId="0" borderId="22" xfId="59" applyFont="1" applyBorder="1">
      <alignment/>
      <protection/>
    </xf>
    <xf numFmtId="0" fontId="11" fillId="0" borderId="23" xfId="59" applyFont="1" applyBorder="1">
      <alignment/>
      <protection/>
    </xf>
    <xf numFmtId="0" fontId="12" fillId="0" borderId="0" xfId="56" applyFont="1">
      <alignment/>
      <protection/>
    </xf>
    <xf numFmtId="0" fontId="6" fillId="0" borderId="10" xfId="56" applyFont="1" applyBorder="1" applyAlignment="1">
      <alignment horizontal="center"/>
      <protection/>
    </xf>
    <xf numFmtId="0" fontId="6" fillId="0" borderId="11" xfId="56" applyFont="1" applyBorder="1">
      <alignment/>
      <protection/>
    </xf>
    <xf numFmtId="0" fontId="6" fillId="0" borderId="11" xfId="56" applyFont="1" applyBorder="1" applyAlignment="1">
      <alignment horizontal="center"/>
      <protection/>
    </xf>
    <xf numFmtId="0" fontId="6" fillId="0" borderId="12" xfId="56" applyFont="1" applyBorder="1">
      <alignment/>
      <protection/>
    </xf>
    <xf numFmtId="0" fontId="6" fillId="0" borderId="19" xfId="56" applyFont="1" applyBorder="1" applyAlignment="1">
      <alignment horizontal="right"/>
      <protection/>
    </xf>
    <xf numFmtId="0" fontId="6" fillId="0" borderId="19" xfId="56" applyFont="1" applyBorder="1">
      <alignment/>
      <protection/>
    </xf>
    <xf numFmtId="168" fontId="14" fillId="0" borderId="0" xfId="40" applyNumberFormat="1" applyFont="1" applyAlignment="1">
      <alignment/>
    </xf>
    <xf numFmtId="168" fontId="12" fillId="0" borderId="0" xfId="40" applyNumberFormat="1" applyFont="1" applyAlignment="1">
      <alignment/>
    </xf>
    <xf numFmtId="0" fontId="12" fillId="0" borderId="0" xfId="56" applyFont="1" applyAlignment="1">
      <alignment horizontal="right"/>
      <protection/>
    </xf>
    <xf numFmtId="0" fontId="6" fillId="0" borderId="10" xfId="56" applyFont="1" applyBorder="1" applyAlignment="1">
      <alignment/>
      <protection/>
    </xf>
    <xf numFmtId="168" fontId="6" fillId="0" borderId="10" xfId="40" applyNumberFormat="1" applyFont="1" applyBorder="1" applyAlignment="1">
      <alignment horizontal="center"/>
    </xf>
    <xf numFmtId="168" fontId="6" fillId="0" borderId="11" xfId="40" applyNumberFormat="1" applyFont="1" applyBorder="1" applyAlignment="1">
      <alignment horizontal="center"/>
    </xf>
    <xf numFmtId="0" fontId="6" fillId="0" borderId="12" xfId="56" applyFont="1" applyBorder="1" applyAlignment="1">
      <alignment horizontal="center"/>
      <protection/>
    </xf>
    <xf numFmtId="168" fontId="6" fillId="0" borderId="12" xfId="40" applyNumberFormat="1" applyFont="1" applyBorder="1" applyAlignment="1">
      <alignment horizontal="center"/>
    </xf>
    <xf numFmtId="0" fontId="12" fillId="0" borderId="0" xfId="56" applyFont="1" applyBorder="1" applyAlignment="1">
      <alignment horizontal="right"/>
      <protection/>
    </xf>
    <xf numFmtId="0" fontId="12" fillId="0" borderId="0" xfId="56" applyFont="1" applyBorder="1" applyAlignment="1">
      <alignment/>
      <protection/>
    </xf>
    <xf numFmtId="168" fontId="12" fillId="0" borderId="0" xfId="40" applyNumberFormat="1" applyFont="1" applyBorder="1" applyAlignment="1">
      <alignment/>
    </xf>
    <xf numFmtId="0" fontId="12" fillId="0" borderId="0" xfId="56" applyFont="1" applyBorder="1" applyAlignment="1">
      <alignment wrapText="1"/>
      <protection/>
    </xf>
    <xf numFmtId="0" fontId="12" fillId="0" borderId="16" xfId="56" applyFont="1" applyBorder="1" applyAlignment="1">
      <alignment horizontal="right"/>
      <protection/>
    </xf>
    <xf numFmtId="0" fontId="12" fillId="0" borderId="16" xfId="56" applyFont="1" applyBorder="1" applyAlignment="1">
      <alignment/>
      <protection/>
    </xf>
    <xf numFmtId="168" fontId="12" fillId="0" borderId="16" xfId="40" applyNumberFormat="1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168" fontId="12" fillId="0" borderId="0" xfId="40" applyNumberFormat="1" applyFont="1" applyAlignment="1">
      <alignment horizontal="right"/>
    </xf>
    <xf numFmtId="168" fontId="6" fillId="0" borderId="0" xfId="56" applyNumberFormat="1" applyFont="1">
      <alignment/>
      <protection/>
    </xf>
    <xf numFmtId="168" fontId="6" fillId="0" borderId="19" xfId="40" applyNumberFormat="1" applyFont="1" applyBorder="1" applyAlignment="1">
      <alignment/>
    </xf>
    <xf numFmtId="0" fontId="6" fillId="0" borderId="0" xfId="56" applyFont="1" applyBorder="1" applyAlignment="1">
      <alignment horizontal="right"/>
      <protection/>
    </xf>
    <xf numFmtId="168" fontId="6" fillId="0" borderId="0" xfId="40" applyNumberFormat="1" applyFont="1" applyBorder="1" applyAlignment="1">
      <alignment/>
    </xf>
    <xf numFmtId="0" fontId="12" fillId="0" borderId="0" xfId="57" applyFont="1">
      <alignment/>
      <protection/>
    </xf>
    <xf numFmtId="0" fontId="6" fillId="0" borderId="0" xfId="57" applyFont="1" applyBorder="1" applyAlignment="1">
      <alignment horizontal="center"/>
      <protection/>
    </xf>
    <xf numFmtId="0" fontId="23" fillId="0" borderId="16" xfId="0" applyFont="1" applyBorder="1" applyAlignment="1">
      <alignment/>
    </xf>
    <xf numFmtId="168" fontId="6" fillId="0" borderId="16" xfId="40" applyNumberFormat="1" applyFont="1" applyBorder="1" applyAlignment="1">
      <alignment/>
    </xf>
    <xf numFmtId="0" fontId="6" fillId="0" borderId="0" xfId="57" applyFont="1">
      <alignment/>
      <protection/>
    </xf>
    <xf numFmtId="0" fontId="6" fillId="0" borderId="19" xfId="57" applyFont="1" applyBorder="1" applyAlignment="1">
      <alignment horizontal="right"/>
      <protection/>
    </xf>
    <xf numFmtId="0" fontId="6" fillId="0" borderId="19" xfId="57" applyFont="1" applyBorder="1">
      <alignment/>
      <protection/>
    </xf>
    <xf numFmtId="168" fontId="6" fillId="0" borderId="19" xfId="57" applyNumberFormat="1" applyFont="1" applyBorder="1" applyAlignment="1">
      <alignment/>
      <protection/>
    </xf>
    <xf numFmtId="168" fontId="6" fillId="0" borderId="0" xfId="57" applyNumberFormat="1" applyFont="1">
      <alignment/>
      <protection/>
    </xf>
    <xf numFmtId="168" fontId="6" fillId="0" borderId="0" xfId="40" applyNumberFormat="1" applyFont="1" applyBorder="1" applyAlignment="1">
      <alignment/>
    </xf>
    <xf numFmtId="168" fontId="12" fillId="0" borderId="0" xfId="40" applyNumberFormat="1" applyFont="1" applyAlignment="1">
      <alignment horizontal="center"/>
    </xf>
    <xf numFmtId="0" fontId="12" fillId="0" borderId="10" xfId="0" applyFont="1" applyBorder="1" applyAlignment="1">
      <alignment/>
    </xf>
    <xf numFmtId="0" fontId="12" fillId="0" borderId="20" xfId="0" applyFont="1" applyBorder="1" applyAlignment="1">
      <alignment/>
    </xf>
    <xf numFmtId="168" fontId="6" fillId="0" borderId="10" xfId="40" applyNumberFormat="1" applyFont="1" applyBorder="1" applyAlignment="1">
      <alignment/>
    </xf>
    <xf numFmtId="168" fontId="6" fillId="0" borderId="24" xfId="40" applyNumberFormat="1" applyFont="1" applyBorder="1" applyAlignment="1">
      <alignment/>
    </xf>
    <xf numFmtId="168" fontId="6" fillId="0" borderId="25" xfId="40" applyNumberFormat="1" applyFont="1" applyBorder="1" applyAlignment="1">
      <alignment/>
    </xf>
    <xf numFmtId="168" fontId="6" fillId="0" borderId="26" xfId="40" applyNumberFormat="1" applyFont="1" applyBorder="1" applyAlignment="1">
      <alignment/>
    </xf>
    <xf numFmtId="168" fontId="12" fillId="0" borderId="26" xfId="40" applyNumberFormat="1" applyFont="1" applyBorder="1" applyAlignment="1">
      <alignment/>
    </xf>
    <xf numFmtId="168" fontId="12" fillId="0" borderId="25" xfId="40" applyNumberFormat="1" applyFont="1" applyBorder="1" applyAlignment="1">
      <alignment/>
    </xf>
    <xf numFmtId="168" fontId="12" fillId="0" borderId="10" xfId="40" applyNumberFormat="1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27" xfId="0" applyFont="1" applyBorder="1" applyAlignment="1">
      <alignment horizontal="center"/>
    </xf>
    <xf numFmtId="168" fontId="12" fillId="0" borderId="28" xfId="40" applyNumberFormat="1" applyFont="1" applyBorder="1" applyAlignment="1">
      <alignment horizontal="center"/>
    </xf>
    <xf numFmtId="168" fontId="12" fillId="0" borderId="29" xfId="40" applyNumberFormat="1" applyFont="1" applyBorder="1" applyAlignment="1">
      <alignment horizontal="center"/>
    </xf>
    <xf numFmtId="168" fontId="12" fillId="0" borderId="30" xfId="40" applyNumberFormat="1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31" xfId="0" applyFont="1" applyBorder="1" applyAlignment="1">
      <alignment/>
    </xf>
    <xf numFmtId="168" fontId="12" fillId="0" borderId="12" xfId="40" applyNumberFormat="1" applyFont="1" applyBorder="1" applyAlignment="1">
      <alignment/>
    </xf>
    <xf numFmtId="168" fontId="12" fillId="0" borderId="32" xfId="40" applyNumberFormat="1" applyFont="1" applyBorder="1" applyAlignment="1">
      <alignment/>
    </xf>
    <xf numFmtId="168" fontId="12" fillId="0" borderId="33" xfId="40" applyNumberFormat="1" applyFont="1" applyBorder="1" applyAlignment="1">
      <alignment/>
    </xf>
    <xf numFmtId="168" fontId="12" fillId="0" borderId="34" xfId="40" applyNumberFormat="1" applyFont="1" applyBorder="1" applyAlignment="1">
      <alignment/>
    </xf>
    <xf numFmtId="0" fontId="12" fillId="0" borderId="17" xfId="0" applyFont="1" applyBorder="1" applyAlignment="1">
      <alignment horizontal="center"/>
    </xf>
    <xf numFmtId="168" fontId="12" fillId="0" borderId="16" xfId="40" applyNumberFormat="1" applyFont="1" applyBorder="1" applyAlignment="1">
      <alignment/>
    </xf>
    <xf numFmtId="168" fontId="12" fillId="0" borderId="35" xfId="40" applyNumberFormat="1" applyFont="1" applyBorder="1" applyAlignment="1">
      <alignment/>
    </xf>
    <xf numFmtId="0" fontId="12" fillId="0" borderId="16" xfId="0" applyFont="1" applyBorder="1" applyAlignment="1">
      <alignment wrapText="1"/>
    </xf>
    <xf numFmtId="168" fontId="12" fillId="0" borderId="16" xfId="40" applyNumberFormat="1" applyFont="1" applyBorder="1" applyAlignment="1">
      <alignment/>
    </xf>
    <xf numFmtId="0" fontId="12" fillId="0" borderId="16" xfId="0" applyFont="1" applyBorder="1" applyAlignment="1">
      <alignment/>
    </xf>
    <xf numFmtId="168" fontId="24" fillId="0" borderId="16" xfId="40" applyNumberFormat="1" applyFont="1" applyFill="1" applyBorder="1" applyAlignment="1">
      <alignment/>
    </xf>
    <xf numFmtId="168" fontId="24" fillId="0" borderId="23" xfId="40" applyNumberFormat="1" applyFont="1" applyFill="1" applyBorder="1" applyAlignment="1">
      <alignment/>
    </xf>
    <xf numFmtId="168" fontId="12" fillId="0" borderId="16" xfId="40" applyNumberFormat="1" applyFont="1" applyFill="1" applyBorder="1" applyAlignment="1">
      <alignment/>
    </xf>
    <xf numFmtId="168" fontId="12" fillId="0" borderId="23" xfId="40" applyNumberFormat="1" applyFont="1" applyFill="1" applyBorder="1" applyAlignment="1">
      <alignment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/>
    </xf>
    <xf numFmtId="0" fontId="6" fillId="0" borderId="19" xfId="0" applyFont="1" applyBorder="1" applyAlignment="1">
      <alignment/>
    </xf>
    <xf numFmtId="168" fontId="6" fillId="0" borderId="38" xfId="40" applyNumberFormat="1" applyFont="1" applyBorder="1" applyAlignment="1">
      <alignment/>
    </xf>
    <xf numFmtId="168" fontId="6" fillId="0" borderId="19" xfId="40" applyNumberFormat="1" applyFont="1" applyBorder="1" applyAlignment="1">
      <alignment/>
    </xf>
    <xf numFmtId="0" fontId="12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168" fontId="12" fillId="0" borderId="41" xfId="40" applyNumberFormat="1" applyFont="1" applyBorder="1" applyAlignment="1">
      <alignment/>
    </xf>
    <xf numFmtId="1" fontId="6" fillId="0" borderId="0" xfId="0" applyNumberFormat="1" applyFont="1" applyAlignment="1">
      <alignment/>
    </xf>
    <xf numFmtId="0" fontId="12" fillId="0" borderId="19" xfId="0" applyFont="1" applyBorder="1" applyAlignment="1">
      <alignment/>
    </xf>
    <xf numFmtId="0" fontId="6" fillId="0" borderId="18" xfId="0" applyFont="1" applyBorder="1" applyAlignment="1">
      <alignment/>
    </xf>
    <xf numFmtId="168" fontId="12" fillId="0" borderId="42" xfId="40" applyNumberFormat="1" applyFont="1" applyBorder="1" applyAlignment="1">
      <alignment/>
    </xf>
    <xf numFmtId="168" fontId="12" fillId="0" borderId="43" xfId="40" applyNumberFormat="1" applyFont="1" applyBorder="1" applyAlignment="1">
      <alignment/>
    </xf>
    <xf numFmtId="0" fontId="12" fillId="0" borderId="44" xfId="56" applyFont="1" applyBorder="1" applyAlignment="1">
      <alignment horizontal="right"/>
      <protection/>
    </xf>
    <xf numFmtId="0" fontId="25" fillId="0" borderId="0" xfId="56" applyFont="1">
      <alignment/>
      <protection/>
    </xf>
    <xf numFmtId="0" fontId="25" fillId="0" borderId="0" xfId="56" applyFont="1" applyAlignment="1">
      <alignment horizontal="center"/>
      <protection/>
    </xf>
    <xf numFmtId="168" fontId="25" fillId="0" borderId="0" xfId="40" applyNumberFormat="1" applyFont="1" applyAlignment="1">
      <alignment/>
    </xf>
    <xf numFmtId="0" fontId="11" fillId="0" borderId="0" xfId="56" applyFont="1">
      <alignment/>
      <protection/>
    </xf>
    <xf numFmtId="0" fontId="10" fillId="0" borderId="0" xfId="56" applyFont="1" applyAlignment="1">
      <alignment horizontal="center"/>
      <protection/>
    </xf>
    <xf numFmtId="168" fontId="10" fillId="0" borderId="0" xfId="40" applyNumberFormat="1" applyFont="1" applyAlignment="1">
      <alignment/>
    </xf>
    <xf numFmtId="0" fontId="21" fillId="0" borderId="0" xfId="56" applyFont="1" applyAlignment="1">
      <alignment horizontal="center"/>
      <protection/>
    </xf>
    <xf numFmtId="168" fontId="21" fillId="0" borderId="0" xfId="40" applyNumberFormat="1" applyFont="1" applyAlignment="1">
      <alignment horizontal="centerContinuous"/>
    </xf>
    <xf numFmtId="168" fontId="21" fillId="0" borderId="0" xfId="40" applyNumberFormat="1" applyFont="1" applyAlignment="1">
      <alignment/>
    </xf>
    <xf numFmtId="168" fontId="21" fillId="0" borderId="45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/>
    </xf>
    <xf numFmtId="168" fontId="21" fillId="0" borderId="10" xfId="4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14" xfId="58" applyFont="1" applyBorder="1" applyAlignment="1">
      <alignment horizontal="left" wrapText="1"/>
      <protection/>
    </xf>
    <xf numFmtId="168" fontId="4" fillId="0" borderId="16" xfId="40" applyNumberFormat="1" applyFont="1" applyBorder="1" applyAlignment="1">
      <alignment/>
    </xf>
    <xf numFmtId="0" fontId="11" fillId="0" borderId="15" xfId="58" applyFont="1" applyBorder="1" applyAlignment="1" quotePrefix="1">
      <alignment horizontal="center" vertical="center" wrapText="1"/>
      <protection/>
    </xf>
    <xf numFmtId="0" fontId="11" fillId="0" borderId="46" xfId="59" applyFont="1" applyBorder="1">
      <alignment/>
      <protection/>
    </xf>
    <xf numFmtId="0" fontId="10" fillId="0" borderId="18" xfId="59" applyFont="1" applyBorder="1">
      <alignment/>
      <protection/>
    </xf>
    <xf numFmtId="0" fontId="10" fillId="0" borderId="19" xfId="59" applyFont="1" applyBorder="1">
      <alignment/>
      <protection/>
    </xf>
    <xf numFmtId="168" fontId="4" fillId="0" borderId="19" xfId="40" applyNumberFormat="1" applyFont="1" applyBorder="1" applyAlignment="1">
      <alignment/>
    </xf>
    <xf numFmtId="168" fontId="4" fillId="0" borderId="35" xfId="40" applyNumberFormat="1" applyFont="1" applyBorder="1" applyAlignment="1">
      <alignment/>
    </xf>
    <xf numFmtId="0" fontId="11" fillId="0" borderId="47" xfId="58" applyFont="1" applyBorder="1" applyAlignment="1" quotePrefix="1">
      <alignment horizontal="center" vertical="center" wrapText="1"/>
      <protection/>
    </xf>
    <xf numFmtId="0" fontId="11" fillId="0" borderId="0" xfId="58" applyFont="1" applyBorder="1" applyAlignment="1">
      <alignment horizontal="left" wrapText="1"/>
      <protection/>
    </xf>
    <xf numFmtId="168" fontId="4" fillId="0" borderId="40" xfId="40" applyNumberFormat="1" applyFont="1" applyBorder="1" applyAlignment="1">
      <alignment/>
    </xf>
    <xf numFmtId="168" fontId="4" fillId="0" borderId="48" xfId="40" applyNumberFormat="1" applyFont="1" applyBorder="1" applyAlignment="1">
      <alignment/>
    </xf>
    <xf numFmtId="0" fontId="19" fillId="0" borderId="47" xfId="58" applyFont="1" applyBorder="1" applyAlignment="1" quotePrefix="1">
      <alignment horizontal="center" vertical="center" wrapText="1"/>
      <protection/>
    </xf>
    <xf numFmtId="0" fontId="19" fillId="0" borderId="46" xfId="59" applyFont="1" applyBorder="1">
      <alignment/>
      <protection/>
    </xf>
    <xf numFmtId="168" fontId="18" fillId="0" borderId="40" xfId="40" applyNumberFormat="1" applyFont="1" applyBorder="1" applyAlignment="1">
      <alignment/>
    </xf>
    <xf numFmtId="168" fontId="18" fillId="0" borderId="48" xfId="40" applyNumberFormat="1" applyFont="1" applyBorder="1" applyAlignment="1">
      <alignment/>
    </xf>
    <xf numFmtId="0" fontId="18" fillId="0" borderId="0" xfId="0" applyFont="1" applyAlignment="1">
      <alignment/>
    </xf>
    <xf numFmtId="168" fontId="18" fillId="0" borderId="16" xfId="40" applyNumberFormat="1" applyFont="1" applyBorder="1" applyAlignment="1">
      <alignment/>
    </xf>
    <xf numFmtId="0" fontId="19" fillId="0" borderId="16" xfId="59" applyFont="1" applyBorder="1">
      <alignment/>
      <protection/>
    </xf>
    <xf numFmtId="0" fontId="19" fillId="0" borderId="23" xfId="59" applyFont="1" applyBorder="1">
      <alignment/>
      <protection/>
    </xf>
    <xf numFmtId="14" fontId="16" fillId="0" borderId="0" xfId="0" applyNumberFormat="1" applyFont="1" applyAlignment="1">
      <alignment/>
    </xf>
    <xf numFmtId="0" fontId="4" fillId="0" borderId="46" xfId="59" applyFont="1" applyBorder="1">
      <alignment/>
      <protection/>
    </xf>
    <xf numFmtId="0" fontId="4" fillId="0" borderId="0" xfId="0" applyFont="1" applyAlignment="1">
      <alignment horizontal="right"/>
    </xf>
    <xf numFmtId="0" fontId="11" fillId="0" borderId="0" xfId="59" applyFont="1" applyAlignment="1">
      <alignment horizontal="right"/>
      <protection/>
    </xf>
    <xf numFmtId="0" fontId="12" fillId="0" borderId="0" xfId="56" applyFont="1" applyAlignment="1">
      <alignment horizontal="left" wrapText="1"/>
      <protection/>
    </xf>
    <xf numFmtId="0" fontId="19" fillId="0" borderId="0" xfId="58" applyFont="1">
      <alignment/>
      <protection/>
    </xf>
    <xf numFmtId="0" fontId="12" fillId="0" borderId="0" xfId="59" applyFont="1">
      <alignment/>
      <protection/>
    </xf>
    <xf numFmtId="0" fontId="7" fillId="0" borderId="0" xfId="58" applyFont="1" applyAlignment="1">
      <alignment/>
      <protection/>
    </xf>
    <xf numFmtId="0" fontId="11" fillId="0" borderId="0" xfId="58" applyFont="1">
      <alignment/>
      <protection/>
    </xf>
    <xf numFmtId="0" fontId="18" fillId="0" borderId="0" xfId="0" applyFont="1" applyAlignment="1">
      <alignment horizontal="left"/>
    </xf>
    <xf numFmtId="0" fontId="6" fillId="0" borderId="0" xfId="59" applyFont="1" applyAlignment="1">
      <alignment horizontal="centerContinuous"/>
      <protection/>
    </xf>
    <xf numFmtId="0" fontId="26" fillId="0" borderId="0" xfId="59" applyFont="1">
      <alignment/>
      <protection/>
    </xf>
    <xf numFmtId="0" fontId="6" fillId="0" borderId="10" xfId="59" applyFont="1" applyBorder="1">
      <alignment/>
      <protection/>
    </xf>
    <xf numFmtId="0" fontId="6" fillId="0" borderId="10" xfId="59" applyFont="1" applyBorder="1" applyAlignment="1">
      <alignment horizontal="center"/>
      <protection/>
    </xf>
    <xf numFmtId="0" fontId="6" fillId="0" borderId="11" xfId="59" applyFont="1" applyBorder="1" applyAlignment="1">
      <alignment horizontal="center"/>
      <protection/>
    </xf>
    <xf numFmtId="0" fontId="6" fillId="0" borderId="12" xfId="59" applyFont="1" applyBorder="1">
      <alignment/>
      <protection/>
    </xf>
    <xf numFmtId="0" fontId="6" fillId="0" borderId="12" xfId="59" applyFont="1" applyBorder="1" applyAlignment="1">
      <alignment horizontal="center"/>
      <protection/>
    </xf>
    <xf numFmtId="0" fontId="6" fillId="0" borderId="0" xfId="59" applyFont="1" applyBorder="1">
      <alignment/>
      <protection/>
    </xf>
    <xf numFmtId="0" fontId="6" fillId="0" borderId="0" xfId="59" applyFont="1" applyBorder="1" applyAlignment="1">
      <alignment horizontal="center"/>
      <protection/>
    </xf>
    <xf numFmtId="0" fontId="6" fillId="0" borderId="0" xfId="59" applyFont="1" applyBorder="1" quotePrefix="1">
      <alignment/>
      <protection/>
    </xf>
    <xf numFmtId="0" fontId="6" fillId="0" borderId="0" xfId="59" applyFont="1" applyBorder="1" applyAlignment="1">
      <alignment horizontal="right"/>
      <protection/>
    </xf>
    <xf numFmtId="168" fontId="12" fillId="0" borderId="0" xfId="40" applyNumberFormat="1" applyFont="1" applyBorder="1" applyAlignment="1">
      <alignment horizontal="right"/>
    </xf>
    <xf numFmtId="44" fontId="12" fillId="0" borderId="0" xfId="61" applyFont="1" applyAlignment="1">
      <alignment horizontal="left" wrapText="1"/>
    </xf>
    <xf numFmtId="168" fontId="12" fillId="0" borderId="0" xfId="40" applyNumberFormat="1" applyFont="1" applyAlignment="1">
      <alignment wrapText="1"/>
    </xf>
    <xf numFmtId="44" fontId="12" fillId="0" borderId="0" xfId="61" applyFont="1" applyAlignment="1">
      <alignment wrapText="1"/>
    </xf>
    <xf numFmtId="0" fontId="12" fillId="0" borderId="0" xfId="59" applyFont="1" applyBorder="1">
      <alignment/>
      <protection/>
    </xf>
    <xf numFmtId="168" fontId="27" fillId="0" borderId="0" xfId="40" applyNumberFormat="1" applyFont="1" applyBorder="1" applyAlignment="1">
      <alignment horizontal="right"/>
    </xf>
    <xf numFmtId="168" fontId="6" fillId="0" borderId="0" xfId="40" applyNumberFormat="1" applyFont="1" applyBorder="1" applyAlignment="1">
      <alignment horizontal="right"/>
    </xf>
    <xf numFmtId="0" fontId="12" fillId="0" borderId="0" xfId="56" applyFont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6" fillId="0" borderId="10" xfId="56" applyFont="1" applyBorder="1">
      <alignment/>
      <protection/>
    </xf>
    <xf numFmtId="0" fontId="6" fillId="0" borderId="20" xfId="56" applyFont="1" applyBorder="1" applyAlignment="1">
      <alignment horizontal="center"/>
      <protection/>
    </xf>
    <xf numFmtId="0" fontId="6" fillId="0" borderId="27" xfId="56" applyFont="1" applyBorder="1" applyAlignment="1">
      <alignment horizontal="center"/>
      <protection/>
    </xf>
    <xf numFmtId="0" fontId="4" fillId="0" borderId="12" xfId="56" applyFont="1" applyBorder="1" applyAlignment="1">
      <alignment horizontal="center"/>
      <protection/>
    </xf>
    <xf numFmtId="0" fontId="12" fillId="0" borderId="40" xfId="56" applyFont="1" applyBorder="1" applyAlignment="1">
      <alignment horizontal="right" vertical="center"/>
      <protection/>
    </xf>
    <xf numFmtId="0" fontId="4" fillId="0" borderId="0" xfId="59" applyFont="1" applyBorder="1" applyAlignment="1">
      <alignment horizontal="left" wrapText="1"/>
      <protection/>
    </xf>
    <xf numFmtId="168" fontId="12" fillId="0" borderId="37" xfId="40" applyNumberFormat="1" applyFont="1" applyBorder="1" applyAlignment="1">
      <alignment/>
    </xf>
    <xf numFmtId="0" fontId="6" fillId="0" borderId="19" xfId="56" applyFont="1" applyBorder="1" applyAlignment="1">
      <alignment wrapText="1"/>
      <protection/>
    </xf>
    <xf numFmtId="168" fontId="6" fillId="0" borderId="19" xfId="40" applyNumberFormat="1" applyFont="1" applyBorder="1" applyAlignment="1">
      <alignment/>
    </xf>
    <xf numFmtId="0" fontId="7" fillId="0" borderId="0" xfId="56" applyFont="1">
      <alignment/>
      <protection/>
    </xf>
    <xf numFmtId="0" fontId="12" fillId="0" borderId="19" xfId="56" applyFont="1" applyBorder="1">
      <alignment/>
      <protection/>
    </xf>
    <xf numFmtId="0" fontId="6" fillId="0" borderId="49" xfId="56" applyFont="1" applyBorder="1">
      <alignment/>
      <protection/>
    </xf>
    <xf numFmtId="0" fontId="6" fillId="0" borderId="44" xfId="56" applyFont="1" applyBorder="1">
      <alignment/>
      <protection/>
    </xf>
    <xf numFmtId="168" fontId="6" fillId="0" borderId="12" xfId="40" applyNumberFormat="1" applyFont="1" applyBorder="1" applyAlignment="1">
      <alignment/>
    </xf>
    <xf numFmtId="0" fontId="6" fillId="0" borderId="0" xfId="56" applyFont="1">
      <alignment/>
      <protection/>
    </xf>
    <xf numFmtId="0" fontId="4" fillId="0" borderId="40" xfId="59" applyFont="1" applyBorder="1" applyAlignment="1">
      <alignment horizontal="left" wrapText="1"/>
      <protection/>
    </xf>
    <xf numFmtId="168" fontId="12" fillId="0" borderId="40" xfId="40" applyNumberFormat="1" applyFont="1" applyBorder="1" applyAlignment="1">
      <alignment/>
    </xf>
    <xf numFmtId="0" fontId="6" fillId="0" borderId="31" xfId="56" applyFont="1" applyBorder="1" applyAlignment="1">
      <alignment horizontal="center"/>
      <protection/>
    </xf>
    <xf numFmtId="0" fontId="11" fillId="0" borderId="14" xfId="59" applyFont="1" applyBorder="1">
      <alignment/>
      <protection/>
    </xf>
    <xf numFmtId="0" fontId="11" fillId="0" borderId="14" xfId="59" applyFont="1" applyBorder="1">
      <alignment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23" xfId="0" applyFont="1" applyBorder="1" applyAlignment="1">
      <alignment horizontal="left" wrapText="1"/>
    </xf>
    <xf numFmtId="168" fontId="12" fillId="0" borderId="0" xfId="0" applyNumberFormat="1" applyFont="1" applyAlignment="1">
      <alignment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2" fillId="0" borderId="0" xfId="56" applyFont="1" applyBorder="1" applyAlignment="1">
      <alignment horizontal="center"/>
      <protection/>
    </xf>
    <xf numFmtId="0" fontId="12" fillId="0" borderId="50" xfId="56" applyFont="1" applyBorder="1" applyAlignment="1">
      <alignment horizontal="center"/>
      <protection/>
    </xf>
    <xf numFmtId="0" fontId="12" fillId="0" borderId="31" xfId="56" applyFont="1" applyBorder="1" applyAlignment="1">
      <alignment horizontal="center"/>
      <protection/>
    </xf>
    <xf numFmtId="0" fontId="12" fillId="0" borderId="44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/>
      <protection/>
    </xf>
    <xf numFmtId="0" fontId="4" fillId="0" borderId="0" xfId="0" applyFont="1" applyAlignment="1">
      <alignment horizontal="center"/>
    </xf>
    <xf numFmtId="0" fontId="11" fillId="0" borderId="10" xfId="58" applyFont="1" applyBorder="1" applyAlignment="1">
      <alignment horizontal="center" vertical="center" wrapText="1"/>
      <protection/>
    </xf>
    <xf numFmtId="0" fontId="12" fillId="0" borderId="52" xfId="56" applyFont="1" applyBorder="1" applyAlignment="1">
      <alignment horizontal="center"/>
      <protection/>
    </xf>
    <xf numFmtId="0" fontId="12" fillId="0" borderId="45" xfId="56" applyFont="1" applyBorder="1" applyAlignment="1">
      <alignment horizontal="center"/>
      <protection/>
    </xf>
    <xf numFmtId="0" fontId="12" fillId="0" borderId="27" xfId="56" applyFont="1" applyBorder="1" applyAlignment="1">
      <alignment horizontal="center"/>
      <protection/>
    </xf>
    <xf numFmtId="0" fontId="12" fillId="0" borderId="51" xfId="56" applyFont="1" applyBorder="1" applyAlignment="1">
      <alignment horizontal="center" vertical="center"/>
      <protection/>
    </xf>
    <xf numFmtId="0" fontId="12" fillId="0" borderId="20" xfId="56" applyFont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0" xfId="56" applyFont="1" applyAlignment="1">
      <alignment horizontal="left" wrapText="1"/>
      <protection/>
    </xf>
    <xf numFmtId="0" fontId="12" fillId="0" borderId="0" xfId="0" applyFont="1" applyAlignment="1">
      <alignment horizontal="left" wrapText="1"/>
    </xf>
    <xf numFmtId="0" fontId="12" fillId="0" borderId="0" xfId="56" applyFont="1" applyBorder="1" applyAlignment="1">
      <alignment horizontal="left" vertical="center"/>
      <protection/>
    </xf>
    <xf numFmtId="0" fontId="14" fillId="0" borderId="0" xfId="0" applyFont="1" applyAlignment="1">
      <alignment horizontal="left" wrapText="1"/>
    </xf>
    <xf numFmtId="0" fontId="12" fillId="0" borderId="0" xfId="56" applyFont="1" applyAlignment="1">
      <alignment horizontal="right"/>
      <protection/>
    </xf>
    <xf numFmtId="0" fontId="10" fillId="0" borderId="0" xfId="0" applyFont="1" applyAlignment="1">
      <alignment horizontal="left" wrapText="1"/>
    </xf>
    <xf numFmtId="0" fontId="6" fillId="0" borderId="0" xfId="56" applyFont="1" applyAlignment="1">
      <alignment horizontal="center"/>
      <protection/>
    </xf>
    <xf numFmtId="0" fontId="12" fillId="0" borderId="20" xfId="56" applyFont="1" applyBorder="1" applyAlignment="1">
      <alignment horizontal="center" vertical="center"/>
      <protection/>
    </xf>
    <xf numFmtId="0" fontId="12" fillId="0" borderId="52" xfId="56" applyFont="1" applyBorder="1" applyAlignment="1">
      <alignment horizontal="center" vertical="center"/>
      <protection/>
    </xf>
    <xf numFmtId="0" fontId="12" fillId="0" borderId="45" xfId="56" applyFont="1" applyBorder="1" applyAlignment="1">
      <alignment horizontal="center" vertical="center"/>
      <protection/>
    </xf>
    <xf numFmtId="0" fontId="12" fillId="0" borderId="27" xfId="56" applyFont="1" applyBorder="1" applyAlignment="1">
      <alignment horizontal="center" vertical="center"/>
      <protection/>
    </xf>
    <xf numFmtId="0" fontId="12" fillId="0" borderId="0" xfId="56" applyFont="1" applyBorder="1" applyAlignment="1">
      <alignment horizontal="center" vertical="center"/>
      <protection/>
    </xf>
    <xf numFmtId="0" fontId="12" fillId="0" borderId="50" xfId="56" applyFont="1" applyBorder="1" applyAlignment="1">
      <alignment horizontal="center" vertical="center"/>
      <protection/>
    </xf>
    <xf numFmtId="0" fontId="12" fillId="0" borderId="31" xfId="56" applyFont="1" applyBorder="1" applyAlignment="1">
      <alignment horizontal="center" vertical="center"/>
      <protection/>
    </xf>
    <xf numFmtId="0" fontId="12" fillId="0" borderId="44" xfId="56" applyFont="1" applyBorder="1" applyAlignment="1">
      <alignment horizontal="center" vertical="center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11" xfId="56" applyFont="1" applyBorder="1" applyAlignment="1">
      <alignment horizontal="center" vertical="center" wrapText="1"/>
      <protection/>
    </xf>
    <xf numFmtId="0" fontId="21" fillId="0" borderId="12" xfId="56" applyFont="1" applyBorder="1" applyAlignment="1">
      <alignment horizontal="center" vertical="center" wrapText="1"/>
      <protection/>
    </xf>
    <xf numFmtId="168" fontId="21" fillId="0" borderId="20" xfId="40" applyNumberFormat="1" applyFont="1" applyBorder="1" applyAlignment="1">
      <alignment horizontal="center"/>
    </xf>
    <xf numFmtId="168" fontId="21" fillId="0" borderId="52" xfId="40" applyNumberFormat="1" applyFont="1" applyBorder="1" applyAlignment="1">
      <alignment horizontal="center"/>
    </xf>
    <xf numFmtId="168" fontId="21" fillId="0" borderId="45" xfId="40" applyNumberFormat="1" applyFont="1" applyBorder="1" applyAlignment="1">
      <alignment horizontal="center"/>
    </xf>
    <xf numFmtId="168" fontId="21" fillId="0" borderId="27" xfId="40" applyNumberFormat="1" applyFont="1" applyBorder="1" applyAlignment="1">
      <alignment horizontal="center"/>
    </xf>
    <xf numFmtId="168" fontId="21" fillId="0" borderId="0" xfId="40" applyNumberFormat="1" applyFont="1" applyBorder="1" applyAlignment="1">
      <alignment horizontal="center"/>
    </xf>
    <xf numFmtId="168" fontId="21" fillId="0" borderId="50" xfId="40" applyNumberFormat="1" applyFont="1" applyBorder="1" applyAlignment="1">
      <alignment horizontal="center"/>
    </xf>
    <xf numFmtId="168" fontId="21" fillId="0" borderId="31" xfId="40" applyNumberFormat="1" applyFont="1" applyBorder="1" applyAlignment="1">
      <alignment horizontal="center"/>
    </xf>
    <xf numFmtId="168" fontId="21" fillId="0" borderId="44" xfId="40" applyNumberFormat="1" applyFont="1" applyBorder="1" applyAlignment="1">
      <alignment horizontal="center"/>
    </xf>
    <xf numFmtId="168" fontId="21" fillId="0" borderId="51" xfId="40" applyNumberFormat="1" applyFont="1" applyBorder="1" applyAlignment="1">
      <alignment horizontal="center"/>
    </xf>
    <xf numFmtId="168" fontId="21" fillId="0" borderId="49" xfId="40" applyNumberFormat="1" applyFont="1" applyBorder="1" applyAlignment="1">
      <alignment horizontal="center"/>
    </xf>
    <xf numFmtId="168" fontId="21" fillId="0" borderId="53" xfId="40" applyNumberFormat="1" applyFont="1" applyBorder="1" applyAlignment="1">
      <alignment horizontal="center"/>
    </xf>
    <xf numFmtId="0" fontId="7" fillId="0" borderId="0" xfId="56" applyFont="1" applyAlignment="1">
      <alignment horizontal="center"/>
      <protection/>
    </xf>
    <xf numFmtId="0" fontId="10" fillId="0" borderId="0" xfId="56" applyFont="1" applyAlignment="1">
      <alignment horizontal="center"/>
      <protection/>
    </xf>
    <xf numFmtId="0" fontId="10" fillId="0" borderId="0" xfId="56" applyFont="1" applyAlignment="1">
      <alignment horizontal="center" wrapText="1"/>
      <protection/>
    </xf>
    <xf numFmtId="0" fontId="10" fillId="0" borderId="0" xfId="59" applyFont="1" applyAlignment="1">
      <alignment horizontal="center"/>
      <protection/>
    </xf>
    <xf numFmtId="0" fontId="11" fillId="0" borderId="10" xfId="56" applyFont="1" applyBorder="1" applyAlignment="1">
      <alignment horizontal="center" vertical="center" wrapText="1"/>
      <protection/>
    </xf>
    <xf numFmtId="0" fontId="11" fillId="0" borderId="11" xfId="56" applyFont="1" applyBorder="1" applyAlignment="1">
      <alignment horizontal="center" vertical="center" wrapText="1"/>
      <protection/>
    </xf>
    <xf numFmtId="0" fontId="11" fillId="0" borderId="12" xfId="56" applyFont="1" applyBorder="1" applyAlignment="1">
      <alignment horizontal="center" vertical="center" wrapText="1"/>
      <protection/>
    </xf>
    <xf numFmtId="0" fontId="11" fillId="0" borderId="18" xfId="56" applyFont="1" applyBorder="1" applyAlignment="1">
      <alignment horizontal="center"/>
      <protection/>
    </xf>
    <xf numFmtId="0" fontId="11" fillId="0" borderId="49" xfId="56" applyFont="1" applyBorder="1" applyAlignment="1">
      <alignment horizontal="center"/>
      <protection/>
    </xf>
    <xf numFmtId="0" fontId="11" fillId="0" borderId="53" xfId="56" applyFont="1" applyBorder="1" applyAlignment="1">
      <alignment horizontal="center"/>
      <protection/>
    </xf>
    <xf numFmtId="44" fontId="11" fillId="0" borderId="18" xfId="61" applyFont="1" applyBorder="1" applyAlignment="1">
      <alignment horizontal="center"/>
    </xf>
    <xf numFmtId="44" fontId="11" fillId="0" borderId="49" xfId="61" applyFont="1" applyBorder="1" applyAlignment="1">
      <alignment horizontal="center"/>
    </xf>
    <xf numFmtId="44" fontId="11" fillId="0" borderId="53" xfId="61" applyFont="1" applyBorder="1" applyAlignment="1">
      <alignment horizontal="center"/>
    </xf>
    <xf numFmtId="0" fontId="11" fillId="0" borderId="10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2" xfId="58" applyFont="1" applyBorder="1" applyAlignment="1">
      <alignment horizontal="center" vertical="center" wrapText="1"/>
      <protection/>
    </xf>
    <xf numFmtId="0" fontId="19" fillId="0" borderId="10" xfId="56" applyFont="1" applyBorder="1" applyAlignment="1">
      <alignment horizontal="center" vertical="center" wrapText="1"/>
      <protection/>
    </xf>
    <xf numFmtId="0" fontId="19" fillId="0" borderId="27" xfId="56" applyFont="1" applyBorder="1" applyAlignment="1">
      <alignment horizontal="center" vertical="center" wrapText="1"/>
      <protection/>
    </xf>
    <xf numFmtId="0" fontId="19" fillId="0" borderId="31" xfId="56" applyFont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1" fillId="0" borderId="0" xfId="59" applyFont="1" applyAlignment="1">
      <alignment horizontal="right"/>
      <protection/>
    </xf>
    <xf numFmtId="0" fontId="19" fillId="0" borderId="11" xfId="56" applyFont="1" applyBorder="1" applyAlignment="1">
      <alignment horizontal="center" vertical="center" wrapText="1"/>
      <protection/>
    </xf>
    <xf numFmtId="0" fontId="19" fillId="0" borderId="12" xfId="56" applyFont="1" applyBorder="1" applyAlignment="1">
      <alignment horizontal="center" vertical="center" wrapText="1"/>
      <protection/>
    </xf>
    <xf numFmtId="0" fontId="7" fillId="0" borderId="18" xfId="56" applyFont="1" applyBorder="1" applyAlignment="1">
      <alignment horizontal="center"/>
      <protection/>
    </xf>
    <xf numFmtId="0" fontId="7" fillId="0" borderId="49" xfId="56" applyFont="1" applyBorder="1" applyAlignment="1">
      <alignment horizontal="center"/>
      <protection/>
    </xf>
    <xf numFmtId="0" fontId="7" fillId="0" borderId="53" xfId="56" applyFont="1" applyBorder="1" applyAlignment="1">
      <alignment horizontal="center"/>
      <protection/>
    </xf>
    <xf numFmtId="0" fontId="7" fillId="0" borderId="31" xfId="56" applyFont="1" applyBorder="1" applyAlignment="1">
      <alignment horizontal="center"/>
      <protection/>
    </xf>
    <xf numFmtId="0" fontId="7" fillId="0" borderId="44" xfId="56" applyFont="1" applyBorder="1" applyAlignment="1">
      <alignment horizontal="center"/>
      <protection/>
    </xf>
    <xf numFmtId="0" fontId="22" fillId="0" borderId="18" xfId="56" applyFont="1" applyBorder="1" applyAlignment="1">
      <alignment horizontal="center"/>
      <protection/>
    </xf>
    <xf numFmtId="0" fontId="22" fillId="0" borderId="53" xfId="56" applyFont="1" applyBorder="1" applyAlignment="1">
      <alignment horizontal="center"/>
      <protection/>
    </xf>
    <xf numFmtId="0" fontId="7" fillId="0" borderId="22" xfId="56" applyFont="1" applyBorder="1" applyAlignment="1">
      <alignment horizontal="center"/>
      <protection/>
    </xf>
    <xf numFmtId="0" fontId="7" fillId="0" borderId="14" xfId="56" applyFont="1" applyBorder="1" applyAlignment="1">
      <alignment horizontal="center"/>
      <protection/>
    </xf>
    <xf numFmtId="0" fontId="7" fillId="0" borderId="54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7" fillId="0" borderId="55" xfId="56" applyFont="1" applyBorder="1" applyAlignment="1">
      <alignment horizontal="center"/>
      <protection/>
    </xf>
    <xf numFmtId="0" fontId="7" fillId="0" borderId="56" xfId="56" applyFont="1" applyBorder="1" applyAlignment="1">
      <alignment horizontal="center"/>
      <protection/>
    </xf>
    <xf numFmtId="0" fontId="11" fillId="0" borderId="18" xfId="56" applyFont="1" applyBorder="1" applyAlignment="1">
      <alignment horizontal="center" wrapText="1"/>
      <protection/>
    </xf>
    <xf numFmtId="0" fontId="11" fillId="0" borderId="49" xfId="56" applyFont="1" applyBorder="1" applyAlignment="1">
      <alignment horizontal="center" wrapText="1"/>
      <protection/>
    </xf>
    <xf numFmtId="0" fontId="11" fillId="0" borderId="53" xfId="56" applyFont="1" applyBorder="1" applyAlignment="1">
      <alignment horizontal="center" wrapText="1"/>
      <protection/>
    </xf>
    <xf numFmtId="0" fontId="11" fillId="0" borderId="10" xfId="58" applyFont="1" applyBorder="1" applyAlignment="1">
      <alignment horizontal="center" vertical="center"/>
      <protection/>
    </xf>
    <xf numFmtId="0" fontId="11" fillId="0" borderId="11" xfId="58" applyFont="1" applyBorder="1" applyAlignment="1">
      <alignment horizontal="center" vertical="center"/>
      <protection/>
    </xf>
    <xf numFmtId="0" fontId="11" fillId="0" borderId="12" xfId="58" applyFont="1" applyBorder="1" applyAlignment="1">
      <alignment horizontal="center" vertical="center"/>
      <protection/>
    </xf>
    <xf numFmtId="0" fontId="11" fillId="0" borderId="10" xfId="56" applyFont="1" applyBorder="1" applyAlignment="1">
      <alignment horizontal="center" vertical="center"/>
      <protection/>
    </xf>
    <xf numFmtId="0" fontId="11" fillId="0" borderId="11" xfId="56" applyFont="1" applyBorder="1" applyAlignment="1">
      <alignment horizontal="center" vertical="center"/>
      <protection/>
    </xf>
    <xf numFmtId="0" fontId="11" fillId="0" borderId="12" xfId="56" applyFont="1" applyBorder="1" applyAlignment="1">
      <alignment horizontal="center" vertical="center"/>
      <protection/>
    </xf>
    <xf numFmtId="0" fontId="4" fillId="0" borderId="0" xfId="0" applyFont="1" applyAlignment="1">
      <alignment horizontal="right"/>
    </xf>
    <xf numFmtId="0" fontId="6" fillId="0" borderId="0" xfId="56" applyFont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25" fillId="0" borderId="0" xfId="56" applyFont="1" applyBorder="1" applyAlignment="1">
      <alignment horizontal="center"/>
      <protection/>
    </xf>
    <xf numFmtId="0" fontId="5" fillId="0" borderId="0" xfId="56" applyFont="1" applyBorder="1" applyAlignment="1">
      <alignment horizontal="center"/>
      <protection/>
    </xf>
    <xf numFmtId="0" fontId="12" fillId="0" borderId="10" xfId="57" applyFont="1" applyBorder="1" applyAlignment="1">
      <alignment horizontal="center" vertical="center"/>
      <protection/>
    </xf>
    <xf numFmtId="0" fontId="12" fillId="0" borderId="11" xfId="57" applyFont="1" applyBorder="1" applyAlignment="1">
      <alignment horizontal="center" vertical="center"/>
      <protection/>
    </xf>
    <xf numFmtId="0" fontId="12" fillId="0" borderId="12" xfId="57" applyFont="1" applyBorder="1" applyAlignment="1">
      <alignment horizontal="center" vertical="center"/>
      <protection/>
    </xf>
    <xf numFmtId="0" fontId="7" fillId="0" borderId="0" xfId="56" applyFont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5" fillId="0" borderId="52" xfId="56" applyFont="1" applyBorder="1" applyAlignment="1">
      <alignment horizontal="center"/>
      <protection/>
    </xf>
    <xf numFmtId="168" fontId="12" fillId="0" borderId="0" xfId="40" applyNumberFormat="1" applyFont="1" applyAlignment="1">
      <alignment horizontal="right"/>
    </xf>
    <xf numFmtId="0" fontId="7" fillId="0" borderId="0" xfId="58" applyFont="1" applyAlignment="1">
      <alignment horizont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TGV99" xfId="56"/>
    <cellStyle name="Normál_mérleg" xfId="57"/>
    <cellStyle name="Normál_PHKV99" xfId="58"/>
    <cellStyle name="Normál_SIKONC99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8:U63"/>
  <sheetViews>
    <sheetView zoomScalePageLayoutView="0" workbookViewId="0" topLeftCell="H22">
      <selection activeCell="K50" sqref="K50"/>
    </sheetView>
  </sheetViews>
  <sheetFormatPr defaultColWidth="9.00390625" defaultRowHeight="12.75"/>
  <cols>
    <col min="1" max="1" width="12.125" style="1" customWidth="1"/>
    <col min="2" max="2" width="11.25390625" style="1" bestFit="1" customWidth="1"/>
    <col min="3" max="13" width="9.125" style="1" customWidth="1"/>
    <col min="14" max="14" width="10.75390625" style="1" customWidth="1"/>
    <col min="15" max="16384" width="9.125" style="1" customWidth="1"/>
  </cols>
  <sheetData>
    <row r="38" spans="2:10" ht="27.75">
      <c r="B38" s="2"/>
      <c r="C38" s="3"/>
      <c r="D38" s="3"/>
      <c r="E38" s="3"/>
      <c r="F38" s="3"/>
      <c r="G38" s="3"/>
      <c r="H38" s="3"/>
      <c r="I38" s="3"/>
      <c r="J38" s="2"/>
    </row>
    <row r="39" spans="9:21" ht="27.75">
      <c r="I39" s="28"/>
      <c r="J39" s="2"/>
      <c r="N39" s="295" t="s">
        <v>3</v>
      </c>
      <c r="O39" s="295"/>
      <c r="P39" s="295"/>
      <c r="Q39" s="295"/>
      <c r="R39" s="295"/>
      <c r="S39" s="295"/>
      <c r="T39" s="295"/>
      <c r="U39" s="295"/>
    </row>
    <row r="40" spans="9:21" ht="2.25" customHeight="1">
      <c r="I40" s="3"/>
      <c r="J40" s="2"/>
      <c r="O40" s="2"/>
      <c r="P40" s="3"/>
      <c r="Q40" s="3"/>
      <c r="R40" s="3"/>
      <c r="S40" s="3"/>
      <c r="T40" s="3"/>
      <c r="U40" s="3"/>
    </row>
    <row r="41" spans="9:21" ht="27.75">
      <c r="I41" s="23"/>
      <c r="J41" s="2"/>
      <c r="N41" s="295" t="s">
        <v>60</v>
      </c>
      <c r="O41" s="295"/>
      <c r="P41" s="295"/>
      <c r="Q41" s="295"/>
      <c r="R41" s="295"/>
      <c r="S41" s="295"/>
      <c r="T41" s="295"/>
      <c r="U41" s="295"/>
    </row>
    <row r="42" spans="9:21" ht="12.75" customHeight="1" hidden="1">
      <c r="I42" s="3"/>
      <c r="J42" s="2"/>
      <c r="O42" s="2"/>
      <c r="P42" s="3"/>
      <c r="Q42" s="3"/>
      <c r="R42" s="3"/>
      <c r="S42" s="3"/>
      <c r="T42" s="3"/>
      <c r="U42" s="3"/>
    </row>
    <row r="43" spans="9:21" ht="27.75">
      <c r="I43" s="23"/>
      <c r="J43" s="2"/>
      <c r="N43" s="295" t="s">
        <v>342</v>
      </c>
      <c r="O43" s="295"/>
      <c r="P43" s="295"/>
      <c r="Q43" s="295"/>
      <c r="R43" s="295"/>
      <c r="S43" s="295"/>
      <c r="T43" s="295"/>
      <c r="U43" s="295"/>
    </row>
    <row r="44" spans="9:21" ht="27.75">
      <c r="I44" s="23"/>
      <c r="J44" s="2"/>
      <c r="N44" s="295" t="s">
        <v>409</v>
      </c>
      <c r="O44" s="295"/>
      <c r="P44" s="295"/>
      <c r="Q44" s="295"/>
      <c r="R44" s="295"/>
      <c r="S44" s="295"/>
      <c r="T44" s="295"/>
      <c r="U44" s="295"/>
    </row>
    <row r="45" spans="2:10" ht="27.75">
      <c r="B45" s="2"/>
      <c r="C45" s="3"/>
      <c r="D45" s="3"/>
      <c r="E45" s="3"/>
      <c r="F45" s="3"/>
      <c r="G45" s="3"/>
      <c r="H45" s="3"/>
      <c r="I45" s="3"/>
      <c r="J45" s="2"/>
    </row>
    <row r="46" spans="2:15" ht="27.75">
      <c r="B46" s="2"/>
      <c r="C46" s="2"/>
      <c r="D46" s="2"/>
      <c r="E46" s="2"/>
      <c r="F46" s="2"/>
      <c r="G46" s="2"/>
      <c r="H46" s="2"/>
      <c r="I46" s="2"/>
      <c r="J46" s="2"/>
      <c r="N46" s="227"/>
      <c r="O46" s="98"/>
    </row>
    <row r="47" spans="1:10" ht="27.75">
      <c r="A47" s="29"/>
      <c r="B47" s="30"/>
      <c r="C47" s="2"/>
      <c r="D47" s="2"/>
      <c r="E47" s="2"/>
      <c r="F47" s="2"/>
      <c r="G47" s="2"/>
      <c r="H47" s="2"/>
      <c r="I47" s="2"/>
      <c r="J47" s="2"/>
    </row>
    <row r="48" spans="2:10" ht="27.75">
      <c r="B48" s="2"/>
      <c r="C48" s="2"/>
      <c r="D48" s="2"/>
      <c r="E48" s="2"/>
      <c r="F48" s="2"/>
      <c r="G48" s="2"/>
      <c r="H48" s="2"/>
      <c r="I48" s="2"/>
      <c r="J48" s="2"/>
    </row>
    <row r="49" spans="2:10" ht="27.75">
      <c r="B49" s="2"/>
      <c r="C49" s="2"/>
      <c r="D49" s="2"/>
      <c r="E49" s="2"/>
      <c r="F49" s="2"/>
      <c r="G49" s="2"/>
      <c r="H49" s="2"/>
      <c r="I49" s="2"/>
      <c r="J49" s="2"/>
    </row>
    <row r="50" spans="2:10" ht="27.75">
      <c r="B50" s="2"/>
      <c r="C50" s="2"/>
      <c r="D50" s="2"/>
      <c r="E50" s="2"/>
      <c r="F50" s="2"/>
      <c r="G50" s="2"/>
      <c r="H50" s="2"/>
      <c r="I50" s="2"/>
      <c r="J50" s="2"/>
    </row>
    <row r="51" spans="2:10" ht="27.75">
      <c r="B51" s="2"/>
      <c r="C51" s="2"/>
      <c r="D51" s="2"/>
      <c r="E51" s="2"/>
      <c r="F51" s="2"/>
      <c r="G51" s="2"/>
      <c r="H51" s="2"/>
      <c r="I51" s="2"/>
      <c r="J51" s="2"/>
    </row>
    <row r="52" spans="2:10" ht="27.75">
      <c r="B52" s="2"/>
      <c r="C52" s="2"/>
      <c r="D52" s="2"/>
      <c r="E52" s="2"/>
      <c r="F52" s="2"/>
      <c r="G52" s="2"/>
      <c r="H52" s="2"/>
      <c r="I52" s="2"/>
      <c r="J52" s="2"/>
    </row>
    <row r="53" spans="2:10" ht="27.75">
      <c r="B53" s="2"/>
      <c r="C53" s="2"/>
      <c r="D53" s="2"/>
      <c r="E53" s="2"/>
      <c r="F53" s="2"/>
      <c r="G53" s="2"/>
      <c r="H53" s="2"/>
      <c r="I53" s="2"/>
      <c r="J53" s="2"/>
    </row>
    <row r="54" spans="2:10" ht="27.75">
      <c r="B54" s="2"/>
      <c r="C54" s="2"/>
      <c r="D54" s="2"/>
      <c r="E54" s="2"/>
      <c r="F54" s="2"/>
      <c r="G54" s="2"/>
      <c r="H54" s="2"/>
      <c r="I54" s="2"/>
      <c r="J54" s="2"/>
    </row>
    <row r="55" spans="2:10" ht="27.75">
      <c r="B55" s="2"/>
      <c r="C55" s="2"/>
      <c r="D55" s="2"/>
      <c r="E55" s="2"/>
      <c r="F55" s="2"/>
      <c r="G55" s="2"/>
      <c r="H55" s="2"/>
      <c r="I55" s="2"/>
      <c r="J55" s="2"/>
    </row>
    <row r="56" spans="2:10" ht="27.75">
      <c r="B56" s="2"/>
      <c r="C56" s="2"/>
      <c r="D56" s="2"/>
      <c r="E56" s="2"/>
      <c r="F56" s="2"/>
      <c r="G56" s="2"/>
      <c r="H56" s="2"/>
      <c r="I56" s="2"/>
      <c r="J56" s="2"/>
    </row>
    <row r="57" spans="2:10" ht="27.75">
      <c r="B57" s="2"/>
      <c r="C57" s="2"/>
      <c r="D57" s="2"/>
      <c r="E57" s="2"/>
      <c r="F57" s="2"/>
      <c r="G57" s="2"/>
      <c r="H57" s="2"/>
      <c r="I57" s="2"/>
      <c r="J57" s="2"/>
    </row>
    <row r="58" spans="2:10" ht="27.75">
      <c r="B58" s="2"/>
      <c r="C58" s="2"/>
      <c r="D58" s="2"/>
      <c r="E58" s="2"/>
      <c r="F58" s="2"/>
      <c r="G58" s="2"/>
      <c r="H58" s="2"/>
      <c r="I58" s="2"/>
      <c r="J58" s="2"/>
    </row>
    <row r="59" spans="2:10" ht="27.75">
      <c r="B59" s="2"/>
      <c r="C59" s="2"/>
      <c r="D59" s="2"/>
      <c r="E59" s="2"/>
      <c r="F59" s="2"/>
      <c r="G59" s="2"/>
      <c r="H59" s="2"/>
      <c r="I59" s="2"/>
      <c r="J59" s="2"/>
    </row>
    <row r="60" spans="2:10" ht="27.75">
      <c r="B60" s="2"/>
      <c r="C60" s="2"/>
      <c r="D60" s="2"/>
      <c r="E60" s="2"/>
      <c r="F60" s="2"/>
      <c r="G60" s="2"/>
      <c r="H60" s="2"/>
      <c r="I60" s="2"/>
      <c r="J60" s="2"/>
    </row>
    <row r="61" spans="2:10" ht="27.75">
      <c r="B61" s="2"/>
      <c r="C61" s="2"/>
      <c r="D61" s="2"/>
      <c r="E61" s="2"/>
      <c r="F61" s="2"/>
      <c r="G61" s="2"/>
      <c r="H61" s="2"/>
      <c r="I61" s="2"/>
      <c r="J61" s="2"/>
    </row>
    <row r="62" spans="2:10" ht="27.75">
      <c r="B62" s="2"/>
      <c r="C62" s="2"/>
      <c r="D62" s="2"/>
      <c r="E62" s="2"/>
      <c r="F62" s="2"/>
      <c r="G62" s="2"/>
      <c r="H62" s="2"/>
      <c r="I62" s="2"/>
      <c r="J62" s="2"/>
    </row>
    <row r="63" spans="2:10" ht="27.75">
      <c r="B63" s="2"/>
      <c r="C63" s="2"/>
      <c r="D63" s="2"/>
      <c r="E63" s="2"/>
      <c r="F63" s="2"/>
      <c r="G63" s="2"/>
      <c r="H63" s="2"/>
      <c r="I63" s="2"/>
      <c r="J63" s="2"/>
    </row>
  </sheetData>
  <sheetProtection password="DB7F" sheet="1" selectLockedCells="1" selectUnlockedCells="1"/>
  <mergeCells count="4">
    <mergeCell ref="N39:U39"/>
    <mergeCell ref="N41:U41"/>
    <mergeCell ref="N43:U43"/>
    <mergeCell ref="N44:U4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7" sqref="A7:B7"/>
    </sheetView>
  </sheetViews>
  <sheetFormatPr defaultColWidth="9.00390625" defaultRowHeight="12.75"/>
  <cols>
    <col min="1" max="1" width="75.75390625" style="233" customWidth="1"/>
    <col min="2" max="2" width="20.00390625" style="233" customWidth="1"/>
    <col min="3" max="16384" width="9.125" style="233" customWidth="1"/>
  </cols>
  <sheetData>
    <row r="1" spans="1:5" s="232" customFormat="1" ht="15.75">
      <c r="A1" s="392" t="s">
        <v>418</v>
      </c>
      <c r="B1" s="392"/>
      <c r="C1" s="118"/>
      <c r="D1" s="118"/>
      <c r="E1" s="118"/>
    </row>
    <row r="3" spans="1:2" ht="15.75">
      <c r="A3" s="297" t="s">
        <v>366</v>
      </c>
      <c r="B3" s="297"/>
    </row>
    <row r="4" spans="1:3" s="235" customFormat="1" ht="15.75" customHeight="1">
      <c r="A4" s="393"/>
      <c r="B4" s="393"/>
      <c r="C4" s="234"/>
    </row>
    <row r="5" spans="1:2" ht="15.75">
      <c r="A5" s="236"/>
      <c r="B5" s="236"/>
    </row>
    <row r="6" spans="1:2" s="238" customFormat="1" ht="18.75">
      <c r="A6" s="237" t="s">
        <v>362</v>
      </c>
      <c r="B6" s="237"/>
    </row>
    <row r="7" spans="1:2" s="238" customFormat="1" ht="18.75">
      <c r="A7" s="382" t="s">
        <v>367</v>
      </c>
      <c r="B7" s="382"/>
    </row>
    <row r="8" spans="1:2" s="238" customFormat="1" ht="18.75">
      <c r="A8" s="382" t="s">
        <v>48</v>
      </c>
      <c r="B8" s="382"/>
    </row>
    <row r="9" ht="16.5" thickBot="1"/>
    <row r="10" spans="1:2" ht="15.75">
      <c r="A10" s="239"/>
      <c r="B10" s="240" t="s">
        <v>8</v>
      </c>
    </row>
    <row r="11" spans="1:2" ht="15.75">
      <c r="A11" s="241" t="s">
        <v>363</v>
      </c>
      <c r="B11" s="241"/>
    </row>
    <row r="12" spans="1:2" ht="16.5" thickBot="1">
      <c r="A12" s="242"/>
      <c r="B12" s="243" t="s">
        <v>364</v>
      </c>
    </row>
    <row r="13" spans="1:2" ht="15.75">
      <c r="A13" s="244"/>
      <c r="B13" s="245"/>
    </row>
    <row r="14" spans="1:2" ht="15.75">
      <c r="A14" s="246" t="s">
        <v>368</v>
      </c>
      <c r="B14" s="247"/>
    </row>
    <row r="15" spans="1:2" ht="13.5" customHeight="1">
      <c r="A15" s="244"/>
      <c r="B15" s="248"/>
    </row>
    <row r="16" spans="1:6" ht="43.5" customHeight="1">
      <c r="A16" s="249" t="s">
        <v>401</v>
      </c>
      <c r="B16" s="250">
        <v>7874</v>
      </c>
      <c r="C16" s="251"/>
      <c r="D16" s="251"/>
      <c r="E16" s="251"/>
      <c r="F16" s="251"/>
    </row>
    <row r="17" spans="1:2" ht="18">
      <c r="A17" s="252" t="s">
        <v>365</v>
      </c>
      <c r="B17" s="253">
        <v>2126</v>
      </c>
    </row>
    <row r="18" spans="1:2" ht="15.75">
      <c r="A18" s="244" t="s">
        <v>1</v>
      </c>
      <c r="B18" s="254">
        <f>SUM(B15:B17)</f>
        <v>10000</v>
      </c>
    </row>
    <row r="20" spans="1:2" ht="47.25">
      <c r="A20" s="249" t="s">
        <v>402</v>
      </c>
      <c r="B20" s="254">
        <v>100</v>
      </c>
    </row>
    <row r="21" spans="1:2" ht="13.5" customHeight="1">
      <c r="A21" s="244"/>
      <c r="B21" s="245"/>
    </row>
    <row r="22" spans="1:2" ht="15.75">
      <c r="A22" s="246" t="s">
        <v>407</v>
      </c>
      <c r="B22" s="247"/>
    </row>
    <row r="23" spans="1:2" ht="13.5" customHeight="1">
      <c r="A23" s="244"/>
      <c r="B23" s="248"/>
    </row>
    <row r="24" spans="1:6" ht="15.75">
      <c r="A24" s="249" t="s">
        <v>408</v>
      </c>
      <c r="B24" s="55">
        <v>45</v>
      </c>
      <c r="C24" s="251"/>
      <c r="D24" s="251"/>
      <c r="E24" s="251"/>
      <c r="F24" s="251"/>
    </row>
    <row r="25" spans="1:2" ht="13.5" customHeight="1">
      <c r="A25" s="244"/>
      <c r="B25" s="245"/>
    </row>
    <row r="26" spans="1:2" ht="15.75">
      <c r="A26" s="244" t="s">
        <v>369</v>
      </c>
      <c r="B26" s="254">
        <f>B18+B20+B24</f>
        <v>10145</v>
      </c>
    </row>
  </sheetData>
  <sheetProtection password="DB7F" sheet="1" selectLockedCells="1" selectUnlockedCells="1"/>
  <mergeCells count="5">
    <mergeCell ref="A8:B8"/>
    <mergeCell ref="A1:B1"/>
    <mergeCell ref="A3:B3"/>
    <mergeCell ref="A4:B4"/>
    <mergeCell ref="A7:B7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75.25390625" style="4" customWidth="1"/>
    <col min="2" max="2" width="13.375" style="24" customWidth="1"/>
    <col min="3" max="3" width="4.875" style="4" customWidth="1"/>
    <col min="4" max="4" width="14.25390625" style="20" bestFit="1" customWidth="1"/>
    <col min="5" max="5" width="5.25390625" style="4" customWidth="1"/>
    <col min="6" max="6" width="9.125" style="4" customWidth="1"/>
    <col min="7" max="7" width="14.25390625" style="4" bestFit="1" customWidth="1"/>
    <col min="8" max="16384" width="9.125" style="4" customWidth="1"/>
  </cols>
  <sheetData>
    <row r="1" spans="1:5" ht="15">
      <c r="A1" s="296" t="s">
        <v>410</v>
      </c>
      <c r="B1" s="296"/>
      <c r="C1" s="296"/>
      <c r="D1" s="296"/>
      <c r="E1" s="296"/>
    </row>
    <row r="2" spans="1:5" ht="15">
      <c r="A2" s="297" t="s">
        <v>346</v>
      </c>
      <c r="B2" s="297"/>
      <c r="C2" s="297"/>
      <c r="D2" s="297"/>
      <c r="E2" s="297"/>
    </row>
    <row r="3" spans="1:5" ht="15">
      <c r="A3" s="48"/>
      <c r="B3" s="48"/>
      <c r="C3" s="48"/>
      <c r="D3" s="97"/>
      <c r="E3" s="48"/>
    </row>
    <row r="4" spans="1:5" s="21" customFormat="1" ht="15.75">
      <c r="A4" s="300"/>
      <c r="B4" s="300"/>
      <c r="C4" s="300"/>
      <c r="D4" s="300"/>
      <c r="E4" s="300"/>
    </row>
    <row r="5" spans="1:5" s="21" customFormat="1" ht="15.75">
      <c r="A5" s="299" t="s">
        <v>26</v>
      </c>
      <c r="B5" s="299"/>
      <c r="C5" s="299"/>
      <c r="D5" s="299"/>
      <c r="E5" s="299"/>
    </row>
    <row r="6" spans="1:5" ht="15.75">
      <c r="A6" s="299" t="s">
        <v>226</v>
      </c>
      <c r="B6" s="299"/>
      <c r="C6" s="299"/>
      <c r="D6" s="299"/>
      <c r="E6" s="299"/>
    </row>
    <row r="7" spans="1:5" ht="12.75" customHeight="1">
      <c r="A7" s="298" t="s">
        <v>58</v>
      </c>
      <c r="B7" s="298"/>
      <c r="C7" s="298"/>
      <c r="D7" s="298"/>
      <c r="E7" s="298"/>
    </row>
    <row r="8" spans="1:5" s="1" customFormat="1" ht="15">
      <c r="A8" s="4"/>
      <c r="B8" s="24"/>
      <c r="C8" s="4"/>
      <c r="D8" s="20"/>
      <c r="E8" s="4"/>
    </row>
    <row r="9" spans="1:4" s="1" customFormat="1" ht="18.75">
      <c r="A9" s="49" t="s">
        <v>70</v>
      </c>
      <c r="B9" s="25"/>
      <c r="D9" s="98"/>
    </row>
    <row r="10" spans="1:5" ht="15.75">
      <c r="A10" s="7" t="s">
        <v>71</v>
      </c>
      <c r="B10" s="25"/>
      <c r="C10" s="1"/>
      <c r="D10" s="96">
        <f>B11+B12</f>
        <v>33484</v>
      </c>
      <c r="E10" s="1" t="s">
        <v>5</v>
      </c>
    </row>
    <row r="11" spans="1:7" ht="15.75">
      <c r="A11" s="50" t="s">
        <v>72</v>
      </c>
      <c r="B11" s="24">
        <f>bevétel!H68</f>
        <v>24778</v>
      </c>
      <c r="C11" s="4" t="s">
        <v>5</v>
      </c>
      <c r="G11" s="43"/>
    </row>
    <row r="12" spans="1:5" s="1" customFormat="1" ht="15.75" customHeight="1">
      <c r="A12" s="50" t="s">
        <v>73</v>
      </c>
      <c r="B12" s="24">
        <f>bevétel!H74</f>
        <v>8706</v>
      </c>
      <c r="C12" s="4" t="s">
        <v>5</v>
      </c>
      <c r="D12" s="20"/>
      <c r="E12" s="4"/>
    </row>
    <row r="13" spans="1:4" s="1" customFormat="1" ht="15.75">
      <c r="A13" s="7"/>
      <c r="B13" s="25"/>
      <c r="D13" s="96"/>
    </row>
    <row r="14" spans="1:5" s="1" customFormat="1" ht="15.75">
      <c r="A14" s="7" t="s">
        <v>74</v>
      </c>
      <c r="B14" s="25"/>
      <c r="D14" s="96">
        <f>bevétel!H92</f>
        <v>26949</v>
      </c>
      <c r="E14" s="1" t="s">
        <v>5</v>
      </c>
    </row>
    <row r="15" spans="1:4" s="1" customFormat="1" ht="15.75">
      <c r="A15" s="7"/>
      <c r="B15" s="25"/>
      <c r="D15" s="96"/>
    </row>
    <row r="16" spans="1:5" s="1" customFormat="1" ht="15.75">
      <c r="A16" s="7" t="s">
        <v>75</v>
      </c>
      <c r="B16" s="25"/>
      <c r="D16" s="96">
        <f>bevétel!H111</f>
        <v>8797</v>
      </c>
      <c r="E16" s="1" t="s">
        <v>5</v>
      </c>
    </row>
    <row r="17" spans="1:7" s="1" customFormat="1" ht="15.75">
      <c r="A17" s="7"/>
      <c r="B17" s="25"/>
      <c r="D17" s="96"/>
      <c r="G17" s="44"/>
    </row>
    <row r="18" spans="1:5" s="1" customFormat="1" ht="15.75">
      <c r="A18" s="7" t="s">
        <v>41</v>
      </c>
      <c r="B18" s="25"/>
      <c r="D18" s="96">
        <f>bevétel!H140</f>
        <v>10094</v>
      </c>
      <c r="E18" s="1" t="s">
        <v>5</v>
      </c>
    </row>
    <row r="19" spans="1:4" s="1" customFormat="1" ht="15.75">
      <c r="A19" s="10"/>
      <c r="B19" s="26"/>
      <c r="D19" s="96"/>
    </row>
    <row r="20" spans="1:5" s="1" customFormat="1" ht="15.75">
      <c r="A20" s="7" t="s">
        <v>76</v>
      </c>
      <c r="B20" s="25"/>
      <c r="D20" s="96">
        <f>bevétel!H146</f>
        <v>2685</v>
      </c>
      <c r="E20" s="1" t="s">
        <v>5</v>
      </c>
    </row>
    <row r="21" spans="1:4" s="1" customFormat="1" ht="15.75">
      <c r="A21" s="10"/>
      <c r="B21" s="25"/>
      <c r="D21" s="96"/>
    </row>
    <row r="22" spans="1:5" s="1" customFormat="1" ht="15.75">
      <c r="A22" s="7" t="s">
        <v>77</v>
      </c>
      <c r="D22" s="96">
        <f>B23+B24</f>
        <v>100</v>
      </c>
      <c r="E22" s="1" t="s">
        <v>5</v>
      </c>
    </row>
    <row r="23" spans="1:7" s="6" customFormat="1" ht="32.25">
      <c r="A23" s="50" t="s">
        <v>78</v>
      </c>
      <c r="B23" s="26">
        <f>bevétel!H150</f>
        <v>100</v>
      </c>
      <c r="C23" s="1" t="s">
        <v>5</v>
      </c>
      <c r="D23" s="96"/>
      <c r="E23" s="1"/>
      <c r="F23" s="1"/>
      <c r="G23" s="45"/>
    </row>
    <row r="24" spans="1:7" ht="18.75">
      <c r="A24" s="21" t="s">
        <v>79</v>
      </c>
      <c r="B24" s="25">
        <v>0</v>
      </c>
      <c r="C24" s="1" t="s">
        <v>5</v>
      </c>
      <c r="D24" s="96"/>
      <c r="E24" s="1"/>
      <c r="F24" s="6"/>
      <c r="G24" s="46"/>
    </row>
    <row r="25" spans="1:7" s="1" customFormat="1" ht="18.75">
      <c r="A25" s="33"/>
      <c r="B25" s="24"/>
      <c r="C25" s="4"/>
      <c r="D25" s="99"/>
      <c r="E25" s="6"/>
      <c r="G25" s="47"/>
    </row>
    <row r="26" spans="1:5" s="1" customFormat="1" ht="15.75">
      <c r="A26" s="7" t="s">
        <v>80</v>
      </c>
      <c r="B26" s="25"/>
      <c r="D26" s="96">
        <f>B27+B28</f>
        <v>21571</v>
      </c>
      <c r="E26" s="1" t="s">
        <v>5</v>
      </c>
    </row>
    <row r="27" spans="1:4" s="1" customFormat="1" ht="31.5">
      <c r="A27" s="50" t="s">
        <v>81</v>
      </c>
      <c r="B27" s="25">
        <f>bevétel!H158+bevétel!H159</f>
        <v>19953</v>
      </c>
      <c r="C27" s="1" t="s">
        <v>5</v>
      </c>
      <c r="D27" s="96"/>
    </row>
    <row r="28" spans="1:4" s="1" customFormat="1" ht="15.75">
      <c r="A28" s="21" t="s">
        <v>82</v>
      </c>
      <c r="B28" s="25">
        <f>bevétel!H163+bevétel!H161</f>
        <v>1618</v>
      </c>
      <c r="C28" s="1" t="s">
        <v>5</v>
      </c>
      <c r="D28" s="96"/>
    </row>
    <row r="29" spans="1:4" s="1" customFormat="1" ht="15.75">
      <c r="A29" s="33"/>
      <c r="D29" s="98"/>
    </row>
    <row r="30" spans="1:5" s="1" customFormat="1" ht="15.75">
      <c r="A30" s="7" t="s">
        <v>31</v>
      </c>
      <c r="D30" s="100">
        <f>SUM(D10:D29)</f>
        <v>103680</v>
      </c>
      <c r="E30" s="1" t="s">
        <v>5</v>
      </c>
    </row>
    <row r="31" spans="1:4" s="1" customFormat="1" ht="15.75">
      <c r="A31" s="21"/>
      <c r="D31" s="98"/>
    </row>
    <row r="32" spans="1:4" s="1" customFormat="1" ht="18.75">
      <c r="A32" s="49" t="s">
        <v>83</v>
      </c>
      <c r="D32" s="98"/>
    </row>
    <row r="33" spans="1:5" s="1" customFormat="1" ht="15.75">
      <c r="A33" s="11" t="s">
        <v>10</v>
      </c>
      <c r="B33" s="25"/>
      <c r="D33" s="96">
        <f>B35+B36+B37+B38+B39</f>
        <v>58574</v>
      </c>
      <c r="E33" s="1" t="s">
        <v>5</v>
      </c>
    </row>
    <row r="34" spans="1:4" s="1" customFormat="1" ht="15.75">
      <c r="A34" s="10" t="s">
        <v>9</v>
      </c>
      <c r="B34" s="25"/>
      <c r="D34" s="96"/>
    </row>
    <row r="35" spans="1:4" s="1" customFormat="1" ht="15.75">
      <c r="A35" s="21" t="s">
        <v>84</v>
      </c>
      <c r="B35" s="25">
        <f>'kiad.szakf.'!D46</f>
        <v>12779</v>
      </c>
      <c r="C35" s="1" t="s">
        <v>5</v>
      </c>
      <c r="D35" s="96"/>
    </row>
    <row r="36" spans="1:4" s="1" customFormat="1" ht="15.75">
      <c r="A36" s="21" t="s">
        <v>85</v>
      </c>
      <c r="B36" s="25">
        <f>'kiad.szakf.'!E46</f>
        <v>3529</v>
      </c>
      <c r="C36" s="1" t="s">
        <v>5</v>
      </c>
      <c r="D36" s="96"/>
    </row>
    <row r="37" spans="1:4" s="1" customFormat="1" ht="15.75">
      <c r="A37" s="21" t="s">
        <v>86</v>
      </c>
      <c r="B37" s="25">
        <f>'kiad.szakf.'!F46</f>
        <v>31529</v>
      </c>
      <c r="C37" s="1" t="s">
        <v>5</v>
      </c>
      <c r="D37" s="96"/>
    </row>
    <row r="38" spans="1:4" s="1" customFormat="1" ht="15.75">
      <c r="A38" s="51" t="s">
        <v>227</v>
      </c>
      <c r="B38" s="25">
        <f>'kiad.szakf.'!G46</f>
        <v>2722</v>
      </c>
      <c r="C38" s="1" t="s">
        <v>5</v>
      </c>
      <c r="D38" s="96"/>
    </row>
    <row r="39" spans="1:4" s="1" customFormat="1" ht="15.75">
      <c r="A39" s="21" t="s">
        <v>62</v>
      </c>
      <c r="B39" s="25">
        <f>'kiad.szakf.'!H46</f>
        <v>8015</v>
      </c>
      <c r="C39" s="1" t="s">
        <v>5</v>
      </c>
      <c r="D39" s="96"/>
    </row>
    <row r="40" spans="1:4" s="1" customFormat="1" ht="15.75">
      <c r="A40" s="21"/>
      <c r="B40" s="26"/>
      <c r="D40" s="96"/>
    </row>
    <row r="41" spans="1:5" s="1" customFormat="1" ht="15.75">
      <c r="A41" s="11" t="s">
        <v>11</v>
      </c>
      <c r="B41" s="25"/>
      <c r="D41" s="101">
        <f>B43+B44+B45</f>
        <v>79174</v>
      </c>
      <c r="E41" s="1" t="s">
        <v>5</v>
      </c>
    </row>
    <row r="42" spans="1:4" s="1" customFormat="1" ht="15.75">
      <c r="A42" s="10" t="s">
        <v>9</v>
      </c>
      <c r="B42" s="25"/>
      <c r="D42" s="96"/>
    </row>
    <row r="43" spans="1:4" s="1" customFormat="1" ht="15.75">
      <c r="A43" s="21" t="s">
        <v>87</v>
      </c>
      <c r="B43" s="26">
        <f>'kiad.szakf.'!J46</f>
        <v>18449</v>
      </c>
      <c r="C43" s="1" t="s">
        <v>5</v>
      </c>
      <c r="D43" s="96"/>
    </row>
    <row r="44" spans="1:4" s="1" customFormat="1" ht="15.75">
      <c r="A44" s="21" t="s">
        <v>88</v>
      </c>
      <c r="B44" s="26">
        <f>'kiad.szakf.'!K46</f>
        <v>10145</v>
      </c>
      <c r="C44" s="1" t="s">
        <v>5</v>
      </c>
      <c r="D44" s="96"/>
    </row>
    <row r="45" spans="1:6" ht="15.75">
      <c r="A45" s="21" t="s">
        <v>63</v>
      </c>
      <c r="B45" s="26">
        <f>20000+600-20+30000</f>
        <v>50580</v>
      </c>
      <c r="C45" s="1" t="s">
        <v>5</v>
      </c>
      <c r="D45" s="96"/>
      <c r="E45" s="1"/>
      <c r="F45" s="1"/>
    </row>
    <row r="46" spans="1:4" s="1" customFormat="1" ht="15.75">
      <c r="A46" s="21"/>
      <c r="B46" s="26"/>
      <c r="D46" s="96"/>
    </row>
    <row r="47" spans="1:5" s="1" customFormat="1" ht="15.75">
      <c r="A47" s="21" t="s">
        <v>89</v>
      </c>
      <c r="B47" s="26"/>
      <c r="D47" s="96"/>
      <c r="E47" s="1" t="s">
        <v>5</v>
      </c>
    </row>
    <row r="48" spans="1:4" s="1" customFormat="1" ht="15.75">
      <c r="A48" s="21" t="s">
        <v>90</v>
      </c>
      <c r="B48" s="25"/>
      <c r="C48" s="1" t="s">
        <v>5</v>
      </c>
      <c r="D48" s="96"/>
    </row>
    <row r="49" spans="1:6" s="6" customFormat="1" ht="18.75">
      <c r="A49" s="21" t="s">
        <v>91</v>
      </c>
      <c r="B49" s="25"/>
      <c r="C49" s="1" t="s">
        <v>5</v>
      </c>
      <c r="D49" s="96"/>
      <c r="E49" s="1"/>
      <c r="F49" s="4"/>
    </row>
    <row r="50" spans="1:6" ht="15.75">
      <c r="A50" s="21"/>
      <c r="B50" s="26"/>
      <c r="C50" s="1"/>
      <c r="D50" s="96"/>
      <c r="E50" s="1"/>
      <c r="F50" s="1"/>
    </row>
    <row r="51" spans="1:6" ht="15.75">
      <c r="A51" s="7" t="s">
        <v>32</v>
      </c>
      <c r="B51" s="26"/>
      <c r="C51" s="1"/>
      <c r="D51" s="20">
        <f>SUM(D33:D50)</f>
        <v>137748</v>
      </c>
      <c r="E51" s="4" t="s">
        <v>5</v>
      </c>
      <c r="F51" s="1"/>
    </row>
    <row r="52" spans="1:6" ht="15.75">
      <c r="A52" s="21"/>
      <c r="B52" s="25"/>
      <c r="C52" s="1"/>
      <c r="D52" s="101"/>
      <c r="E52" s="1"/>
      <c r="F52" s="1"/>
    </row>
    <row r="53" spans="1:6" ht="18.75">
      <c r="A53" s="7" t="s">
        <v>33</v>
      </c>
      <c r="B53" s="25"/>
      <c r="C53" s="1"/>
      <c r="D53" s="20">
        <f>D30-D51</f>
        <v>-34068</v>
      </c>
      <c r="E53" s="4" t="s">
        <v>5</v>
      </c>
      <c r="F53" s="6"/>
    </row>
    <row r="54" spans="1:3" ht="15.75">
      <c r="A54" s="21"/>
      <c r="B54" s="25"/>
      <c r="C54" s="1"/>
    </row>
    <row r="55" spans="1:5" ht="32.25">
      <c r="A55" s="52" t="s">
        <v>92</v>
      </c>
      <c r="B55" s="27"/>
      <c r="C55" s="6"/>
      <c r="D55" s="20">
        <v>1167</v>
      </c>
      <c r="E55" s="4" t="s">
        <v>5</v>
      </c>
    </row>
    <row r="56" spans="1:5" ht="18.75">
      <c r="A56" s="52" t="s">
        <v>343</v>
      </c>
      <c r="B56" s="27"/>
      <c r="C56" s="6"/>
      <c r="D56" s="20">
        <f>20000+1243+1303-20-11174+50+18+10262+45</f>
        <v>21727</v>
      </c>
      <c r="E56" s="4" t="s">
        <v>5</v>
      </c>
    </row>
    <row r="57" spans="1:5" ht="32.25">
      <c r="A57" s="52" t="s">
        <v>399</v>
      </c>
      <c r="B57" s="27"/>
      <c r="C57" s="6"/>
      <c r="D57" s="20">
        <v>11174</v>
      </c>
      <c r="E57" s="4" t="s">
        <v>5</v>
      </c>
    </row>
    <row r="58" spans="1:4" ht="15.75">
      <c r="A58" s="21"/>
      <c r="D58" s="4"/>
    </row>
    <row r="59" spans="1:5" ht="15.75">
      <c r="A59" s="7" t="s">
        <v>59</v>
      </c>
      <c r="D59" s="20">
        <f>D53+D55+D56+D57</f>
        <v>0</v>
      </c>
      <c r="E59" s="4" t="s">
        <v>347</v>
      </c>
    </row>
  </sheetData>
  <sheetProtection password="DB7F" sheet="1" selectLockedCells="1" selectUnlockedCells="1"/>
  <mergeCells count="6">
    <mergeCell ref="A1:E1"/>
    <mergeCell ref="A2:E2"/>
    <mergeCell ref="A7:E7"/>
    <mergeCell ref="A5:E5"/>
    <mergeCell ref="A4:E4"/>
    <mergeCell ref="A6:E6"/>
  </mergeCells>
  <printOptions horizontalCentered="1"/>
  <pageMargins left="0.1968503937007874" right="0.1968503937007874" top="0" bottom="0" header="0.5118110236220472" footer="0.5118110236220472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8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4.25390625" style="32" customWidth="1"/>
    <col min="2" max="5" width="3.125" style="31" customWidth="1"/>
    <col min="6" max="6" width="44.875" style="10" customWidth="1"/>
    <col min="7" max="7" width="15.625" style="10" customWidth="1"/>
    <col min="8" max="8" width="15.25390625" style="10" customWidth="1"/>
    <col min="9" max="9" width="8.875" style="10" customWidth="1"/>
    <col min="10" max="10" width="9.125" style="10" customWidth="1"/>
    <col min="11" max="11" width="11.375" style="10" bestFit="1" customWidth="1"/>
    <col min="12" max="16384" width="9.125" style="10" customWidth="1"/>
  </cols>
  <sheetData>
    <row r="1" spans="1:9" ht="15.75">
      <c r="A1" s="306" t="s">
        <v>411</v>
      </c>
      <c r="B1" s="306"/>
      <c r="C1" s="306"/>
      <c r="D1" s="306"/>
      <c r="E1" s="306"/>
      <c r="F1" s="306"/>
      <c r="G1" s="306"/>
      <c r="H1" s="306"/>
      <c r="I1" s="306"/>
    </row>
    <row r="2" spans="1:9" s="102" customFormat="1" ht="15.75">
      <c r="A2" s="297" t="s">
        <v>348</v>
      </c>
      <c r="B2" s="297"/>
      <c r="C2" s="297"/>
      <c r="D2" s="297"/>
      <c r="E2" s="297"/>
      <c r="F2" s="297"/>
      <c r="G2" s="297"/>
      <c r="H2" s="297"/>
      <c r="I2" s="297"/>
    </row>
    <row r="3" spans="5:9" ht="15.75">
      <c r="E3" s="48"/>
      <c r="F3" s="48"/>
      <c r="G3" s="48"/>
      <c r="H3" s="48"/>
      <c r="I3" s="48"/>
    </row>
    <row r="4" spans="1:9" ht="15.75">
      <c r="A4" s="308"/>
      <c r="B4" s="308"/>
      <c r="C4" s="308"/>
      <c r="D4" s="308"/>
      <c r="E4" s="308"/>
      <c r="F4" s="308"/>
      <c r="G4" s="308"/>
      <c r="H4" s="308"/>
      <c r="I4" s="308"/>
    </row>
    <row r="5" spans="1:9" s="11" customFormat="1" ht="15.75">
      <c r="A5" s="308" t="s">
        <v>26</v>
      </c>
      <c r="B5" s="308"/>
      <c r="C5" s="308"/>
      <c r="D5" s="308"/>
      <c r="E5" s="308"/>
      <c r="F5" s="308"/>
      <c r="G5" s="308"/>
      <c r="H5" s="308"/>
      <c r="I5" s="308"/>
    </row>
    <row r="6" spans="1:9" s="11" customFormat="1" ht="15.75">
      <c r="A6" s="308" t="s">
        <v>228</v>
      </c>
      <c r="B6" s="308"/>
      <c r="C6" s="308"/>
      <c r="D6" s="308"/>
      <c r="E6" s="308"/>
      <c r="F6" s="308"/>
      <c r="G6" s="308"/>
      <c r="H6" s="308"/>
      <c r="I6" s="308"/>
    </row>
    <row r="7" spans="1:9" ht="15.75">
      <c r="A7" s="308" t="s">
        <v>48</v>
      </c>
      <c r="B7" s="308"/>
      <c r="C7" s="308"/>
      <c r="D7" s="308"/>
      <c r="E7" s="308"/>
      <c r="F7" s="308"/>
      <c r="G7" s="308"/>
      <c r="H7" s="308"/>
      <c r="I7" s="308"/>
    </row>
    <row r="8" ht="15.75" hidden="1"/>
    <row r="9" spans="8:9" ht="16.5" thickBot="1">
      <c r="H9" s="193"/>
      <c r="I9" s="193" t="s">
        <v>4</v>
      </c>
    </row>
    <row r="10" spans="1:9" ht="15.75">
      <c r="A10" s="294" t="s">
        <v>15</v>
      </c>
      <c r="B10" s="290"/>
      <c r="C10" s="290"/>
      <c r="D10" s="290"/>
      <c r="E10" s="290"/>
      <c r="F10" s="291"/>
      <c r="G10" s="34" t="s">
        <v>13</v>
      </c>
      <c r="H10" s="34" t="s">
        <v>13</v>
      </c>
      <c r="I10" s="34" t="s">
        <v>14</v>
      </c>
    </row>
    <row r="11" spans="1:9" ht="15.75">
      <c r="A11" s="292"/>
      <c r="B11" s="283"/>
      <c r="C11" s="283"/>
      <c r="D11" s="283"/>
      <c r="E11" s="283"/>
      <c r="F11" s="284"/>
      <c r="G11" s="35" t="s">
        <v>8</v>
      </c>
      <c r="H11" s="36" t="s">
        <v>8</v>
      </c>
      <c r="I11" s="35"/>
    </row>
    <row r="12" spans="1:9" ht="16.5" thickBot="1">
      <c r="A12" s="285"/>
      <c r="B12" s="286"/>
      <c r="C12" s="286"/>
      <c r="D12" s="286"/>
      <c r="E12" s="286"/>
      <c r="F12" s="287"/>
      <c r="G12" s="37" t="s">
        <v>34</v>
      </c>
      <c r="H12" s="37" t="s">
        <v>48</v>
      </c>
      <c r="I12" s="37" t="s">
        <v>16</v>
      </c>
    </row>
    <row r="13" spans="1:9" ht="12.7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5.75">
      <c r="A14" s="13" t="s">
        <v>35</v>
      </c>
      <c r="B14" s="301" t="s">
        <v>93</v>
      </c>
      <c r="C14" s="301"/>
      <c r="D14" s="301"/>
      <c r="E14" s="301"/>
      <c r="F14" s="301"/>
      <c r="G14" s="54"/>
      <c r="H14" s="55"/>
      <c r="I14" s="54"/>
    </row>
    <row r="15" spans="1:9" ht="15.75">
      <c r="A15" s="13"/>
      <c r="B15" s="13" t="s">
        <v>35</v>
      </c>
      <c r="C15" s="13" t="s">
        <v>94</v>
      </c>
      <c r="D15" s="13"/>
      <c r="E15" s="13"/>
      <c r="F15" s="13"/>
      <c r="G15" s="19"/>
      <c r="H15" s="19"/>
      <c r="I15" s="13"/>
    </row>
    <row r="16" spans="1:9" ht="33" customHeight="1">
      <c r="A16" s="13"/>
      <c r="B16" s="13"/>
      <c r="C16" s="13" t="s">
        <v>29</v>
      </c>
      <c r="D16" s="301" t="s">
        <v>95</v>
      </c>
      <c r="E16" s="301"/>
      <c r="F16" s="301"/>
      <c r="G16" s="55"/>
      <c r="H16" s="55"/>
      <c r="I16" s="54"/>
    </row>
    <row r="17" spans="1:9" ht="33.75" customHeight="1">
      <c r="A17" s="13"/>
      <c r="B17" s="13"/>
      <c r="C17" s="13"/>
      <c r="D17" s="13" t="s">
        <v>29</v>
      </c>
      <c r="E17" s="301" t="s">
        <v>96</v>
      </c>
      <c r="F17" s="301"/>
      <c r="G17" s="55"/>
      <c r="H17" s="55"/>
      <c r="I17" s="54"/>
    </row>
    <row r="18" spans="1:9" ht="15.75">
      <c r="A18" s="15"/>
      <c r="B18" s="15"/>
      <c r="C18" s="15"/>
      <c r="D18" s="15"/>
      <c r="E18" s="15" t="s">
        <v>42</v>
      </c>
      <c r="F18" s="15" t="s">
        <v>36</v>
      </c>
      <c r="G18" s="18">
        <v>7372</v>
      </c>
      <c r="H18" s="18"/>
      <c r="I18" s="56"/>
    </row>
    <row r="19" spans="1:9" ht="15.75">
      <c r="A19" s="15"/>
      <c r="B19" s="15"/>
      <c r="C19" s="15"/>
      <c r="D19" s="15"/>
      <c r="E19" s="15"/>
      <c r="F19" s="15" t="s">
        <v>97</v>
      </c>
      <c r="G19" s="18">
        <v>-2123</v>
      </c>
      <c r="H19" s="18"/>
      <c r="I19" s="56"/>
    </row>
    <row r="20" spans="1:9" ht="31.5">
      <c r="A20" s="15"/>
      <c r="B20" s="15"/>
      <c r="C20" s="15"/>
      <c r="D20" s="15"/>
      <c r="E20" s="15" t="s">
        <v>43</v>
      </c>
      <c r="F20" s="57" t="s">
        <v>37</v>
      </c>
      <c r="G20" s="58"/>
      <c r="H20" s="58"/>
      <c r="I20" s="56"/>
    </row>
    <row r="21" spans="1:9" ht="31.5">
      <c r="A21" s="15"/>
      <c r="B21" s="15"/>
      <c r="C21" s="15"/>
      <c r="D21" s="15"/>
      <c r="E21" s="15" t="s">
        <v>98</v>
      </c>
      <c r="F21" s="57" t="s">
        <v>99</v>
      </c>
      <c r="G21" s="18">
        <v>2535</v>
      </c>
      <c r="H21" s="18">
        <v>2540</v>
      </c>
      <c r="I21" s="56">
        <f>H21/G21*100</f>
        <v>100.19723865877712</v>
      </c>
    </row>
    <row r="22" spans="1:9" ht="15.75">
      <c r="A22" s="15"/>
      <c r="B22" s="15"/>
      <c r="C22" s="15"/>
      <c r="D22" s="15"/>
      <c r="E22" s="15"/>
      <c r="F22" s="15" t="s">
        <v>97</v>
      </c>
      <c r="G22" s="18"/>
      <c r="H22" s="18"/>
      <c r="I22" s="56"/>
    </row>
    <row r="23" spans="1:9" ht="15.75">
      <c r="A23" s="15"/>
      <c r="B23" s="15"/>
      <c r="C23" s="15"/>
      <c r="D23" s="15"/>
      <c r="E23" s="15" t="s">
        <v>100</v>
      </c>
      <c r="F23" s="57" t="s">
        <v>101</v>
      </c>
      <c r="G23" s="18">
        <v>1903</v>
      </c>
      <c r="H23" s="18">
        <v>3002</v>
      </c>
      <c r="I23" s="56">
        <f>H23/G23*100</f>
        <v>157.7509196006306</v>
      </c>
    </row>
    <row r="24" spans="1:9" ht="15.75">
      <c r="A24" s="15"/>
      <c r="B24" s="15"/>
      <c r="C24" s="15"/>
      <c r="D24" s="15"/>
      <c r="E24" s="15"/>
      <c r="F24" s="15" t="s">
        <v>97</v>
      </c>
      <c r="G24" s="18"/>
      <c r="H24" s="18"/>
      <c r="I24" s="56"/>
    </row>
    <row r="25" spans="1:9" ht="33" customHeight="1">
      <c r="A25" s="15"/>
      <c r="B25" s="15"/>
      <c r="C25" s="15"/>
      <c r="D25" s="15"/>
      <c r="E25" s="15" t="s">
        <v>102</v>
      </c>
      <c r="F25" s="57" t="s">
        <v>103</v>
      </c>
      <c r="G25" s="18">
        <v>123</v>
      </c>
      <c r="H25" s="18">
        <v>372</v>
      </c>
      <c r="I25" s="56">
        <f>H25/G25*100</f>
        <v>302.4390243902439</v>
      </c>
    </row>
    <row r="26" spans="1:9" ht="15.75">
      <c r="A26" s="15"/>
      <c r="B26" s="15"/>
      <c r="C26" s="15"/>
      <c r="D26" s="15"/>
      <c r="E26" s="15"/>
      <c r="F26" s="15" t="s">
        <v>97</v>
      </c>
      <c r="G26" s="18"/>
      <c r="H26" s="18"/>
      <c r="I26" s="56"/>
    </row>
    <row r="27" spans="1:11" ht="15.75">
      <c r="A27" s="15"/>
      <c r="B27" s="15"/>
      <c r="C27" s="15"/>
      <c r="D27" s="15"/>
      <c r="E27" s="15" t="s">
        <v>104</v>
      </c>
      <c r="F27" s="57" t="s">
        <v>105</v>
      </c>
      <c r="G27" s="18">
        <v>3476</v>
      </c>
      <c r="H27" s="18">
        <v>7507</v>
      </c>
      <c r="I27" s="56">
        <f>H27/G27*100</f>
        <v>215.9666283084005</v>
      </c>
      <c r="K27" s="82"/>
    </row>
    <row r="28" spans="1:9" s="22" customFormat="1" ht="15.75">
      <c r="A28" s="15"/>
      <c r="B28" s="15"/>
      <c r="C28" s="15"/>
      <c r="D28" s="15"/>
      <c r="E28" s="15"/>
      <c r="F28" s="15" t="s">
        <v>97</v>
      </c>
      <c r="G28" s="18"/>
      <c r="H28" s="18"/>
      <c r="I28" s="56"/>
    </row>
    <row r="29" spans="1:9" ht="15.75">
      <c r="A29" s="15"/>
      <c r="B29" s="15"/>
      <c r="C29" s="15"/>
      <c r="D29" s="15" t="s">
        <v>44</v>
      </c>
      <c r="E29" s="15" t="s">
        <v>106</v>
      </c>
      <c r="F29" s="15"/>
      <c r="G29" s="18">
        <v>3000</v>
      </c>
      <c r="H29" s="18">
        <v>4000</v>
      </c>
      <c r="I29" s="56">
        <f>H29/G29*100</f>
        <v>133.33333333333331</v>
      </c>
    </row>
    <row r="30" spans="1:9" ht="15.75">
      <c r="A30" s="15"/>
      <c r="B30" s="15"/>
      <c r="C30" s="15"/>
      <c r="D30" s="15"/>
      <c r="E30" s="15"/>
      <c r="F30" s="15" t="s">
        <v>97</v>
      </c>
      <c r="G30" s="18"/>
      <c r="H30" s="18">
        <v>-69</v>
      </c>
      <c r="I30" s="56"/>
    </row>
    <row r="31" spans="1:11" s="22" customFormat="1" ht="15.75">
      <c r="A31" s="15"/>
      <c r="B31" s="15"/>
      <c r="C31" s="15"/>
      <c r="D31" s="15" t="s">
        <v>19</v>
      </c>
      <c r="E31" s="15" t="s">
        <v>107</v>
      </c>
      <c r="F31" s="15"/>
      <c r="G31" s="18">
        <v>870</v>
      </c>
      <c r="H31" s="18">
        <v>842</v>
      </c>
      <c r="I31" s="56">
        <f>H31/G31*100</f>
        <v>96.7816091954023</v>
      </c>
      <c r="K31" s="39"/>
    </row>
    <row r="32" spans="1:9" ht="15.75">
      <c r="A32" s="15"/>
      <c r="B32" s="15"/>
      <c r="C32" s="15"/>
      <c r="D32" s="15"/>
      <c r="E32" s="15"/>
      <c r="F32" s="15" t="s">
        <v>97</v>
      </c>
      <c r="G32" s="18"/>
      <c r="H32" s="18">
        <v>-421</v>
      </c>
      <c r="I32" s="56"/>
    </row>
    <row r="33" spans="1:9" ht="33" customHeight="1">
      <c r="A33" s="15"/>
      <c r="B33" s="15"/>
      <c r="C33" s="13" t="s">
        <v>19</v>
      </c>
      <c r="D33" s="301" t="s">
        <v>108</v>
      </c>
      <c r="E33" s="301"/>
      <c r="F33" s="301"/>
      <c r="G33" s="18"/>
      <c r="H33" s="18">
        <v>5</v>
      </c>
      <c r="I33" s="56"/>
    </row>
    <row r="34" spans="1:9" ht="31.5" customHeight="1">
      <c r="A34" s="59"/>
      <c r="B34" s="59"/>
      <c r="C34" s="60"/>
      <c r="D34" s="305" t="s">
        <v>109</v>
      </c>
      <c r="E34" s="305"/>
      <c r="F34" s="305"/>
      <c r="G34" s="62">
        <f>SUM(G18:G33)</f>
        <v>17156</v>
      </c>
      <c r="H34" s="62">
        <f>SUM(H18:H33)</f>
        <v>17778</v>
      </c>
      <c r="I34" s="56">
        <f>H34/G34*100</f>
        <v>103.62555374213103</v>
      </c>
    </row>
    <row r="35" spans="1:9" s="22" customFormat="1" ht="15.75">
      <c r="A35" s="13"/>
      <c r="B35" s="13"/>
      <c r="C35" s="13"/>
      <c r="D35" s="53"/>
      <c r="E35" s="53"/>
      <c r="F35" s="53"/>
      <c r="G35" s="55"/>
      <c r="H35" s="55"/>
      <c r="I35" s="56"/>
    </row>
    <row r="36" spans="1:9" ht="15.75">
      <c r="A36" s="15"/>
      <c r="B36" s="15"/>
      <c r="C36" s="13" t="s">
        <v>30</v>
      </c>
      <c r="D36" s="301" t="s">
        <v>110</v>
      </c>
      <c r="E36" s="301"/>
      <c r="F36" s="301"/>
      <c r="G36" s="55"/>
      <c r="H36" s="55"/>
      <c r="I36" s="56"/>
    </row>
    <row r="37" spans="1:9" ht="15.75">
      <c r="A37" s="15"/>
      <c r="B37" s="15"/>
      <c r="C37" s="15"/>
      <c r="D37" s="15" t="s">
        <v>29</v>
      </c>
      <c r="E37" s="15" t="s">
        <v>111</v>
      </c>
      <c r="F37" s="15"/>
      <c r="G37" s="18">
        <v>1187</v>
      </c>
      <c r="H37" s="18">
        <v>782</v>
      </c>
      <c r="I37" s="56">
        <f>H37/G37*100</f>
        <v>65.88037068239258</v>
      </c>
    </row>
    <row r="38" spans="1:9" ht="15.75">
      <c r="A38" s="15"/>
      <c r="B38" s="15"/>
      <c r="C38" s="15"/>
      <c r="D38" s="15" t="s">
        <v>30</v>
      </c>
      <c r="E38" s="15" t="s">
        <v>112</v>
      </c>
      <c r="F38" s="15"/>
      <c r="G38" s="18">
        <v>1668</v>
      </c>
      <c r="H38" s="18">
        <f>280+830</f>
        <v>1110</v>
      </c>
      <c r="I38" s="56">
        <f>H38/G38*100</f>
        <v>66.54676258992805</v>
      </c>
    </row>
    <row r="39" spans="1:11" ht="15.75">
      <c r="A39" s="15"/>
      <c r="B39" s="15"/>
      <c r="C39" s="15"/>
      <c r="D39" s="15" t="s">
        <v>116</v>
      </c>
      <c r="E39" s="15" t="s">
        <v>154</v>
      </c>
      <c r="F39" s="15"/>
      <c r="G39" s="18"/>
      <c r="H39" s="18">
        <v>709</v>
      </c>
      <c r="I39" s="56"/>
      <c r="K39" s="82"/>
    </row>
    <row r="40" spans="1:9" ht="15.75">
      <c r="A40" s="15"/>
      <c r="B40" s="15"/>
      <c r="C40" s="15"/>
      <c r="D40" s="15" t="s">
        <v>113</v>
      </c>
      <c r="E40" s="15" t="s">
        <v>114</v>
      </c>
      <c r="F40" s="15"/>
      <c r="G40" s="18"/>
      <c r="H40" s="18">
        <f>2605-326+67</f>
        <v>2346</v>
      </c>
      <c r="I40" s="56"/>
    </row>
    <row r="41" spans="1:13" ht="33.75" customHeight="1">
      <c r="A41" s="59"/>
      <c r="B41" s="59"/>
      <c r="C41" s="305" t="s">
        <v>115</v>
      </c>
      <c r="D41" s="305"/>
      <c r="E41" s="305"/>
      <c r="F41" s="305"/>
      <c r="G41" s="64">
        <f>SUM(G37:G40)</f>
        <v>2855</v>
      </c>
      <c r="H41" s="64">
        <f>SUM(H37:H40)</f>
        <v>4947</v>
      </c>
      <c r="I41" s="56">
        <f>H41/G41*100</f>
        <v>173.27495621716287</v>
      </c>
      <c r="K41" s="38"/>
      <c r="L41" s="38"/>
      <c r="M41" s="38"/>
    </row>
    <row r="42" spans="1:13" ht="33.75" customHeight="1">
      <c r="A42" s="59"/>
      <c r="B42" s="59"/>
      <c r="C42" s="61"/>
      <c r="D42" s="61"/>
      <c r="E42" s="61"/>
      <c r="F42" s="61"/>
      <c r="G42" s="64"/>
      <c r="H42" s="64"/>
      <c r="I42" s="56"/>
      <c r="K42" s="38"/>
      <c r="L42" s="38"/>
      <c r="M42" s="38"/>
    </row>
    <row r="43" spans="1:9" ht="16.5" thickBot="1">
      <c r="A43" s="59"/>
      <c r="B43" s="59"/>
      <c r="C43" s="61"/>
      <c r="D43" s="61"/>
      <c r="E43" s="61"/>
      <c r="F43" s="61"/>
      <c r="G43" s="64"/>
      <c r="H43" s="64"/>
      <c r="I43" s="56"/>
    </row>
    <row r="44" spans="1:9" ht="15.75">
      <c r="A44" s="309" t="s">
        <v>15</v>
      </c>
      <c r="B44" s="310"/>
      <c r="C44" s="310"/>
      <c r="D44" s="310"/>
      <c r="E44" s="310"/>
      <c r="F44" s="311"/>
      <c r="G44" s="65" t="s">
        <v>13</v>
      </c>
      <c r="H44" s="65" t="s">
        <v>13</v>
      </c>
      <c r="I44" s="66" t="s">
        <v>14</v>
      </c>
    </row>
    <row r="45" spans="1:9" ht="15.75">
      <c r="A45" s="312"/>
      <c r="B45" s="313"/>
      <c r="C45" s="313"/>
      <c r="D45" s="313"/>
      <c r="E45" s="313"/>
      <c r="F45" s="314"/>
      <c r="G45" s="68" t="s">
        <v>8</v>
      </c>
      <c r="H45" s="68" t="s">
        <v>8</v>
      </c>
      <c r="I45" s="35"/>
    </row>
    <row r="46" spans="1:9" ht="16.5" thickBot="1">
      <c r="A46" s="315"/>
      <c r="B46" s="316"/>
      <c r="C46" s="316"/>
      <c r="D46" s="316"/>
      <c r="E46" s="316"/>
      <c r="F46" s="293"/>
      <c r="G46" s="69" t="s">
        <v>34</v>
      </c>
      <c r="H46" s="69" t="s">
        <v>61</v>
      </c>
      <c r="I46" s="37" t="s">
        <v>16</v>
      </c>
    </row>
    <row r="47" spans="1:9" ht="12" customHeight="1">
      <c r="A47" s="15"/>
      <c r="B47" s="15"/>
      <c r="C47" s="15"/>
      <c r="D47" s="15"/>
      <c r="E47" s="15"/>
      <c r="F47" s="15"/>
      <c r="G47" s="18"/>
      <c r="H47" s="18"/>
      <c r="I47" s="56"/>
    </row>
    <row r="48" spans="1:13" ht="31.5" customHeight="1">
      <c r="A48" s="15"/>
      <c r="B48" s="15"/>
      <c r="C48" s="13" t="s">
        <v>116</v>
      </c>
      <c r="D48" s="301" t="s">
        <v>117</v>
      </c>
      <c r="E48" s="301"/>
      <c r="F48" s="301"/>
      <c r="G48" s="55"/>
      <c r="H48" s="55"/>
      <c r="I48" s="54"/>
      <c r="K48" s="38"/>
      <c r="L48" s="38"/>
      <c r="M48" s="38"/>
    </row>
    <row r="49" spans="1:13" ht="30" customHeight="1">
      <c r="A49" s="15"/>
      <c r="B49" s="15"/>
      <c r="C49" s="15"/>
      <c r="D49" s="15" t="s">
        <v>29</v>
      </c>
      <c r="E49" s="303" t="s">
        <v>40</v>
      </c>
      <c r="F49" s="303"/>
      <c r="G49" s="58"/>
      <c r="H49" s="58"/>
      <c r="I49" s="57"/>
      <c r="K49" s="38"/>
      <c r="L49" s="38"/>
      <c r="M49" s="38"/>
    </row>
    <row r="50" spans="1:13" ht="31.5">
      <c r="A50" s="15"/>
      <c r="B50" s="15"/>
      <c r="C50" s="15"/>
      <c r="D50" s="15"/>
      <c r="E50" s="15" t="s">
        <v>45</v>
      </c>
      <c r="F50" s="57" t="s">
        <v>118</v>
      </c>
      <c r="G50" s="18">
        <v>796</v>
      </c>
      <c r="H50" s="58">
        <v>808</v>
      </c>
      <c r="I50" s="56">
        <f>H50/G50*100</f>
        <v>101.50753768844221</v>
      </c>
      <c r="L50" s="38"/>
      <c r="M50" s="38"/>
    </row>
    <row r="51" spans="1:13" ht="15.75">
      <c r="A51" s="15"/>
      <c r="B51" s="15"/>
      <c r="C51" s="15"/>
      <c r="D51" s="15"/>
      <c r="E51" s="15"/>
      <c r="F51" s="57"/>
      <c r="G51" s="18"/>
      <c r="H51" s="58"/>
      <c r="I51" s="56"/>
      <c r="L51" s="38"/>
      <c r="M51" s="38"/>
    </row>
    <row r="52" spans="1:9" ht="34.5" customHeight="1">
      <c r="A52" s="59"/>
      <c r="B52" s="59"/>
      <c r="C52" s="305" t="s">
        <v>119</v>
      </c>
      <c r="D52" s="305"/>
      <c r="E52" s="305"/>
      <c r="F52" s="305"/>
      <c r="G52" s="64">
        <f>SUM(G50:G50)</f>
        <v>796</v>
      </c>
      <c r="H52" s="64">
        <f>SUM(H50:H50)</f>
        <v>808</v>
      </c>
      <c r="I52" s="56">
        <f>H52/G52*100</f>
        <v>101.50753768844221</v>
      </c>
    </row>
    <row r="53" spans="1:9" ht="12" customHeight="1">
      <c r="A53" s="15"/>
      <c r="B53" s="15"/>
      <c r="C53" s="15"/>
      <c r="D53" s="15"/>
      <c r="E53" s="15"/>
      <c r="F53" s="15"/>
      <c r="G53" s="18"/>
      <c r="H53" s="18"/>
      <c r="I53" s="56"/>
    </row>
    <row r="54" spans="1:9" ht="15.75">
      <c r="A54" s="67"/>
      <c r="B54" s="67"/>
      <c r="C54" s="70" t="s">
        <v>120</v>
      </c>
      <c r="D54" s="13" t="s">
        <v>121</v>
      </c>
      <c r="E54" s="67"/>
      <c r="F54" s="67"/>
      <c r="G54" s="71"/>
      <c r="H54" s="71"/>
      <c r="I54" s="56"/>
    </row>
    <row r="55" spans="1:9" ht="15.75">
      <c r="A55" s="67"/>
      <c r="B55" s="67"/>
      <c r="C55" s="67"/>
      <c r="D55" s="67" t="s">
        <v>29</v>
      </c>
      <c r="E55" s="304" t="s">
        <v>122</v>
      </c>
      <c r="F55" s="304"/>
      <c r="G55" s="71">
        <v>167</v>
      </c>
      <c r="H55" s="71">
        <v>280</v>
      </c>
      <c r="I55" s="56">
        <f>H55/G55*100</f>
        <v>167.6646706586826</v>
      </c>
    </row>
    <row r="56" spans="1:9" ht="15.75">
      <c r="A56" s="67"/>
      <c r="B56" s="67"/>
      <c r="C56" s="10"/>
      <c r="D56" s="67" t="s">
        <v>19</v>
      </c>
      <c r="E56" s="72" t="s">
        <v>123</v>
      </c>
      <c r="F56" s="67"/>
      <c r="G56" s="71"/>
      <c r="H56" s="71">
        <v>21</v>
      </c>
      <c r="I56" s="56"/>
    </row>
    <row r="57" spans="1:9" ht="15.75">
      <c r="A57" s="67"/>
      <c r="B57" s="67"/>
      <c r="C57" s="10"/>
      <c r="D57" s="67" t="s">
        <v>30</v>
      </c>
      <c r="E57" s="72" t="s">
        <v>356</v>
      </c>
      <c r="F57" s="67"/>
      <c r="G57" s="71"/>
      <c r="H57" s="71">
        <v>47</v>
      </c>
      <c r="I57" s="56"/>
    </row>
    <row r="58" spans="1:9" ht="15.75">
      <c r="A58" s="67"/>
      <c r="B58" s="67"/>
      <c r="C58" s="10"/>
      <c r="D58" s="67"/>
      <c r="E58" s="72"/>
      <c r="F58" s="67"/>
      <c r="G58" s="71"/>
      <c r="H58" s="71"/>
      <c r="I58" s="56"/>
    </row>
    <row r="59" spans="1:9" ht="15.75">
      <c r="A59" s="59"/>
      <c r="B59" s="59"/>
      <c r="C59" s="305" t="s">
        <v>357</v>
      </c>
      <c r="D59" s="305"/>
      <c r="E59" s="305"/>
      <c r="F59" s="305"/>
      <c r="G59" s="64"/>
      <c r="H59" s="64">
        <f>SUM(H55:H57)</f>
        <v>348</v>
      </c>
      <c r="I59" s="56"/>
    </row>
    <row r="60" spans="1:9" ht="12" customHeight="1">
      <c r="A60" s="15"/>
      <c r="B60" s="15"/>
      <c r="C60" s="15"/>
      <c r="D60" s="15"/>
      <c r="E60" s="15"/>
      <c r="F60" s="15"/>
      <c r="G60" s="18"/>
      <c r="H60" s="18"/>
      <c r="I60" s="56"/>
    </row>
    <row r="61" spans="1:9" ht="15.75">
      <c r="A61" s="67"/>
      <c r="B61" s="67"/>
      <c r="C61" s="70" t="s">
        <v>126</v>
      </c>
      <c r="D61" s="13" t="s">
        <v>386</v>
      </c>
      <c r="E61" s="67"/>
      <c r="F61" s="67"/>
      <c r="G61" s="71"/>
      <c r="H61" s="71"/>
      <c r="I61" s="56"/>
    </row>
    <row r="62" spans="1:9" ht="15.75">
      <c r="A62" s="15"/>
      <c r="B62" s="15"/>
      <c r="C62" s="15"/>
      <c r="D62" s="15" t="s">
        <v>29</v>
      </c>
      <c r="E62" s="15" t="s">
        <v>370</v>
      </c>
      <c r="F62" s="15"/>
      <c r="G62" s="18"/>
      <c r="H62" s="18">
        <f>215+143+95</f>
        <v>453</v>
      </c>
      <c r="I62" s="56"/>
    </row>
    <row r="63" spans="1:9" ht="30" customHeight="1">
      <c r="A63" s="15"/>
      <c r="B63" s="15"/>
      <c r="C63" s="15"/>
      <c r="D63" s="15" t="s">
        <v>19</v>
      </c>
      <c r="E63" s="303" t="s">
        <v>405</v>
      </c>
      <c r="F63" s="303"/>
      <c r="G63" s="18"/>
      <c r="H63" s="18">
        <v>195</v>
      </c>
      <c r="I63" s="56"/>
    </row>
    <row r="64" spans="1:9" ht="15.75">
      <c r="A64" s="15"/>
      <c r="B64" s="15"/>
      <c r="C64" s="15"/>
      <c r="D64" s="15" t="s">
        <v>30</v>
      </c>
      <c r="E64" s="303" t="s">
        <v>406</v>
      </c>
      <c r="F64" s="303"/>
      <c r="G64" s="18"/>
      <c r="H64" s="18">
        <v>249</v>
      </c>
      <c r="I64" s="56"/>
    </row>
    <row r="65" spans="1:9" ht="15.75">
      <c r="A65" s="15"/>
      <c r="B65" s="15"/>
      <c r="C65" s="15"/>
      <c r="D65" s="15"/>
      <c r="E65" s="15"/>
      <c r="F65" s="15"/>
      <c r="G65" s="18"/>
      <c r="H65" s="18"/>
      <c r="I65" s="56"/>
    </row>
    <row r="66" spans="1:9" ht="30" customHeight="1">
      <c r="A66" s="59"/>
      <c r="B66" s="59"/>
      <c r="C66" s="305" t="s">
        <v>387</v>
      </c>
      <c r="D66" s="305"/>
      <c r="E66" s="305"/>
      <c r="F66" s="305"/>
      <c r="G66" s="64"/>
      <c r="H66" s="64">
        <f>H62+H63+H64</f>
        <v>897</v>
      </c>
      <c r="I66" s="56"/>
    </row>
    <row r="67" spans="1:9" ht="12" customHeight="1">
      <c r="A67" s="15"/>
      <c r="B67" s="15"/>
      <c r="C67" s="15"/>
      <c r="D67" s="15"/>
      <c r="E67" s="15"/>
      <c r="F67" s="15"/>
      <c r="G67" s="18"/>
      <c r="H67" s="18"/>
      <c r="I67" s="56"/>
    </row>
    <row r="68" spans="1:9" ht="31.5" customHeight="1">
      <c r="A68" s="67"/>
      <c r="B68" s="301" t="s">
        <v>124</v>
      </c>
      <c r="C68" s="301"/>
      <c r="D68" s="301"/>
      <c r="E68" s="301"/>
      <c r="F68" s="301"/>
      <c r="G68" s="73">
        <f>G34+G41+G52+G55+G56</f>
        <v>20974</v>
      </c>
      <c r="H68" s="73">
        <f>H34+H41+H52+H59+H66</f>
        <v>24778</v>
      </c>
      <c r="I68" s="74">
        <f>H68/G68*100</f>
        <v>118.13674072661391</v>
      </c>
    </row>
    <row r="69" spans="1:9" ht="12" customHeight="1">
      <c r="A69" s="15"/>
      <c r="B69" s="15"/>
      <c r="C69" s="15"/>
      <c r="D69" s="15"/>
      <c r="E69" s="15"/>
      <c r="F69" s="15"/>
      <c r="G69" s="18"/>
      <c r="H69" s="18"/>
      <c r="I69" s="56"/>
    </row>
    <row r="70" spans="1:9" ht="15.75">
      <c r="A70" s="67"/>
      <c r="B70" s="13" t="s">
        <v>38</v>
      </c>
      <c r="C70" s="301" t="s">
        <v>125</v>
      </c>
      <c r="D70" s="301"/>
      <c r="E70" s="301"/>
      <c r="F70" s="301"/>
      <c r="G70" s="54"/>
      <c r="H70" s="55"/>
      <c r="I70" s="56"/>
    </row>
    <row r="71" spans="1:9" ht="31.5" customHeight="1">
      <c r="A71" s="67"/>
      <c r="B71" s="67"/>
      <c r="C71" s="10" t="s">
        <v>29</v>
      </c>
      <c r="D71" s="302" t="s">
        <v>68</v>
      </c>
      <c r="E71" s="302"/>
      <c r="F71" s="302"/>
      <c r="G71" s="71"/>
      <c r="H71" s="71">
        <v>7433</v>
      </c>
      <c r="I71" s="56"/>
    </row>
    <row r="72" spans="1:9" ht="15.75">
      <c r="A72" s="15"/>
      <c r="B72" s="15"/>
      <c r="C72" s="15" t="s">
        <v>19</v>
      </c>
      <c r="D72" s="15" t="s">
        <v>333</v>
      </c>
      <c r="E72" s="15"/>
      <c r="F72" s="15"/>
      <c r="G72" s="15"/>
      <c r="H72" s="18">
        <f>437+260+576</f>
        <v>1273</v>
      </c>
      <c r="I72" s="56"/>
    </row>
    <row r="73" spans="1:9" ht="12" customHeight="1">
      <c r="A73" s="15"/>
      <c r="B73" s="15"/>
      <c r="C73" s="15"/>
      <c r="D73" s="15"/>
      <c r="E73" s="15"/>
      <c r="F73" s="15"/>
      <c r="G73" s="18"/>
      <c r="H73" s="18"/>
      <c r="I73" s="56"/>
    </row>
    <row r="74" spans="1:9" ht="31.5" customHeight="1">
      <c r="A74" s="67"/>
      <c r="B74" s="301" t="s">
        <v>127</v>
      </c>
      <c r="C74" s="301"/>
      <c r="D74" s="301"/>
      <c r="E74" s="301"/>
      <c r="F74" s="301"/>
      <c r="G74" s="73">
        <f>SUM(G71:G73)</f>
        <v>0</v>
      </c>
      <c r="H74" s="73">
        <f>SUM(H71:H73)</f>
        <v>8706</v>
      </c>
      <c r="I74" s="74"/>
    </row>
    <row r="75" spans="1:9" ht="12" customHeight="1">
      <c r="A75" s="15"/>
      <c r="B75" s="15"/>
      <c r="C75" s="15"/>
      <c r="D75" s="15"/>
      <c r="E75" s="15"/>
      <c r="F75" s="15"/>
      <c r="G75" s="18"/>
      <c r="H75" s="18"/>
      <c r="I75" s="56"/>
    </row>
    <row r="76" spans="1:9" ht="36" customHeight="1">
      <c r="A76" s="301" t="s">
        <v>128</v>
      </c>
      <c r="B76" s="301"/>
      <c r="C76" s="301"/>
      <c r="D76" s="301"/>
      <c r="E76" s="301"/>
      <c r="F76" s="301"/>
      <c r="G76" s="75">
        <f>G74+G68</f>
        <v>20974</v>
      </c>
      <c r="H76" s="75">
        <f>H74+H68</f>
        <v>33484</v>
      </c>
      <c r="I76" s="56">
        <f>H76/G76*100</f>
        <v>159.64527510250787</v>
      </c>
    </row>
    <row r="77" spans="1:9" ht="12" customHeight="1">
      <c r="A77" s="15"/>
      <c r="B77" s="15"/>
      <c r="C77" s="15"/>
      <c r="D77" s="15"/>
      <c r="E77" s="15"/>
      <c r="F77" s="15"/>
      <c r="G77" s="18"/>
      <c r="H77" s="18"/>
      <c r="I77" s="56"/>
    </row>
    <row r="78" spans="1:9" s="40" customFormat="1" ht="15.75" customHeight="1">
      <c r="A78" s="13" t="s">
        <v>38</v>
      </c>
      <c r="B78" s="301" t="s">
        <v>129</v>
      </c>
      <c r="C78" s="301"/>
      <c r="D78" s="301"/>
      <c r="E78" s="301"/>
      <c r="F78" s="301"/>
      <c r="G78" s="54"/>
      <c r="H78" s="55"/>
      <c r="I78" s="56"/>
    </row>
    <row r="79" spans="1:9" ht="12" customHeight="1">
      <c r="A79" s="15"/>
      <c r="B79" s="15"/>
      <c r="C79" s="15"/>
      <c r="D79" s="15"/>
      <c r="E79" s="15"/>
      <c r="F79" s="15"/>
      <c r="G79" s="18"/>
      <c r="H79" s="18"/>
      <c r="I79" s="56"/>
    </row>
    <row r="80" spans="1:9" s="40" customFormat="1" ht="27.75" customHeight="1">
      <c r="A80" s="15"/>
      <c r="B80" s="13" t="s">
        <v>29</v>
      </c>
      <c r="C80" s="301" t="s">
        <v>130</v>
      </c>
      <c r="D80" s="301"/>
      <c r="E80" s="301"/>
      <c r="F80" s="301"/>
      <c r="G80" s="54"/>
      <c r="H80" s="55"/>
      <c r="I80" s="56"/>
    </row>
    <row r="81" spans="1:9" ht="31.5" customHeight="1">
      <c r="A81" s="53"/>
      <c r="B81" s="53"/>
      <c r="C81" s="53" t="s">
        <v>29</v>
      </c>
      <c r="D81" s="302" t="s">
        <v>53</v>
      </c>
      <c r="E81" s="302"/>
      <c r="F81" s="302"/>
      <c r="G81" s="83">
        <v>6439</v>
      </c>
      <c r="H81" s="75"/>
      <c r="I81" s="56"/>
    </row>
    <row r="82" spans="3:9" ht="48" customHeight="1">
      <c r="C82" s="31" t="s">
        <v>19</v>
      </c>
      <c r="D82" s="302" t="s">
        <v>67</v>
      </c>
      <c r="E82" s="302"/>
      <c r="F82" s="302"/>
      <c r="H82" s="83">
        <v>4390</v>
      </c>
      <c r="I82" s="12"/>
    </row>
    <row r="83" ht="16.5" thickBot="1"/>
    <row r="84" spans="1:9" ht="15.75" customHeight="1">
      <c r="A84" s="309" t="s">
        <v>15</v>
      </c>
      <c r="B84" s="310"/>
      <c r="C84" s="310"/>
      <c r="D84" s="310"/>
      <c r="E84" s="310"/>
      <c r="F84" s="311"/>
      <c r="G84" s="65" t="s">
        <v>13</v>
      </c>
      <c r="H84" s="65" t="s">
        <v>13</v>
      </c>
      <c r="I84" s="66" t="s">
        <v>14</v>
      </c>
    </row>
    <row r="85" spans="1:9" ht="15.75">
      <c r="A85" s="312"/>
      <c r="B85" s="313"/>
      <c r="C85" s="313"/>
      <c r="D85" s="313"/>
      <c r="E85" s="313"/>
      <c r="F85" s="314"/>
      <c r="G85" s="68" t="s">
        <v>8</v>
      </c>
      <c r="H85" s="68" t="s">
        <v>8</v>
      </c>
      <c r="I85" s="35"/>
    </row>
    <row r="86" spans="1:9" s="40" customFormat="1" ht="15.75" customHeight="1" thickBot="1">
      <c r="A86" s="315"/>
      <c r="B86" s="316"/>
      <c r="C86" s="316"/>
      <c r="D86" s="316"/>
      <c r="E86" s="316"/>
      <c r="F86" s="293"/>
      <c r="G86" s="69" t="s">
        <v>34</v>
      </c>
      <c r="H86" s="69" t="s">
        <v>61</v>
      </c>
      <c r="I86" s="37" t="s">
        <v>16</v>
      </c>
    </row>
    <row r="87" spans="4:9" ht="15.75">
      <c r="D87" s="231"/>
      <c r="E87" s="231"/>
      <c r="F87" s="231"/>
      <c r="H87" s="83"/>
      <c r="I87" s="12"/>
    </row>
    <row r="88" spans="3:9" ht="28.5" customHeight="1">
      <c r="C88" s="31" t="s">
        <v>30</v>
      </c>
      <c r="D88" s="302" t="s">
        <v>359</v>
      </c>
      <c r="E88" s="302"/>
      <c r="F88" s="302"/>
      <c r="H88" s="83">
        <v>10000</v>
      </c>
      <c r="I88" s="12"/>
    </row>
    <row r="89" spans="3:9" ht="44.25" customHeight="1">
      <c r="C89" s="31" t="s">
        <v>116</v>
      </c>
      <c r="D89" s="302" t="s">
        <v>371</v>
      </c>
      <c r="E89" s="302"/>
      <c r="F89" s="302"/>
      <c r="H89" s="83">
        <v>12559</v>
      </c>
      <c r="I89" s="12"/>
    </row>
    <row r="90" spans="1:9" ht="28.5" customHeight="1">
      <c r="A90" s="67"/>
      <c r="B90" s="301" t="s">
        <v>131</v>
      </c>
      <c r="C90" s="301"/>
      <c r="D90" s="301"/>
      <c r="E90" s="301"/>
      <c r="F90" s="301"/>
      <c r="G90" s="76">
        <f>SUM(G81:G89)</f>
        <v>6439</v>
      </c>
      <c r="H90" s="76">
        <f>SUM(H81:H89)</f>
        <v>26949</v>
      </c>
      <c r="I90" s="56">
        <f>H90/G90*100</f>
        <v>418.5277216959155</v>
      </c>
    </row>
    <row r="91" spans="1:9" ht="12" customHeight="1">
      <c r="A91" s="15"/>
      <c r="B91" s="15"/>
      <c r="C91" s="15"/>
      <c r="D91" s="15"/>
      <c r="E91" s="15"/>
      <c r="F91" s="15"/>
      <c r="G91" s="18"/>
      <c r="H91" s="18"/>
      <c r="I91" s="56"/>
    </row>
    <row r="92" spans="1:11" ht="34.5" customHeight="1">
      <c r="A92" s="301" t="s">
        <v>132</v>
      </c>
      <c r="B92" s="301"/>
      <c r="C92" s="301"/>
      <c r="D92" s="301"/>
      <c r="E92" s="301"/>
      <c r="F92" s="301"/>
      <c r="G92" s="73">
        <f>G90</f>
        <v>6439</v>
      </c>
      <c r="H92" s="73">
        <f>H90</f>
        <v>26949</v>
      </c>
      <c r="I92" s="74">
        <f>H92/G92*100</f>
        <v>418.5277216959155</v>
      </c>
      <c r="K92" s="82"/>
    </row>
    <row r="93" spans="1:9" ht="12" customHeight="1">
      <c r="A93" s="15"/>
      <c r="B93" s="15"/>
      <c r="C93" s="15"/>
      <c r="D93" s="15"/>
      <c r="E93" s="15"/>
      <c r="F93" s="15"/>
      <c r="G93" s="18"/>
      <c r="H93" s="18"/>
      <c r="I93" s="56"/>
    </row>
    <row r="94" spans="1:9" ht="15.75">
      <c r="A94" s="13" t="s">
        <v>39</v>
      </c>
      <c r="B94" s="13" t="s">
        <v>75</v>
      </c>
      <c r="C94" s="13"/>
      <c r="D94" s="13"/>
      <c r="E94" s="13"/>
      <c r="F94" s="13"/>
      <c r="G94" s="13"/>
      <c r="H94" s="19"/>
      <c r="I94" s="56"/>
    </row>
    <row r="95" spans="1:9" ht="12" customHeight="1">
      <c r="A95" s="15"/>
      <c r="B95" s="15"/>
      <c r="C95" s="15"/>
      <c r="D95" s="15"/>
      <c r="E95" s="15"/>
      <c r="F95" s="15"/>
      <c r="G95" s="18"/>
      <c r="H95" s="18"/>
      <c r="I95" s="56"/>
    </row>
    <row r="96" spans="1:9" ht="15.75">
      <c r="A96" s="15"/>
      <c r="B96" s="15" t="s">
        <v>29</v>
      </c>
      <c r="C96" s="15" t="s">
        <v>155</v>
      </c>
      <c r="D96" s="15"/>
      <c r="E96" s="15"/>
      <c r="F96" s="15"/>
      <c r="G96" s="15"/>
      <c r="H96" s="18"/>
      <c r="I96" s="56"/>
    </row>
    <row r="97" spans="1:9" ht="15.75">
      <c r="A97" s="15"/>
      <c r="B97" s="15"/>
      <c r="C97" s="15" t="s">
        <v>29</v>
      </c>
      <c r="D97" s="15" t="s">
        <v>156</v>
      </c>
      <c r="E97" s="15"/>
      <c r="F97" s="15"/>
      <c r="G97" s="71">
        <v>1750</v>
      </c>
      <c r="H97" s="18">
        <v>1600</v>
      </c>
      <c r="I97" s="56">
        <f>H97/G97*100</f>
        <v>91.42857142857143</v>
      </c>
    </row>
    <row r="98" spans="1:9" ht="15.75">
      <c r="A98" s="13"/>
      <c r="B98" s="13" t="s">
        <v>19</v>
      </c>
      <c r="C98" s="13" t="s">
        <v>133</v>
      </c>
      <c r="D98" s="13"/>
      <c r="E98" s="13"/>
      <c r="F98" s="13"/>
      <c r="G98" s="13"/>
      <c r="H98" s="19"/>
      <c r="I98" s="56"/>
    </row>
    <row r="99" spans="1:9" s="11" customFormat="1" ht="15.75">
      <c r="A99" s="15"/>
      <c r="B99" s="15"/>
      <c r="C99" s="15" t="s">
        <v>29</v>
      </c>
      <c r="D99" s="15" t="s">
        <v>134</v>
      </c>
      <c r="E99" s="15"/>
      <c r="F99" s="15"/>
      <c r="G99" s="71">
        <v>4200</v>
      </c>
      <c r="H99" s="18">
        <v>4500</v>
      </c>
      <c r="I99" s="56">
        <f>H99/G99*100</f>
        <v>107.14285714285714</v>
      </c>
    </row>
    <row r="100" spans="1:9" ht="15.75">
      <c r="A100" s="13"/>
      <c r="B100" s="13" t="s">
        <v>30</v>
      </c>
      <c r="C100" s="13" t="s">
        <v>135</v>
      </c>
      <c r="D100" s="13"/>
      <c r="E100" s="13"/>
      <c r="F100" s="13"/>
      <c r="G100" s="71"/>
      <c r="H100" s="19"/>
      <c r="I100" s="56"/>
    </row>
    <row r="101" spans="1:9" ht="15.75">
      <c r="A101" s="15"/>
      <c r="B101" s="15"/>
      <c r="C101" s="15" t="s">
        <v>29</v>
      </c>
      <c r="D101" s="15" t="s">
        <v>136</v>
      </c>
      <c r="E101" s="15"/>
      <c r="F101" s="15"/>
      <c r="G101" s="71">
        <v>1720</v>
      </c>
      <c r="H101" s="18">
        <v>1760</v>
      </c>
      <c r="I101" s="56">
        <f>H101/G101*100</f>
        <v>102.32558139534885</v>
      </c>
    </row>
    <row r="102" spans="1:9" ht="15.75">
      <c r="A102" s="15"/>
      <c r="B102" s="13" t="s">
        <v>116</v>
      </c>
      <c r="C102" s="13" t="s">
        <v>137</v>
      </c>
      <c r="D102" s="15"/>
      <c r="E102" s="15"/>
      <c r="F102" s="15"/>
      <c r="G102" s="71"/>
      <c r="H102" s="18"/>
      <c r="I102" s="56"/>
    </row>
    <row r="103" spans="1:9" ht="15.75">
      <c r="A103" s="15"/>
      <c r="B103" s="15"/>
      <c r="C103" s="15" t="s">
        <v>29</v>
      </c>
      <c r="D103" s="15" t="s">
        <v>138</v>
      </c>
      <c r="E103" s="15"/>
      <c r="F103" s="15"/>
      <c r="G103" s="71">
        <v>185</v>
      </c>
      <c r="H103" s="18">
        <v>400</v>
      </c>
      <c r="I103" s="56">
        <f>H103/G103*100</f>
        <v>216.21621621621622</v>
      </c>
    </row>
    <row r="104" spans="1:9" ht="15.75">
      <c r="A104" s="15"/>
      <c r="B104" s="15"/>
      <c r="C104" s="13" t="s">
        <v>19</v>
      </c>
      <c r="D104" s="15" t="s">
        <v>66</v>
      </c>
      <c r="E104" s="15"/>
      <c r="F104" s="15"/>
      <c r="G104" s="71"/>
      <c r="H104" s="18">
        <v>357</v>
      </c>
      <c r="I104" s="56"/>
    </row>
    <row r="105" spans="1:9" ht="15.75">
      <c r="A105" s="13"/>
      <c r="B105" s="13" t="s">
        <v>113</v>
      </c>
      <c r="C105" s="13" t="s">
        <v>139</v>
      </c>
      <c r="D105" s="13"/>
      <c r="E105" s="13"/>
      <c r="F105" s="13"/>
      <c r="G105" s="71"/>
      <c r="H105" s="19"/>
      <c r="I105" s="56"/>
    </row>
    <row r="106" spans="1:9" ht="15.75">
      <c r="A106" s="15"/>
      <c r="B106" s="15"/>
      <c r="C106" s="13" t="s">
        <v>29</v>
      </c>
      <c r="D106" s="15" t="s">
        <v>140</v>
      </c>
      <c r="E106" s="15"/>
      <c r="F106" s="15"/>
      <c r="G106" s="71"/>
      <c r="H106" s="18">
        <v>30</v>
      </c>
      <c r="I106" s="56"/>
    </row>
    <row r="107" spans="1:9" ht="15.75">
      <c r="A107" s="15"/>
      <c r="B107" s="15"/>
      <c r="C107" s="13" t="s">
        <v>19</v>
      </c>
      <c r="D107" s="15" t="s">
        <v>141</v>
      </c>
      <c r="E107" s="15"/>
      <c r="F107" s="15"/>
      <c r="G107" s="71">
        <v>45</v>
      </c>
      <c r="H107" s="18"/>
      <c r="I107" s="56"/>
    </row>
    <row r="108" spans="1:9" ht="15.75" customHeight="1">
      <c r="A108" s="67"/>
      <c r="B108" s="67"/>
      <c r="C108" s="67" t="s">
        <v>30</v>
      </c>
      <c r="D108" s="72" t="s">
        <v>139</v>
      </c>
      <c r="E108" s="67"/>
      <c r="F108" s="67"/>
      <c r="G108" s="71"/>
      <c r="H108" s="71">
        <v>30</v>
      </c>
      <c r="I108" s="56"/>
    </row>
    <row r="109" spans="1:9" ht="15.75">
      <c r="A109" s="15"/>
      <c r="B109" s="15"/>
      <c r="C109" s="13" t="s">
        <v>116</v>
      </c>
      <c r="D109" s="15" t="s">
        <v>142</v>
      </c>
      <c r="E109" s="15"/>
      <c r="F109" s="15"/>
      <c r="G109" s="71">
        <v>100</v>
      </c>
      <c r="H109" s="18">
        <v>120</v>
      </c>
      <c r="I109" s="56">
        <f>H109/G109*100</f>
        <v>120</v>
      </c>
    </row>
    <row r="110" spans="1:9" ht="9" customHeight="1">
      <c r="A110" s="67"/>
      <c r="B110" s="67"/>
      <c r="C110" s="67"/>
      <c r="D110" s="67"/>
      <c r="E110" s="67"/>
      <c r="F110" s="67"/>
      <c r="G110" s="71"/>
      <c r="H110" s="71"/>
      <c r="I110" s="56"/>
    </row>
    <row r="111" spans="1:9" s="11" customFormat="1" ht="15.75">
      <c r="A111" s="13" t="s">
        <v>50</v>
      </c>
      <c r="B111" s="67"/>
      <c r="C111" s="67"/>
      <c r="D111" s="67"/>
      <c r="E111" s="67"/>
      <c r="F111" s="67"/>
      <c r="G111" s="73">
        <f>G97+G99+G101+G103+G104+G106+G107+G109</f>
        <v>8000</v>
      </c>
      <c r="H111" s="73">
        <f>H97+H99+H101+H103+H104+H106+H107+H109+H108</f>
        <v>8797</v>
      </c>
      <c r="I111" s="74">
        <f>H111/G111*100</f>
        <v>109.9625</v>
      </c>
    </row>
    <row r="112" spans="1:9" ht="9" customHeight="1">
      <c r="A112" s="67"/>
      <c r="B112" s="67"/>
      <c r="C112" s="67"/>
      <c r="D112" s="67"/>
      <c r="E112" s="67"/>
      <c r="F112" s="67"/>
      <c r="G112" s="71"/>
      <c r="H112" s="71"/>
      <c r="I112" s="56"/>
    </row>
    <row r="113" spans="1:9" ht="15.75">
      <c r="A113" s="13" t="s">
        <v>143</v>
      </c>
      <c r="B113" s="13" t="s">
        <v>41</v>
      </c>
      <c r="C113" s="13"/>
      <c r="D113" s="13"/>
      <c r="E113" s="13"/>
      <c r="F113" s="13"/>
      <c r="G113" s="13"/>
      <c r="H113" s="19"/>
      <c r="I113" s="56"/>
    </row>
    <row r="114" spans="1:9" ht="9" customHeight="1">
      <c r="A114" s="67"/>
      <c r="B114" s="67"/>
      <c r="C114" s="67"/>
      <c r="D114" s="67"/>
      <c r="E114" s="67"/>
      <c r="F114" s="67"/>
      <c r="G114" s="71"/>
      <c r="H114" s="71"/>
      <c r="I114" s="56"/>
    </row>
    <row r="115" spans="1:9" ht="15.75">
      <c r="A115" s="67"/>
      <c r="B115" s="67" t="s">
        <v>29</v>
      </c>
      <c r="C115" s="304" t="s">
        <v>157</v>
      </c>
      <c r="D115" s="304"/>
      <c r="E115" s="304"/>
      <c r="F115" s="304"/>
      <c r="G115" s="71"/>
      <c r="H115" s="71"/>
      <c r="I115" s="56"/>
    </row>
    <row r="116" spans="1:9" ht="15.75">
      <c r="A116" s="67"/>
      <c r="B116" s="67"/>
      <c r="C116" s="67" t="s">
        <v>29</v>
      </c>
      <c r="D116" s="72" t="s">
        <v>158</v>
      </c>
      <c r="E116" s="67"/>
      <c r="F116" s="67"/>
      <c r="G116" s="71">
        <v>15</v>
      </c>
      <c r="H116" s="71">
        <v>2</v>
      </c>
      <c r="I116" s="56">
        <f>H116/G116*100</f>
        <v>13.333333333333334</v>
      </c>
    </row>
    <row r="117" spans="1:9" ht="15.75">
      <c r="A117" s="67"/>
      <c r="B117" s="67"/>
      <c r="C117" s="67" t="s">
        <v>19</v>
      </c>
      <c r="D117" s="72" t="s">
        <v>159</v>
      </c>
      <c r="E117" s="72"/>
      <c r="F117" s="72"/>
      <c r="G117" s="71">
        <v>2295</v>
      </c>
      <c r="H117" s="71">
        <v>1690</v>
      </c>
      <c r="I117" s="56">
        <f aca="true" t="shared" si="0" ref="I117:I130">H117/G117*100</f>
        <v>73.63834422657952</v>
      </c>
    </row>
    <row r="118" spans="1:9" ht="15.75">
      <c r="A118" s="67"/>
      <c r="B118" s="67"/>
      <c r="C118" s="67" t="s">
        <v>30</v>
      </c>
      <c r="D118" s="72" t="s">
        <v>160</v>
      </c>
      <c r="E118" s="72"/>
      <c r="F118" s="72"/>
      <c r="G118" s="71"/>
      <c r="H118" s="71"/>
      <c r="I118" s="56"/>
    </row>
    <row r="119" spans="1:9" ht="15.75">
      <c r="A119" s="67"/>
      <c r="B119" s="67"/>
      <c r="C119" s="67"/>
      <c r="D119" s="72" t="s">
        <v>29</v>
      </c>
      <c r="E119" s="72" t="s">
        <v>161</v>
      </c>
      <c r="F119" s="72"/>
      <c r="G119" s="71">
        <f>233+26</f>
        <v>259</v>
      </c>
      <c r="H119" s="71">
        <f>38+38</f>
        <v>76</v>
      </c>
      <c r="I119" s="56">
        <f t="shared" si="0"/>
        <v>29.343629343629345</v>
      </c>
    </row>
    <row r="120" spans="1:9" ht="15.75">
      <c r="A120" s="67"/>
      <c r="B120" s="67"/>
      <c r="C120" s="67"/>
      <c r="D120" s="72" t="s">
        <v>19</v>
      </c>
      <c r="E120" s="72" t="s">
        <v>162</v>
      </c>
      <c r="F120" s="72"/>
      <c r="G120" s="71">
        <v>300</v>
      </c>
      <c r="H120" s="71">
        <v>381</v>
      </c>
      <c r="I120" s="56">
        <f t="shared" si="0"/>
        <v>127</v>
      </c>
    </row>
    <row r="121" spans="1:9" ht="15.75">
      <c r="A121" s="67"/>
      <c r="B121" s="67"/>
      <c r="C121" s="67"/>
      <c r="D121" s="72" t="s">
        <v>30</v>
      </c>
      <c r="E121" s="72" t="s">
        <v>404</v>
      </c>
      <c r="F121" s="72"/>
      <c r="G121" s="71">
        <v>10</v>
      </c>
      <c r="H121" s="71">
        <v>10</v>
      </c>
      <c r="I121" s="56">
        <f t="shared" si="0"/>
        <v>100</v>
      </c>
    </row>
    <row r="122" spans="1:9" ht="15.75">
      <c r="A122" s="67"/>
      <c r="B122" s="67"/>
      <c r="C122" s="67"/>
      <c r="D122" s="72" t="s">
        <v>116</v>
      </c>
      <c r="E122" s="72" t="s">
        <v>51</v>
      </c>
      <c r="F122" s="72"/>
      <c r="G122" s="71">
        <v>8</v>
      </c>
      <c r="H122" s="71">
        <v>8</v>
      </c>
      <c r="I122" s="56">
        <f t="shared" si="0"/>
        <v>100</v>
      </c>
    </row>
    <row r="123" spans="1:9" ht="15.75">
      <c r="A123" s="67"/>
      <c r="B123" s="67"/>
      <c r="C123" s="67"/>
      <c r="D123" s="72" t="s">
        <v>113</v>
      </c>
      <c r="E123" s="72" t="s">
        <v>388</v>
      </c>
      <c r="F123" s="72"/>
      <c r="G123" s="71">
        <v>35</v>
      </c>
      <c r="H123" s="71">
        <v>35</v>
      </c>
      <c r="I123" s="56">
        <f t="shared" si="0"/>
        <v>100</v>
      </c>
    </row>
    <row r="124" spans="1:9" ht="15.75">
      <c r="A124" s="67"/>
      <c r="B124" s="67" t="s">
        <v>19</v>
      </c>
      <c r="C124" s="72" t="s">
        <v>163</v>
      </c>
      <c r="D124" s="72"/>
      <c r="E124" s="72"/>
      <c r="F124" s="72"/>
      <c r="G124" s="71"/>
      <c r="H124" s="71"/>
      <c r="I124" s="56"/>
    </row>
    <row r="125" spans="1:9" ht="15.75">
      <c r="A125" s="67"/>
      <c r="B125" s="67"/>
      <c r="C125" s="67" t="s">
        <v>29</v>
      </c>
      <c r="D125" s="72" t="s">
        <v>389</v>
      </c>
      <c r="E125" s="72"/>
      <c r="F125" s="72"/>
      <c r="G125" s="71">
        <v>2399</v>
      </c>
      <c r="H125" s="71">
        <v>2652</v>
      </c>
      <c r="I125" s="56">
        <f t="shared" si="0"/>
        <v>110.54606085869112</v>
      </c>
    </row>
    <row r="126" spans="1:9" ht="15.75">
      <c r="A126" s="67"/>
      <c r="B126" s="67" t="s">
        <v>30</v>
      </c>
      <c r="C126" s="72" t="s">
        <v>164</v>
      </c>
      <c r="D126" s="72"/>
      <c r="E126" s="72"/>
      <c r="F126" s="72"/>
      <c r="G126" s="71"/>
      <c r="H126" s="71"/>
      <c r="I126" s="56"/>
    </row>
    <row r="127" spans="1:9" ht="15.75">
      <c r="A127" s="67"/>
      <c r="B127" s="67"/>
      <c r="C127" s="67" t="s">
        <v>29</v>
      </c>
      <c r="D127" s="72" t="s">
        <v>64</v>
      </c>
      <c r="E127" s="72"/>
      <c r="F127" s="72"/>
      <c r="G127" s="71">
        <v>1553</v>
      </c>
      <c r="H127" s="71">
        <v>1307</v>
      </c>
      <c r="I127" s="56">
        <f t="shared" si="0"/>
        <v>84.15969092079845</v>
      </c>
    </row>
    <row r="128" spans="1:9" ht="15.75">
      <c r="A128" s="67"/>
      <c r="B128" s="67"/>
      <c r="C128" s="67" t="s">
        <v>19</v>
      </c>
      <c r="D128" s="72" t="s">
        <v>52</v>
      </c>
      <c r="E128" s="72"/>
      <c r="F128" s="72"/>
      <c r="G128" s="71">
        <v>653</v>
      </c>
      <c r="H128" s="71">
        <v>460</v>
      </c>
      <c r="I128" s="56">
        <f t="shared" si="0"/>
        <v>70.44410413476263</v>
      </c>
    </row>
    <row r="129" spans="1:9" ht="15.75">
      <c r="A129" s="67"/>
      <c r="B129" s="67"/>
      <c r="C129" s="67" t="s">
        <v>30</v>
      </c>
      <c r="D129" s="72" t="s">
        <v>165</v>
      </c>
      <c r="E129" s="72"/>
      <c r="F129" s="72"/>
      <c r="G129" s="71">
        <v>152</v>
      </c>
      <c r="H129" s="71">
        <v>183</v>
      </c>
      <c r="I129" s="56">
        <f t="shared" si="0"/>
        <v>120.39473684210526</v>
      </c>
    </row>
    <row r="130" spans="1:9" ht="15.75">
      <c r="A130" s="67"/>
      <c r="B130" s="67" t="s">
        <v>116</v>
      </c>
      <c r="C130" s="72" t="s">
        <v>166</v>
      </c>
      <c r="D130" s="67"/>
      <c r="E130" s="67"/>
      <c r="F130" s="67"/>
      <c r="G130" s="71">
        <v>1989</v>
      </c>
      <c r="H130" s="71">
        <f>716+1006</f>
        <v>1722</v>
      </c>
      <c r="I130" s="56">
        <f t="shared" si="0"/>
        <v>86.57616892911011</v>
      </c>
    </row>
    <row r="132" ht="16.5" thickBot="1"/>
    <row r="133" spans="1:9" ht="15.75" customHeight="1">
      <c r="A133" s="309" t="s">
        <v>15</v>
      </c>
      <c r="B133" s="310"/>
      <c r="C133" s="310"/>
      <c r="D133" s="310"/>
      <c r="E133" s="310"/>
      <c r="F133" s="311"/>
      <c r="G133" s="65" t="s">
        <v>13</v>
      </c>
      <c r="H133" s="65" t="s">
        <v>13</v>
      </c>
      <c r="I133" s="66" t="s">
        <v>14</v>
      </c>
    </row>
    <row r="134" spans="1:9" ht="15.75">
      <c r="A134" s="312"/>
      <c r="B134" s="313"/>
      <c r="C134" s="313"/>
      <c r="D134" s="313"/>
      <c r="E134" s="313"/>
      <c r="F134" s="314"/>
      <c r="G134" s="68" t="s">
        <v>8</v>
      </c>
      <c r="H134" s="68" t="s">
        <v>8</v>
      </c>
      <c r="I134" s="35"/>
    </row>
    <row r="135" spans="1:9" s="40" customFormat="1" ht="15.75" customHeight="1" thickBot="1">
      <c r="A135" s="315"/>
      <c r="B135" s="316"/>
      <c r="C135" s="316"/>
      <c r="D135" s="316"/>
      <c r="E135" s="316"/>
      <c r="F135" s="293"/>
      <c r="G135" s="69" t="s">
        <v>34</v>
      </c>
      <c r="H135" s="69" t="s">
        <v>61</v>
      </c>
      <c r="I135" s="37" t="s">
        <v>16</v>
      </c>
    </row>
    <row r="136" spans="1:9" ht="9" customHeight="1">
      <c r="A136" s="67"/>
      <c r="B136" s="67"/>
      <c r="C136" s="67"/>
      <c r="D136" s="67"/>
      <c r="E136" s="67"/>
      <c r="F136" s="67"/>
      <c r="G136" s="71"/>
      <c r="H136" s="71"/>
      <c r="I136" s="56"/>
    </row>
    <row r="137" spans="1:9" ht="15.75">
      <c r="A137" s="67"/>
      <c r="B137" s="67" t="s">
        <v>113</v>
      </c>
      <c r="C137" s="72" t="s">
        <v>167</v>
      </c>
      <c r="D137" s="67"/>
      <c r="E137" s="67"/>
      <c r="F137" s="67"/>
      <c r="G137" s="71">
        <v>719</v>
      </c>
      <c r="H137" s="71">
        <v>642</v>
      </c>
      <c r="I137" s="56">
        <f>H137/G137*100</f>
        <v>89.29068150208623</v>
      </c>
    </row>
    <row r="138" spans="1:9" ht="15.75">
      <c r="A138" s="67"/>
      <c r="B138" s="67" t="s">
        <v>120</v>
      </c>
      <c r="C138" s="72" t="s">
        <v>168</v>
      </c>
      <c r="D138" s="67"/>
      <c r="E138" s="67"/>
      <c r="F138" s="67"/>
      <c r="G138" s="71">
        <v>185</v>
      </c>
      <c r="H138" s="71">
        <f>100+826</f>
        <v>926</v>
      </c>
      <c r="I138" s="56">
        <f>H138/G138*100</f>
        <v>500.5405405405406</v>
      </c>
    </row>
    <row r="139" spans="1:9" ht="9" customHeight="1">
      <c r="A139" s="67"/>
      <c r="B139" s="67"/>
      <c r="C139" s="67"/>
      <c r="D139" s="67"/>
      <c r="E139" s="67"/>
      <c r="F139" s="67"/>
      <c r="G139" s="71"/>
      <c r="H139" s="71"/>
      <c r="I139" s="56"/>
    </row>
    <row r="140" spans="1:9" ht="15.75">
      <c r="A140" s="13" t="s">
        <v>17</v>
      </c>
      <c r="B140" s="67"/>
      <c r="C140" s="67"/>
      <c r="D140" s="67"/>
      <c r="E140" s="67"/>
      <c r="F140" s="67"/>
      <c r="G140" s="73">
        <f>SUM(G116:G139)</f>
        <v>10572</v>
      </c>
      <c r="H140" s="73">
        <f>SUM(H116:H139)</f>
        <v>10094</v>
      </c>
      <c r="I140" s="74">
        <f>H140/G140*100</f>
        <v>95.47862277714718</v>
      </c>
    </row>
    <row r="141" spans="1:9" ht="9" customHeight="1">
      <c r="A141" s="67"/>
      <c r="B141" s="67"/>
      <c r="C141" s="67"/>
      <c r="D141" s="67"/>
      <c r="E141" s="67"/>
      <c r="F141" s="67"/>
      <c r="G141" s="71"/>
      <c r="H141" s="71"/>
      <c r="I141" s="56"/>
    </row>
    <row r="142" spans="1:9" ht="15.75">
      <c r="A142" s="271" t="s">
        <v>396</v>
      </c>
      <c r="B142" s="277" t="s">
        <v>76</v>
      </c>
      <c r="C142" s="277"/>
      <c r="D142" s="277"/>
      <c r="E142" s="277"/>
      <c r="F142" s="277"/>
      <c r="G142" s="277"/>
      <c r="I142" s="56"/>
    </row>
    <row r="143" spans="1:9" ht="15.75">
      <c r="A143" s="10"/>
      <c r="B143" s="278"/>
      <c r="C143" s="278" t="s">
        <v>29</v>
      </c>
      <c r="D143" s="278" t="s">
        <v>393</v>
      </c>
      <c r="E143" s="278"/>
      <c r="F143" s="278"/>
      <c r="G143" s="278"/>
      <c r="I143" s="56"/>
    </row>
    <row r="144" spans="1:9" ht="15.75">
      <c r="A144" s="10"/>
      <c r="B144" s="278"/>
      <c r="C144" s="278"/>
      <c r="D144" s="278" t="s">
        <v>42</v>
      </c>
      <c r="E144" s="278" t="s">
        <v>394</v>
      </c>
      <c r="F144" s="278"/>
      <c r="G144" s="278"/>
      <c r="H144" s="78">
        <f>485+2200</f>
        <v>2685</v>
      </c>
      <c r="I144" s="56"/>
    </row>
    <row r="145" spans="1:9" ht="9" customHeight="1">
      <c r="A145" s="15"/>
      <c r="B145" s="15"/>
      <c r="C145" s="15"/>
      <c r="D145" s="15"/>
      <c r="E145" s="15"/>
      <c r="F145" s="15"/>
      <c r="G145" s="71"/>
      <c r="H145" s="71"/>
      <c r="I145" s="56"/>
    </row>
    <row r="146" spans="1:9" ht="15.75">
      <c r="A146" s="13" t="s">
        <v>395</v>
      </c>
      <c r="B146" s="67"/>
      <c r="C146" s="67"/>
      <c r="D146" s="67"/>
      <c r="E146" s="67"/>
      <c r="F146" s="67"/>
      <c r="G146" s="71"/>
      <c r="H146" s="73">
        <f>H144</f>
        <v>2685</v>
      </c>
      <c r="I146" s="56"/>
    </row>
    <row r="147" spans="1:9" ht="9" customHeight="1">
      <c r="A147" s="15"/>
      <c r="B147" s="15"/>
      <c r="C147" s="15"/>
      <c r="D147" s="15"/>
      <c r="E147" s="15"/>
      <c r="F147" s="15"/>
      <c r="G147" s="71"/>
      <c r="H147" s="71"/>
      <c r="I147" s="56"/>
    </row>
    <row r="148" spans="1:9" ht="15.75">
      <c r="A148" s="13" t="s">
        <v>47</v>
      </c>
      <c r="B148" s="13" t="s">
        <v>77</v>
      </c>
      <c r="C148" s="13"/>
      <c r="D148" s="13"/>
      <c r="E148" s="13"/>
      <c r="F148" s="13"/>
      <c r="G148" s="13"/>
      <c r="H148" s="19"/>
      <c r="I148" s="56"/>
    </row>
    <row r="149" spans="1:9" ht="27.75" customHeight="1">
      <c r="A149" s="15"/>
      <c r="B149" s="15" t="s">
        <v>29</v>
      </c>
      <c r="C149" s="303" t="s">
        <v>397</v>
      </c>
      <c r="D149" s="303"/>
      <c r="E149" s="303"/>
      <c r="F149" s="303"/>
      <c r="G149" s="57"/>
      <c r="H149" s="58"/>
      <c r="I149" s="56"/>
    </row>
    <row r="150" spans="1:9" ht="30.75" customHeight="1">
      <c r="A150" s="15"/>
      <c r="B150" s="15"/>
      <c r="C150" s="63" t="s">
        <v>29</v>
      </c>
      <c r="D150" s="303" t="s">
        <v>392</v>
      </c>
      <c r="E150" s="303"/>
      <c r="F150" s="303"/>
      <c r="G150" s="71"/>
      <c r="H150" s="78">
        <v>100</v>
      </c>
      <c r="I150" s="56"/>
    </row>
    <row r="151" spans="1:9" ht="9" customHeight="1">
      <c r="A151" s="15"/>
      <c r="B151" s="15"/>
      <c r="C151" s="15"/>
      <c r="D151" s="15"/>
      <c r="E151" s="15"/>
      <c r="F151" s="15"/>
      <c r="G151" s="71"/>
      <c r="H151" s="71"/>
      <c r="I151" s="56"/>
    </row>
    <row r="152" spans="1:9" ht="15.75">
      <c r="A152" s="13" t="s">
        <v>77</v>
      </c>
      <c r="B152" s="15"/>
      <c r="C152" s="15"/>
      <c r="D152" s="15"/>
      <c r="E152" s="15"/>
      <c r="F152" s="15"/>
      <c r="G152" s="71"/>
      <c r="H152" s="73">
        <f>H150</f>
        <v>100</v>
      </c>
      <c r="I152" s="56"/>
    </row>
    <row r="153" spans="1:9" ht="9" customHeight="1">
      <c r="A153" s="15"/>
      <c r="B153" s="15"/>
      <c r="C153" s="15"/>
      <c r="D153" s="15"/>
      <c r="E153" s="15"/>
      <c r="F153" s="15"/>
      <c r="G153" s="71"/>
      <c r="H153" s="71"/>
      <c r="I153" s="56"/>
    </row>
    <row r="154" spans="1:9" ht="9" customHeight="1">
      <c r="A154" s="15"/>
      <c r="B154" s="15"/>
      <c r="C154" s="15"/>
      <c r="D154" s="15"/>
      <c r="E154" s="15"/>
      <c r="F154" s="15"/>
      <c r="G154" s="71"/>
      <c r="H154" s="71"/>
      <c r="I154" s="56"/>
    </row>
    <row r="155" spans="1:9" ht="9" customHeight="1">
      <c r="A155" s="15"/>
      <c r="B155" s="15"/>
      <c r="C155" s="15"/>
      <c r="D155" s="15"/>
      <c r="E155" s="15"/>
      <c r="F155" s="15"/>
      <c r="G155" s="71"/>
      <c r="H155" s="71"/>
      <c r="I155" s="56"/>
    </row>
    <row r="156" spans="1:9" ht="15.75">
      <c r="A156" s="13" t="s">
        <v>47</v>
      </c>
      <c r="B156" s="13" t="s">
        <v>80</v>
      </c>
      <c r="C156" s="13"/>
      <c r="D156" s="13"/>
      <c r="E156" s="13"/>
      <c r="F156" s="13"/>
      <c r="G156" s="13"/>
      <c r="H156" s="19"/>
      <c r="I156" s="56"/>
    </row>
    <row r="157" spans="1:9" ht="27.75" customHeight="1">
      <c r="A157" s="15"/>
      <c r="B157" s="15" t="s">
        <v>29</v>
      </c>
      <c r="C157" s="303" t="s">
        <v>144</v>
      </c>
      <c r="D157" s="303"/>
      <c r="E157" s="303"/>
      <c r="F157" s="303"/>
      <c r="G157" s="57"/>
      <c r="H157" s="58"/>
      <c r="I157" s="56"/>
    </row>
    <row r="158" spans="1:9" ht="33" customHeight="1">
      <c r="A158" s="15"/>
      <c r="B158" s="15"/>
      <c r="C158" s="63" t="s">
        <v>29</v>
      </c>
      <c r="D158" s="303" t="s">
        <v>145</v>
      </c>
      <c r="E158" s="303"/>
      <c r="F158" s="303"/>
      <c r="G158" s="71">
        <v>65</v>
      </c>
      <c r="H158" s="78">
        <v>93</v>
      </c>
      <c r="I158" s="56">
        <f>H158/G158*100</f>
        <v>143.07692307692307</v>
      </c>
    </row>
    <row r="159" spans="1:9" ht="48" customHeight="1">
      <c r="A159" s="15"/>
      <c r="B159" s="15"/>
      <c r="C159" s="63" t="s">
        <v>19</v>
      </c>
      <c r="D159" s="303" t="s">
        <v>354</v>
      </c>
      <c r="E159" s="303"/>
      <c r="F159" s="303"/>
      <c r="G159" s="71"/>
      <c r="H159" s="78">
        <f>20000-78-62</f>
        <v>19860</v>
      </c>
      <c r="I159" s="56"/>
    </row>
    <row r="160" spans="1:9" s="11" customFormat="1" ht="15.75">
      <c r="A160" s="15"/>
      <c r="B160" s="15" t="s">
        <v>19</v>
      </c>
      <c r="C160" s="15" t="s">
        <v>146</v>
      </c>
      <c r="D160" s="15"/>
      <c r="E160" s="15"/>
      <c r="F160" s="15"/>
      <c r="G160" s="15"/>
      <c r="H160" s="18"/>
      <c r="I160" s="56"/>
    </row>
    <row r="161" spans="1:9" ht="15.75">
      <c r="A161" s="15"/>
      <c r="B161" s="15"/>
      <c r="C161" s="15" t="s">
        <v>29</v>
      </c>
      <c r="D161" s="33" t="s">
        <v>46</v>
      </c>
      <c r="G161" s="71">
        <v>410</v>
      </c>
      <c r="H161" s="18">
        <v>118</v>
      </c>
      <c r="I161" s="56">
        <f>H161/G161*100</f>
        <v>28.780487804878046</v>
      </c>
    </row>
    <row r="162" spans="1:9" ht="29.25" customHeight="1">
      <c r="A162" s="15"/>
      <c r="B162" s="15"/>
      <c r="C162" s="15" t="s">
        <v>19</v>
      </c>
      <c r="D162" s="302" t="s">
        <v>390</v>
      </c>
      <c r="E162" s="302"/>
      <c r="F162" s="302"/>
      <c r="G162" s="71">
        <v>2767</v>
      </c>
      <c r="H162" s="18"/>
      <c r="I162" s="56"/>
    </row>
    <row r="163" spans="1:9" ht="15.75">
      <c r="A163" s="15"/>
      <c r="B163" s="15"/>
      <c r="C163" s="15" t="s">
        <v>30</v>
      </c>
      <c r="D163" s="302" t="s">
        <v>375</v>
      </c>
      <c r="E163" s="302"/>
      <c r="F163" s="302"/>
      <c r="G163" s="71"/>
      <c r="H163" s="18">
        <v>1500</v>
      </c>
      <c r="I163" s="56"/>
    </row>
    <row r="164" spans="1:9" ht="9" customHeight="1">
      <c r="A164" s="67"/>
      <c r="B164" s="67"/>
      <c r="C164" s="67"/>
      <c r="D164" s="67"/>
      <c r="E164" s="67"/>
      <c r="F164" s="67"/>
      <c r="G164" s="71"/>
      <c r="H164" s="71"/>
      <c r="I164" s="56"/>
    </row>
    <row r="165" spans="1:9" ht="15.75">
      <c r="A165" s="307" t="s">
        <v>147</v>
      </c>
      <c r="B165" s="307"/>
      <c r="C165" s="307"/>
      <c r="D165" s="307"/>
      <c r="E165" s="307"/>
      <c r="F165" s="307"/>
      <c r="G165" s="77">
        <f>SUM(G158:G164)</f>
        <v>3242</v>
      </c>
      <c r="H165" s="77">
        <f>SUM(H158:H164)</f>
        <v>21571</v>
      </c>
      <c r="I165" s="74">
        <f>H165/G165*100</f>
        <v>665.3608883405306</v>
      </c>
    </row>
    <row r="166" spans="1:9" ht="9" customHeight="1">
      <c r="A166" s="67"/>
      <c r="B166" s="67"/>
      <c r="C166" s="67"/>
      <c r="D166" s="67"/>
      <c r="E166" s="67"/>
      <c r="F166" s="67"/>
      <c r="G166" s="71"/>
      <c r="H166" s="71"/>
      <c r="I166" s="56"/>
    </row>
    <row r="167" spans="1:9" ht="24" customHeight="1">
      <c r="A167" s="79" t="s">
        <v>148</v>
      </c>
      <c r="B167" s="79"/>
      <c r="C167" s="79"/>
      <c r="D167" s="79"/>
      <c r="E167" s="79"/>
      <c r="F167" s="79"/>
      <c r="G167" s="80">
        <f>G165+G140+G111+G92+G76</f>
        <v>49227</v>
      </c>
      <c r="H167" s="80">
        <f>H165+H140+H111+H92+H76+H146+H152</f>
        <v>103680</v>
      </c>
      <c r="I167" s="74">
        <f>H167/G167*100</f>
        <v>210.61612529709305</v>
      </c>
    </row>
    <row r="168" spans="1:9" ht="9" customHeight="1">
      <c r="A168" s="67"/>
      <c r="B168" s="67"/>
      <c r="C168" s="67"/>
      <c r="D168" s="67"/>
      <c r="E168" s="67"/>
      <c r="F168" s="67"/>
      <c r="G168" s="71"/>
      <c r="H168" s="71"/>
      <c r="I168" s="56"/>
    </row>
    <row r="169" spans="1:9" ht="15.75">
      <c r="A169" s="81" t="s">
        <v>149</v>
      </c>
      <c r="B169" s="301" t="s">
        <v>150</v>
      </c>
      <c r="C169" s="301"/>
      <c r="D169" s="301"/>
      <c r="E169" s="301"/>
      <c r="F169" s="301"/>
      <c r="G169" s="13"/>
      <c r="H169" s="58"/>
      <c r="I169" s="56"/>
    </row>
    <row r="170" spans="1:9" ht="15.75">
      <c r="A170" s="81"/>
      <c r="B170" s="53" t="s">
        <v>29</v>
      </c>
      <c r="C170" s="301" t="s">
        <v>398</v>
      </c>
      <c r="D170" s="301"/>
      <c r="E170" s="301"/>
      <c r="F170" s="301"/>
      <c r="G170" s="13"/>
      <c r="H170" s="58"/>
      <c r="I170" s="56"/>
    </row>
    <row r="171" spans="1:9" ht="15.75">
      <c r="A171" s="81"/>
      <c r="B171" s="15"/>
      <c r="C171" s="15" t="s">
        <v>29</v>
      </c>
      <c r="D171" s="302" t="s">
        <v>400</v>
      </c>
      <c r="E171" s="302"/>
      <c r="F171" s="302"/>
      <c r="G171" s="13"/>
      <c r="H171" s="58">
        <v>11174</v>
      </c>
      <c r="I171" s="56"/>
    </row>
    <row r="172" spans="1:9" ht="15.75">
      <c r="A172" s="13"/>
      <c r="B172" s="53" t="s">
        <v>19</v>
      </c>
      <c r="C172" s="301" t="s">
        <v>151</v>
      </c>
      <c r="D172" s="301"/>
      <c r="E172" s="301"/>
      <c r="F172" s="301"/>
      <c r="G172" s="71"/>
      <c r="H172" s="58"/>
      <c r="I172" s="56"/>
    </row>
    <row r="173" spans="1:9" ht="15.75">
      <c r="A173" s="13"/>
      <c r="B173" s="53"/>
      <c r="C173" s="63" t="s">
        <v>29</v>
      </c>
      <c r="D173" s="303" t="s">
        <v>152</v>
      </c>
      <c r="E173" s="303"/>
      <c r="F173" s="303"/>
      <c r="G173" s="71">
        <v>53</v>
      </c>
      <c r="H173" s="58">
        <f>1167+20000+1243+1303-20-11174+50+18+10262+45</f>
        <v>22894</v>
      </c>
      <c r="I173" s="56">
        <f>H173/G173*100</f>
        <v>43196.22641509434</v>
      </c>
    </row>
    <row r="174" spans="1:9" ht="15.75">
      <c r="A174" s="15"/>
      <c r="B174" s="15"/>
      <c r="C174" s="15"/>
      <c r="D174" s="15"/>
      <c r="E174" s="15"/>
      <c r="F174" s="15"/>
      <c r="G174" s="15"/>
      <c r="H174" s="18"/>
      <c r="I174" s="56"/>
    </row>
    <row r="175" spans="1:9" ht="16.5">
      <c r="A175" s="79" t="s">
        <v>150</v>
      </c>
      <c r="B175" s="79"/>
      <c r="C175" s="79"/>
      <c r="D175" s="79"/>
      <c r="E175" s="79"/>
      <c r="F175" s="79"/>
      <c r="G175" s="80">
        <f>G173</f>
        <v>53</v>
      </c>
      <c r="H175" s="80">
        <f>SUM(H171:H174)</f>
        <v>34068</v>
      </c>
      <c r="I175" s="56">
        <f>H175/G175*100</f>
        <v>64279.24528301887</v>
      </c>
    </row>
    <row r="176" spans="1:9" ht="13.5" customHeight="1">
      <c r="A176" s="15"/>
      <c r="B176" s="15"/>
      <c r="C176" s="15"/>
      <c r="D176" s="15"/>
      <c r="E176" s="15"/>
      <c r="F176" s="15"/>
      <c r="G176" s="15"/>
      <c r="H176" s="15"/>
      <c r="I176" s="56"/>
    </row>
    <row r="177" spans="1:9" ht="18.75">
      <c r="A177" s="14" t="s">
        <v>153</v>
      </c>
      <c r="B177" s="14"/>
      <c r="C177" s="14"/>
      <c r="D177" s="14"/>
      <c r="E177" s="14"/>
      <c r="F177" s="14"/>
      <c r="G177" s="77">
        <f>G167+G175</f>
        <v>49280</v>
      </c>
      <c r="H177" s="77">
        <f>H167+H175</f>
        <v>137748</v>
      </c>
      <c r="I177" s="74">
        <f>H177/G177*100</f>
        <v>279.5211038961039</v>
      </c>
    </row>
    <row r="178" ht="15.75">
      <c r="I178" s="119" t="s">
        <v>349</v>
      </c>
    </row>
  </sheetData>
  <sheetProtection password="DB7F" sheet="1" selectLockedCells="1" selectUnlockedCells="1"/>
  <mergeCells count="52">
    <mergeCell ref="A10:F12"/>
    <mergeCell ref="A44:F46"/>
    <mergeCell ref="D150:F150"/>
    <mergeCell ref="C149:F149"/>
    <mergeCell ref="D36:F36"/>
    <mergeCell ref="C52:F52"/>
    <mergeCell ref="D48:F48"/>
    <mergeCell ref="E49:F49"/>
    <mergeCell ref="C59:F59"/>
    <mergeCell ref="C41:F41"/>
    <mergeCell ref="D171:F171"/>
    <mergeCell ref="B74:F74"/>
    <mergeCell ref="D88:F88"/>
    <mergeCell ref="D159:F159"/>
    <mergeCell ref="A133:F135"/>
    <mergeCell ref="A84:F86"/>
    <mergeCell ref="A2:I2"/>
    <mergeCell ref="C80:F80"/>
    <mergeCell ref="A4:I4"/>
    <mergeCell ref="A5:I5"/>
    <mergeCell ref="A6:I6"/>
    <mergeCell ref="A7:I7"/>
    <mergeCell ref="E17:F17"/>
    <mergeCell ref="D33:F33"/>
    <mergeCell ref="B14:F14"/>
    <mergeCell ref="D16:F16"/>
    <mergeCell ref="E55:F55"/>
    <mergeCell ref="B68:F68"/>
    <mergeCell ref="C70:F70"/>
    <mergeCell ref="C66:F66"/>
    <mergeCell ref="E63:F63"/>
    <mergeCell ref="E64:F64"/>
    <mergeCell ref="D34:F34"/>
    <mergeCell ref="A1:I1"/>
    <mergeCell ref="D173:F173"/>
    <mergeCell ref="D71:F71"/>
    <mergeCell ref="D81:F81"/>
    <mergeCell ref="D82:F82"/>
    <mergeCell ref="D158:F158"/>
    <mergeCell ref="D162:F162"/>
    <mergeCell ref="A165:F165"/>
    <mergeCell ref="B169:F169"/>
    <mergeCell ref="C172:F172"/>
    <mergeCell ref="D89:F89"/>
    <mergeCell ref="D163:F163"/>
    <mergeCell ref="A76:F76"/>
    <mergeCell ref="C157:F157"/>
    <mergeCell ref="B90:F90"/>
    <mergeCell ref="A92:F92"/>
    <mergeCell ref="C115:F115"/>
    <mergeCell ref="B78:F78"/>
    <mergeCell ref="C170:F170"/>
  </mergeCells>
  <printOptions horizontalCentered="1"/>
  <pageMargins left="0" right="0" top="0.3937007874015748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9.125" style="206" customWidth="1"/>
    <col min="2" max="2" width="61.125" style="206" customWidth="1"/>
    <col min="3" max="6" width="26.25390625" style="206" customWidth="1"/>
    <col min="7" max="16384" width="9.125" style="206" customWidth="1"/>
  </cols>
  <sheetData>
    <row r="1" spans="4:6" ht="12.75">
      <c r="D1" s="288" t="s">
        <v>412</v>
      </c>
      <c r="E1" s="288"/>
      <c r="F1" s="288"/>
    </row>
    <row r="2" spans="1:6" s="194" customFormat="1" ht="15.75">
      <c r="A2" s="84" t="s">
        <v>350</v>
      </c>
      <c r="C2" s="195"/>
      <c r="D2" s="196"/>
      <c r="E2" s="196"/>
      <c r="F2" s="196"/>
    </row>
    <row r="3" spans="2:6" s="42" customFormat="1" ht="15" customHeight="1">
      <c r="B3" s="334"/>
      <c r="C3" s="334"/>
      <c r="D3" s="334"/>
      <c r="E3" s="334"/>
      <c r="F3" s="334"/>
    </row>
    <row r="4" spans="3:6" s="197" customFormat="1" ht="15" customHeight="1">
      <c r="C4" s="198"/>
      <c r="D4" s="199"/>
      <c r="E4" s="199"/>
      <c r="F4" s="199"/>
    </row>
    <row r="5" spans="2:6" s="110" customFormat="1" ht="15" customHeight="1">
      <c r="B5" s="335" t="s">
        <v>26</v>
      </c>
      <c r="C5" s="335"/>
      <c r="D5" s="335"/>
      <c r="E5" s="335"/>
      <c r="F5" s="335"/>
    </row>
    <row r="6" spans="2:6" s="110" customFormat="1" ht="15.75">
      <c r="B6" s="336" t="s">
        <v>169</v>
      </c>
      <c r="C6" s="336"/>
      <c r="D6" s="336"/>
      <c r="E6" s="336"/>
      <c r="F6" s="336"/>
    </row>
    <row r="7" spans="2:6" s="110" customFormat="1" ht="15" customHeight="1">
      <c r="B7" s="335" t="s">
        <v>48</v>
      </c>
      <c r="C7" s="335"/>
      <c r="D7" s="335"/>
      <c r="E7" s="335"/>
      <c r="F7" s="335"/>
    </row>
    <row r="8" spans="2:6" s="194" customFormat="1" ht="12" customHeight="1" thickBot="1">
      <c r="B8" s="195"/>
      <c r="C8" s="200"/>
      <c r="D8" s="201"/>
      <c r="E8" s="201"/>
      <c r="F8" s="202"/>
    </row>
    <row r="9" spans="1:6" s="194" customFormat="1" ht="16.5" customHeight="1" thickBot="1">
      <c r="A9" s="289" t="s">
        <v>175</v>
      </c>
      <c r="B9" s="317" t="s">
        <v>176</v>
      </c>
      <c r="C9" s="320" t="s">
        <v>170</v>
      </c>
      <c r="D9" s="332" t="s">
        <v>12</v>
      </c>
      <c r="E9" s="332"/>
      <c r="F9" s="333"/>
    </row>
    <row r="10" spans="1:6" s="194" customFormat="1" ht="33" customHeight="1" thickBot="1">
      <c r="A10" s="281"/>
      <c r="B10" s="318"/>
      <c r="C10" s="321"/>
      <c r="D10" s="203" t="s">
        <v>171</v>
      </c>
      <c r="E10" s="204" t="s">
        <v>172</v>
      </c>
      <c r="F10" s="205" t="s">
        <v>173</v>
      </c>
    </row>
    <row r="11" spans="1:6" s="194" customFormat="1" ht="22.5" customHeight="1">
      <c r="A11" s="281"/>
      <c r="B11" s="318"/>
      <c r="C11" s="321"/>
      <c r="D11" s="323" t="s">
        <v>174</v>
      </c>
      <c r="E11" s="324"/>
      <c r="F11" s="325"/>
    </row>
    <row r="12" spans="1:6" ht="12.75">
      <c r="A12" s="281"/>
      <c r="B12" s="318"/>
      <c r="C12" s="321"/>
      <c r="D12" s="326"/>
      <c r="E12" s="327"/>
      <c r="F12" s="328"/>
    </row>
    <row r="13" spans="1:6" ht="3" customHeight="1" thickBot="1">
      <c r="A13" s="282"/>
      <c r="B13" s="319"/>
      <c r="C13" s="322"/>
      <c r="D13" s="329"/>
      <c r="E13" s="330"/>
      <c r="F13" s="331"/>
    </row>
    <row r="14" spans="1:6" ht="30">
      <c r="A14" s="215" t="s">
        <v>192</v>
      </c>
      <c r="B14" s="216" t="s">
        <v>193</v>
      </c>
      <c r="C14" s="217">
        <f>SUM(D14:F14)</f>
        <v>13969</v>
      </c>
      <c r="D14" s="217">
        <f>60+7+32+12559+55</f>
        <v>12713</v>
      </c>
      <c r="E14" s="217">
        <f>93+100+268+663+87-268-663+100+826+50</f>
        <v>1256</v>
      </c>
      <c r="F14" s="218"/>
    </row>
    <row r="15" spans="1:6" s="223" customFormat="1" ht="15">
      <c r="A15" s="219"/>
      <c r="B15" s="220" t="s">
        <v>338</v>
      </c>
      <c r="C15" s="221"/>
      <c r="D15" s="221"/>
      <c r="E15" s="221">
        <f>268-268</f>
        <v>0</v>
      </c>
      <c r="F15" s="222"/>
    </row>
    <row r="16" spans="1:6" s="223" customFormat="1" ht="15">
      <c r="A16" s="219"/>
      <c r="B16" s="220" t="s">
        <v>339</v>
      </c>
      <c r="C16" s="221"/>
      <c r="D16" s="221"/>
      <c r="E16" s="221">
        <f>663-663</f>
        <v>0</v>
      </c>
      <c r="F16" s="222"/>
    </row>
    <row r="17" spans="1:6" ht="15">
      <c r="A17" s="209" t="s">
        <v>213</v>
      </c>
      <c r="B17" s="207" t="s">
        <v>24</v>
      </c>
      <c r="C17" s="208">
        <f aca="true" t="shared" si="0" ref="C17:C33">SUM(D17:F17)</f>
        <v>10</v>
      </c>
      <c r="D17" s="208">
        <f>2+8</f>
        <v>10</v>
      </c>
      <c r="E17" s="208"/>
      <c r="F17" s="214"/>
    </row>
    <row r="18" spans="1:6" ht="15">
      <c r="A18" s="209" t="s">
        <v>199</v>
      </c>
      <c r="B18" s="207" t="s">
        <v>200</v>
      </c>
      <c r="C18" s="208">
        <f t="shared" si="0"/>
        <v>4069</v>
      </c>
      <c r="D18" s="208"/>
      <c r="E18" s="208">
        <f>76+21+381+10+3+35+858+485+2200</f>
        <v>4069</v>
      </c>
      <c r="F18" s="214"/>
    </row>
    <row r="19" spans="1:6" ht="15">
      <c r="A19" s="209" t="s">
        <v>336</v>
      </c>
      <c r="B19" s="207" t="s">
        <v>337</v>
      </c>
      <c r="C19" s="208">
        <f t="shared" si="0"/>
        <v>24516</v>
      </c>
      <c r="D19" s="208">
        <f>24093-782-326+67+143+95+195+249</f>
        <v>23734</v>
      </c>
      <c r="E19" s="208"/>
      <c r="F19" s="214">
        <v>782</v>
      </c>
    </row>
    <row r="20" spans="1:6" ht="15">
      <c r="A20" s="209" t="s">
        <v>344</v>
      </c>
      <c r="B20" s="207" t="s">
        <v>345</v>
      </c>
      <c r="C20" s="208">
        <f t="shared" si="0"/>
        <v>50102</v>
      </c>
      <c r="D20" s="208"/>
      <c r="E20" s="208">
        <f>20000+20000-78-20-62+10262</f>
        <v>50102</v>
      </c>
      <c r="F20" s="214"/>
    </row>
    <row r="21" spans="1:6" ht="15">
      <c r="A21" s="88" t="s">
        <v>334</v>
      </c>
      <c r="B21" s="87" t="s">
        <v>335</v>
      </c>
      <c r="C21" s="208">
        <f t="shared" si="0"/>
        <v>1273</v>
      </c>
      <c r="D21" s="208"/>
      <c r="E21" s="208">
        <f>437+260+576</f>
        <v>1273</v>
      </c>
      <c r="F21" s="214"/>
    </row>
    <row r="22" spans="1:6" ht="15">
      <c r="A22" s="88" t="s">
        <v>360</v>
      </c>
      <c r="B22" s="87" t="s">
        <v>361</v>
      </c>
      <c r="C22" s="208">
        <f t="shared" si="0"/>
        <v>10000</v>
      </c>
      <c r="D22" s="208">
        <v>10000</v>
      </c>
      <c r="E22" s="208"/>
      <c r="F22" s="214"/>
    </row>
    <row r="23" spans="1:6" ht="15">
      <c r="A23" s="209" t="s">
        <v>194</v>
      </c>
      <c r="B23" s="207" t="s">
        <v>195</v>
      </c>
      <c r="C23" s="208">
        <f t="shared" si="0"/>
        <v>3368</v>
      </c>
      <c r="D23" s="208">
        <f>2652+716</f>
        <v>3368</v>
      </c>
      <c r="E23" s="208"/>
      <c r="F23" s="214"/>
    </row>
    <row r="24" spans="1:6" ht="15">
      <c r="A24" s="88" t="s">
        <v>205</v>
      </c>
      <c r="B24" s="87" t="s">
        <v>206</v>
      </c>
      <c r="C24" s="208">
        <f t="shared" si="0"/>
        <v>190</v>
      </c>
      <c r="D24" s="208">
        <v>190</v>
      </c>
      <c r="E24" s="208"/>
      <c r="F24" s="214"/>
    </row>
    <row r="25" spans="1:6" ht="15">
      <c r="A25" s="209" t="s">
        <v>207</v>
      </c>
      <c r="B25" s="207" t="s">
        <v>208</v>
      </c>
      <c r="C25" s="208">
        <f t="shared" si="0"/>
        <v>6548</v>
      </c>
      <c r="D25" s="208">
        <f>4390+17+78+445</f>
        <v>4930</v>
      </c>
      <c r="E25" s="208">
        <f>1500+118</f>
        <v>1618</v>
      </c>
      <c r="F25" s="214"/>
    </row>
    <row r="26" spans="1:6" ht="15">
      <c r="A26" s="209" t="s">
        <v>210</v>
      </c>
      <c r="B26" s="207" t="s">
        <v>69</v>
      </c>
      <c r="C26" s="208">
        <f t="shared" si="0"/>
        <v>9050</v>
      </c>
      <c r="D26" s="208">
        <f>7433+1167+450</f>
        <v>9050</v>
      </c>
      <c r="E26" s="208"/>
      <c r="F26" s="214"/>
    </row>
    <row r="27" spans="1:6" ht="15">
      <c r="A27" s="88" t="s">
        <v>219</v>
      </c>
      <c r="B27" s="92" t="s">
        <v>25</v>
      </c>
      <c r="C27" s="208">
        <f t="shared" si="0"/>
        <v>15</v>
      </c>
      <c r="D27" s="208">
        <f>3+12</f>
        <v>15</v>
      </c>
      <c r="E27" s="208"/>
      <c r="F27" s="214"/>
    </row>
    <row r="28" spans="1:6" ht="15">
      <c r="A28" s="88" t="s">
        <v>222</v>
      </c>
      <c r="B28" s="87" t="s">
        <v>223</v>
      </c>
      <c r="C28" s="208">
        <f t="shared" si="0"/>
        <v>74</v>
      </c>
      <c r="D28" s="208">
        <f>5+24+45</f>
        <v>74</v>
      </c>
      <c r="E28" s="208"/>
      <c r="F28" s="214"/>
    </row>
    <row r="29" spans="1:6" ht="15">
      <c r="A29" s="209" t="s">
        <v>198</v>
      </c>
      <c r="B29" s="210" t="s">
        <v>20</v>
      </c>
      <c r="C29" s="208">
        <f t="shared" si="0"/>
        <v>2597</v>
      </c>
      <c r="D29" s="208">
        <f>1690+456+314+7+32+98</f>
        <v>2597</v>
      </c>
      <c r="E29" s="208"/>
      <c r="F29" s="214"/>
    </row>
    <row r="30" spans="1:6" ht="15">
      <c r="A30" s="209" t="s">
        <v>216</v>
      </c>
      <c r="B30" s="210" t="s">
        <v>18</v>
      </c>
      <c r="C30" s="208">
        <f t="shared" si="0"/>
        <v>1977</v>
      </c>
      <c r="D30" s="208">
        <f>1307+353+213+5+24+75</f>
        <v>1977</v>
      </c>
      <c r="E30" s="208"/>
      <c r="F30" s="214"/>
    </row>
    <row r="31" spans="1:6" ht="15">
      <c r="A31" s="209">
        <v>107060</v>
      </c>
      <c r="B31" s="210" t="s">
        <v>374</v>
      </c>
      <c r="C31" s="208">
        <f t="shared" si="0"/>
        <v>266</v>
      </c>
      <c r="D31" s="208">
        <f>248+18</f>
        <v>266</v>
      </c>
      <c r="E31" s="208"/>
      <c r="F31" s="214"/>
    </row>
    <row r="32" spans="1:6" ht="15">
      <c r="A32" s="209">
        <v>900020</v>
      </c>
      <c r="B32" s="228" t="s">
        <v>340</v>
      </c>
      <c r="C32" s="208">
        <f t="shared" si="0"/>
        <v>8737</v>
      </c>
      <c r="D32" s="208">
        <f>8797-60</f>
        <v>8737</v>
      </c>
      <c r="E32" s="208"/>
      <c r="F32" s="214"/>
    </row>
    <row r="33" spans="1:6" ht="30.75" thickBot="1">
      <c r="A33" s="209">
        <v>900080</v>
      </c>
      <c r="B33" s="216" t="s">
        <v>358</v>
      </c>
      <c r="C33" s="208">
        <f t="shared" si="0"/>
        <v>987</v>
      </c>
      <c r="D33" s="208">
        <f>3+13+40</f>
        <v>56</v>
      </c>
      <c r="E33" s="208">
        <f>268+663</f>
        <v>931</v>
      </c>
      <c r="F33" s="214"/>
    </row>
    <row r="34" spans="1:6" ht="33" customHeight="1" thickBot="1">
      <c r="A34" s="211"/>
      <c r="B34" s="212" t="s">
        <v>1</v>
      </c>
      <c r="C34" s="213">
        <f>SUM(C14:C33)-C15-C16</f>
        <v>137748</v>
      </c>
      <c r="D34" s="213">
        <f>SUM(D14:D33)-D15-D16</f>
        <v>77717</v>
      </c>
      <c r="E34" s="213">
        <f>SUM(E14:E33)-E15-E16</f>
        <v>59249</v>
      </c>
      <c r="F34" s="213">
        <f>SUM(F14:F33)-F15-F16</f>
        <v>782</v>
      </c>
    </row>
    <row r="35" ht="12.75">
      <c r="F35" s="229" t="s">
        <v>349</v>
      </c>
    </row>
  </sheetData>
  <sheetProtection password="DB7F" sheet="1" selectLockedCells="1" selectUnlockedCells="1"/>
  <mergeCells count="10">
    <mergeCell ref="D1:F1"/>
    <mergeCell ref="A9:A13"/>
    <mergeCell ref="B9:B13"/>
    <mergeCell ref="C9:C13"/>
    <mergeCell ref="D11:F13"/>
    <mergeCell ref="D9:F9"/>
    <mergeCell ref="B3:F3"/>
    <mergeCell ref="B5:F5"/>
    <mergeCell ref="B6:F6"/>
    <mergeCell ref="B7:F7"/>
  </mergeCells>
  <printOptions horizontalCentered="1"/>
  <pageMargins left="0" right="0" top="0" bottom="0" header="0.31496062992125984" footer="0.31496062992125984"/>
  <pageSetup fitToHeight="1" fitToWidth="1" horizontalDpi="300" verticalDpi="300" orientation="landscape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zoomScalePageLayoutView="0" workbookViewId="0" topLeftCell="I1">
      <selection activeCell="O1" sqref="O1:U1"/>
    </sheetView>
  </sheetViews>
  <sheetFormatPr defaultColWidth="9.00390625" defaultRowHeight="12.75"/>
  <cols>
    <col min="1" max="1" width="10.00390625" style="89" customWidth="1"/>
    <col min="2" max="2" width="36.00390625" style="89" customWidth="1"/>
    <col min="3" max="3" width="11.25390625" style="89" customWidth="1"/>
    <col min="4" max="8" width="9.25390625" style="89" customWidth="1"/>
    <col min="9" max="9" width="12.25390625" style="89" customWidth="1"/>
    <col min="10" max="10" width="11.125" style="89" customWidth="1"/>
    <col min="11" max="11" width="9.25390625" style="89" customWidth="1"/>
    <col min="12" max="12" width="11.875" style="89" customWidth="1"/>
    <col min="13" max="13" width="12.125" style="89" customWidth="1"/>
    <col min="14" max="14" width="10.625" style="89" customWidth="1"/>
    <col min="15" max="15" width="9.25390625" style="89" customWidth="1"/>
    <col min="16" max="16" width="10.25390625" style="89" customWidth="1"/>
    <col min="17" max="17" width="13.00390625" style="89" customWidth="1"/>
    <col min="18" max="27" width="9.25390625" style="89" customWidth="1"/>
    <col min="28" max="16384" width="24.875" style="89" customWidth="1"/>
  </cols>
  <sheetData>
    <row r="1" spans="15:21" ht="15">
      <c r="O1" s="356" t="s">
        <v>413</v>
      </c>
      <c r="P1" s="356"/>
      <c r="Q1" s="356"/>
      <c r="R1" s="356"/>
      <c r="S1" s="356"/>
      <c r="T1" s="356"/>
      <c r="U1" s="356"/>
    </row>
    <row r="2" spans="1:19" s="103" customFormat="1" ht="15">
      <c r="A2" s="297" t="s">
        <v>351</v>
      </c>
      <c r="B2" s="297"/>
      <c r="C2" s="297"/>
      <c r="D2" s="297"/>
      <c r="E2" s="297"/>
      <c r="F2" s="297"/>
      <c r="G2" s="297"/>
      <c r="H2" s="297"/>
      <c r="S2" s="104"/>
    </row>
    <row r="3" spans="1:16" ht="15.75" customHeight="1">
      <c r="A3" s="337"/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</row>
    <row r="4" spans="1:21" ht="15.75" customHeight="1">
      <c r="A4" s="337"/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</row>
    <row r="5" spans="1:16" ht="15.75" customHeight="1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</row>
    <row r="6" spans="1:21" ht="15.75" customHeight="1">
      <c r="A6" s="337" t="s">
        <v>26</v>
      </c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7"/>
      <c r="Q6" s="337"/>
      <c r="R6" s="337"/>
      <c r="S6" s="337"/>
      <c r="T6" s="337"/>
      <c r="U6" s="337"/>
    </row>
    <row r="7" spans="1:21" ht="15.75" customHeight="1">
      <c r="A7" s="337" t="s">
        <v>391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</row>
    <row r="8" spans="1:21" ht="15.75" customHeight="1">
      <c r="A8" s="337" t="s">
        <v>58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7"/>
      <c r="M8" s="337"/>
      <c r="N8" s="337"/>
      <c r="O8" s="337"/>
      <c r="P8" s="337"/>
      <c r="Q8" s="337"/>
      <c r="R8" s="337"/>
      <c r="S8" s="337"/>
      <c r="T8" s="337"/>
      <c r="U8" s="337"/>
    </row>
    <row r="9" ht="15.75" thickBot="1">
      <c r="R9" s="89" t="s">
        <v>6</v>
      </c>
    </row>
    <row r="10" spans="1:21" s="85" customFormat="1" ht="20.25" customHeight="1" thickBot="1">
      <c r="A10" s="347" t="s">
        <v>175</v>
      </c>
      <c r="B10" s="375" t="s">
        <v>176</v>
      </c>
      <c r="C10" s="338" t="s">
        <v>177</v>
      </c>
      <c r="D10" s="341" t="s">
        <v>178</v>
      </c>
      <c r="E10" s="342"/>
      <c r="F10" s="342"/>
      <c r="G10" s="342"/>
      <c r="H10" s="342"/>
      <c r="I10" s="342"/>
      <c r="J10" s="342"/>
      <c r="K10" s="342"/>
      <c r="L10" s="342"/>
      <c r="M10" s="342"/>
      <c r="N10" s="342"/>
      <c r="O10" s="342"/>
      <c r="P10" s="342"/>
      <c r="Q10" s="343"/>
      <c r="R10" s="359" t="s">
        <v>2</v>
      </c>
      <c r="S10" s="360"/>
      <c r="T10" s="360"/>
      <c r="U10" s="361"/>
    </row>
    <row r="11" spans="1:21" s="85" customFormat="1" ht="38.25" customHeight="1" thickBot="1">
      <c r="A11" s="348"/>
      <c r="B11" s="376"/>
      <c r="C11" s="339"/>
      <c r="D11" s="344" t="s">
        <v>54</v>
      </c>
      <c r="E11" s="345"/>
      <c r="F11" s="345"/>
      <c r="G11" s="345"/>
      <c r="H11" s="345"/>
      <c r="I11" s="346"/>
      <c r="J11" s="341" t="s">
        <v>55</v>
      </c>
      <c r="K11" s="342"/>
      <c r="L11" s="342"/>
      <c r="M11" s="343"/>
      <c r="N11" s="372" t="s">
        <v>179</v>
      </c>
      <c r="O11" s="373"/>
      <c r="P11" s="373"/>
      <c r="Q11" s="374"/>
      <c r="R11" s="362" t="s">
        <v>7</v>
      </c>
      <c r="S11" s="363"/>
      <c r="T11" s="364" t="s">
        <v>229</v>
      </c>
      <c r="U11" s="365"/>
    </row>
    <row r="12" spans="1:21" s="85" customFormat="1" ht="21" customHeight="1">
      <c r="A12" s="348"/>
      <c r="B12" s="376"/>
      <c r="C12" s="339"/>
      <c r="D12" s="338" t="s">
        <v>180</v>
      </c>
      <c r="E12" s="338" t="s">
        <v>181</v>
      </c>
      <c r="F12" s="338" t="s">
        <v>182</v>
      </c>
      <c r="G12" s="338" t="s">
        <v>183</v>
      </c>
      <c r="H12" s="338" t="s">
        <v>184</v>
      </c>
      <c r="I12" s="353" t="s">
        <v>185</v>
      </c>
      <c r="J12" s="378" t="s">
        <v>186</v>
      </c>
      <c r="K12" s="378" t="s">
        <v>56</v>
      </c>
      <c r="L12" s="338" t="s">
        <v>187</v>
      </c>
      <c r="M12" s="350" t="s">
        <v>57</v>
      </c>
      <c r="N12" s="338" t="s">
        <v>188</v>
      </c>
      <c r="O12" s="338" t="s">
        <v>189</v>
      </c>
      <c r="P12" s="338" t="s">
        <v>190</v>
      </c>
      <c r="Q12" s="350" t="s">
        <v>191</v>
      </c>
      <c r="R12" s="105" t="s">
        <v>230</v>
      </c>
      <c r="S12" s="106" t="s">
        <v>231</v>
      </c>
      <c r="T12" s="105" t="s">
        <v>232</v>
      </c>
      <c r="U12" s="105" t="s">
        <v>233</v>
      </c>
    </row>
    <row r="13" spans="1:21" s="85" customFormat="1" ht="18.75" customHeight="1">
      <c r="A13" s="348"/>
      <c r="B13" s="376"/>
      <c r="C13" s="339"/>
      <c r="D13" s="339"/>
      <c r="E13" s="339"/>
      <c r="F13" s="339"/>
      <c r="G13" s="339"/>
      <c r="H13" s="339"/>
      <c r="I13" s="354"/>
      <c r="J13" s="379"/>
      <c r="K13" s="379"/>
      <c r="L13" s="339"/>
      <c r="M13" s="357"/>
      <c r="N13" s="339"/>
      <c r="O13" s="339"/>
      <c r="P13" s="339"/>
      <c r="Q13" s="351"/>
      <c r="R13" s="366" t="s">
        <v>234</v>
      </c>
      <c r="S13" s="367"/>
      <c r="T13" s="367"/>
      <c r="U13" s="368"/>
    </row>
    <row r="14" spans="1:21" s="85" customFormat="1" ht="20.25" customHeight="1" thickBot="1">
      <c r="A14" s="349"/>
      <c r="B14" s="377"/>
      <c r="C14" s="340"/>
      <c r="D14" s="340"/>
      <c r="E14" s="340"/>
      <c r="F14" s="340"/>
      <c r="G14" s="340"/>
      <c r="H14" s="340"/>
      <c r="I14" s="355"/>
      <c r="J14" s="380"/>
      <c r="K14" s="380"/>
      <c r="L14" s="340"/>
      <c r="M14" s="358"/>
      <c r="N14" s="340"/>
      <c r="O14" s="340"/>
      <c r="P14" s="340"/>
      <c r="Q14" s="352"/>
      <c r="R14" s="369"/>
      <c r="S14" s="370"/>
      <c r="T14" s="370"/>
      <c r="U14" s="371"/>
    </row>
    <row r="15" spans="1:21" ht="45">
      <c r="A15" s="86" t="s">
        <v>192</v>
      </c>
      <c r="B15" s="87" t="s">
        <v>193</v>
      </c>
      <c r="C15" s="91">
        <f aca="true" t="shared" si="0" ref="C15:C45">I15+M15+Q15</f>
        <v>28645</v>
      </c>
      <c r="D15" s="91">
        <f>885+3024+450+220+478+6+26+53-220-478+17+11+97</f>
        <v>4569</v>
      </c>
      <c r="E15" s="91">
        <f>1377+61+130+1+6+27-61-130+5+3+50</f>
        <v>1469</v>
      </c>
      <c r="F15" s="91">
        <f>3008+365+824+62-365-824+98</f>
        <v>3168</v>
      </c>
      <c r="G15" s="91"/>
      <c r="H15" s="91">
        <f>112+4862+20000-600-360-560-78-62+100+118+485+826-100-19738-325+2200</f>
        <v>6880</v>
      </c>
      <c r="I15" s="91">
        <f aca="true" t="shared" si="1" ref="I15:I45">SUM(D15:H15)</f>
        <v>16086</v>
      </c>
      <c r="J15" s="91">
        <v>12559</v>
      </c>
      <c r="K15" s="91"/>
      <c r="L15" s="91"/>
      <c r="M15" s="91">
        <f>SUM(J15:L15)</f>
        <v>12559</v>
      </c>
      <c r="N15" s="91"/>
      <c r="O15" s="91"/>
      <c r="P15" s="91"/>
      <c r="Q15" s="91"/>
      <c r="R15" s="107">
        <f>0.5+0.1+0.2-0.3</f>
        <v>0.5</v>
      </c>
      <c r="S15" s="91">
        <v>0.5</v>
      </c>
      <c r="T15" s="91"/>
      <c r="U15" s="91"/>
    </row>
    <row r="16" spans="1:21" s="103" customFormat="1" ht="15">
      <c r="A16" s="219"/>
      <c r="B16" s="220" t="s">
        <v>338</v>
      </c>
      <c r="C16" s="225">
        <f>I16+M16+Q16</f>
        <v>0</v>
      </c>
      <c r="D16" s="225"/>
      <c r="E16" s="225"/>
      <c r="F16" s="225"/>
      <c r="G16" s="225"/>
      <c r="H16" s="225"/>
      <c r="I16" s="225">
        <f>SUM(D16:H16)</f>
        <v>0</v>
      </c>
      <c r="J16" s="225"/>
      <c r="K16" s="225"/>
      <c r="L16" s="225"/>
      <c r="M16" s="225"/>
      <c r="N16" s="225"/>
      <c r="O16" s="225"/>
      <c r="P16" s="225"/>
      <c r="Q16" s="225"/>
      <c r="R16" s="226"/>
      <c r="S16" s="225"/>
      <c r="T16" s="225"/>
      <c r="U16" s="225"/>
    </row>
    <row r="17" spans="1:21" s="103" customFormat="1" ht="15">
      <c r="A17" s="219"/>
      <c r="B17" s="220" t="s">
        <v>339</v>
      </c>
      <c r="C17" s="225">
        <f>I17+M17+Q17</f>
        <v>0</v>
      </c>
      <c r="D17" s="225"/>
      <c r="E17" s="225"/>
      <c r="F17" s="225"/>
      <c r="G17" s="225"/>
      <c r="H17" s="225"/>
      <c r="I17" s="225">
        <f>SUM(D17:H17)</f>
        <v>0</v>
      </c>
      <c r="J17" s="225"/>
      <c r="K17" s="225"/>
      <c r="L17" s="225"/>
      <c r="M17" s="225"/>
      <c r="N17" s="225"/>
      <c r="O17" s="225"/>
      <c r="P17" s="225"/>
      <c r="Q17" s="225"/>
      <c r="R17" s="226"/>
      <c r="S17" s="225"/>
      <c r="T17" s="225"/>
      <c r="U17" s="225"/>
    </row>
    <row r="18" spans="1:21" ht="15">
      <c r="A18" s="88" t="s">
        <v>213</v>
      </c>
      <c r="B18" s="87" t="s">
        <v>24</v>
      </c>
      <c r="C18" s="91">
        <f t="shared" si="0"/>
        <v>51</v>
      </c>
      <c r="D18" s="91"/>
      <c r="E18" s="91"/>
      <c r="F18" s="91">
        <v>51</v>
      </c>
      <c r="G18" s="91"/>
      <c r="H18" s="91"/>
      <c r="I18" s="91">
        <f t="shared" si="1"/>
        <v>51</v>
      </c>
      <c r="J18" s="91"/>
      <c r="K18" s="91"/>
      <c r="L18" s="91"/>
      <c r="M18" s="91"/>
      <c r="N18" s="91"/>
      <c r="O18" s="91"/>
      <c r="P18" s="91"/>
      <c r="Q18" s="91"/>
      <c r="R18" s="108"/>
      <c r="S18" s="91"/>
      <c r="T18" s="91"/>
      <c r="U18" s="91"/>
    </row>
    <row r="19" spans="1:21" ht="29.25" customHeight="1">
      <c r="A19" s="88" t="s">
        <v>199</v>
      </c>
      <c r="B19" s="87" t="s">
        <v>200</v>
      </c>
      <c r="C19" s="91">
        <f t="shared" si="0"/>
        <v>1506</v>
      </c>
      <c r="D19" s="91"/>
      <c r="E19" s="91"/>
      <c r="F19" s="91">
        <f>648+858</f>
        <v>1506</v>
      </c>
      <c r="G19" s="91"/>
      <c r="H19" s="91"/>
      <c r="I19" s="91">
        <f t="shared" si="1"/>
        <v>1506</v>
      </c>
      <c r="J19" s="91"/>
      <c r="K19" s="91"/>
      <c r="L19" s="91"/>
      <c r="M19" s="91"/>
      <c r="N19" s="91"/>
      <c r="O19" s="91"/>
      <c r="P19" s="91"/>
      <c r="Q19" s="91"/>
      <c r="R19" s="109"/>
      <c r="S19" s="91"/>
      <c r="T19" s="91"/>
      <c r="U19" s="91"/>
    </row>
    <row r="20" spans="1:21" ht="15">
      <c r="A20" s="209" t="s">
        <v>344</v>
      </c>
      <c r="B20" s="207" t="s">
        <v>345</v>
      </c>
      <c r="C20" s="91">
        <f t="shared" si="0"/>
        <v>49980</v>
      </c>
      <c r="D20" s="91"/>
      <c r="E20" s="91"/>
      <c r="F20" s="91"/>
      <c r="G20" s="91"/>
      <c r="H20" s="91"/>
      <c r="I20" s="91"/>
      <c r="J20" s="91"/>
      <c r="K20" s="91"/>
      <c r="L20" s="91">
        <f>20000-20+30000</f>
        <v>49980</v>
      </c>
      <c r="M20" s="91">
        <f>SUM(J20:L20)</f>
        <v>49980</v>
      </c>
      <c r="N20" s="91"/>
      <c r="O20" s="91"/>
      <c r="P20" s="91"/>
      <c r="Q20" s="91"/>
      <c r="R20" s="109"/>
      <c r="S20" s="91"/>
      <c r="T20" s="91"/>
      <c r="U20" s="91"/>
    </row>
    <row r="21" spans="1:21" ht="15">
      <c r="A21" s="88" t="s">
        <v>334</v>
      </c>
      <c r="B21" s="87" t="s">
        <v>335</v>
      </c>
      <c r="C21" s="91">
        <f t="shared" si="0"/>
        <v>1273</v>
      </c>
      <c r="D21" s="91">
        <f>385+229+507</f>
        <v>1121</v>
      </c>
      <c r="E21" s="91">
        <f>52+31+69</f>
        <v>152</v>
      </c>
      <c r="F21" s="91"/>
      <c r="G21" s="91"/>
      <c r="H21" s="91"/>
      <c r="I21" s="91">
        <f t="shared" si="1"/>
        <v>1273</v>
      </c>
      <c r="J21" s="91"/>
      <c r="K21" s="91"/>
      <c r="L21" s="91"/>
      <c r="M21" s="91"/>
      <c r="N21" s="91"/>
      <c r="O21" s="91"/>
      <c r="P21" s="91"/>
      <c r="Q21" s="91"/>
      <c r="R21" s="109"/>
      <c r="S21" s="91"/>
      <c r="T21" s="91"/>
      <c r="U21" s="91"/>
    </row>
    <row r="22" spans="1:21" ht="15">
      <c r="A22" s="88" t="s">
        <v>360</v>
      </c>
      <c r="B22" s="87" t="s">
        <v>361</v>
      </c>
      <c r="C22" s="91">
        <f t="shared" si="0"/>
        <v>10100</v>
      </c>
      <c r="D22" s="91"/>
      <c r="E22" s="91"/>
      <c r="F22" s="91"/>
      <c r="G22" s="91"/>
      <c r="H22" s="91"/>
      <c r="I22" s="91">
        <f t="shared" si="1"/>
        <v>0</v>
      </c>
      <c r="J22" s="91"/>
      <c r="K22" s="91">
        <f>10000+100</f>
        <v>10100</v>
      </c>
      <c r="L22" s="91"/>
      <c r="M22" s="91">
        <f>SUM(J22:L22)</f>
        <v>10100</v>
      </c>
      <c r="N22" s="91"/>
      <c r="O22" s="91"/>
      <c r="P22" s="91"/>
      <c r="Q22" s="91"/>
      <c r="R22" s="109"/>
      <c r="S22" s="91"/>
      <c r="T22" s="91"/>
      <c r="U22" s="91"/>
    </row>
    <row r="23" spans="1:21" ht="30.75" thickBot="1">
      <c r="A23" s="88" t="s">
        <v>201</v>
      </c>
      <c r="B23" s="87" t="s">
        <v>202</v>
      </c>
      <c r="C23" s="91">
        <f t="shared" si="0"/>
        <v>1139</v>
      </c>
      <c r="D23" s="91"/>
      <c r="E23" s="91"/>
      <c r="F23" s="91">
        <f>254+560+325</f>
        <v>1139</v>
      </c>
      <c r="G23" s="91"/>
      <c r="H23" s="91"/>
      <c r="I23" s="91">
        <f t="shared" si="1"/>
        <v>1139</v>
      </c>
      <c r="J23" s="91"/>
      <c r="K23" s="91"/>
      <c r="L23" s="91"/>
      <c r="M23" s="91"/>
      <c r="N23" s="91"/>
      <c r="O23" s="91"/>
      <c r="P23" s="91"/>
      <c r="Q23" s="91"/>
      <c r="R23" s="109"/>
      <c r="S23" s="91"/>
      <c r="T23" s="91"/>
      <c r="U23" s="91"/>
    </row>
    <row r="24" spans="1:21" ht="45">
      <c r="A24" s="86" t="s">
        <v>196</v>
      </c>
      <c r="B24" s="87" t="s">
        <v>197</v>
      </c>
      <c r="C24" s="91">
        <f t="shared" si="0"/>
        <v>288</v>
      </c>
      <c r="D24" s="91"/>
      <c r="E24" s="91"/>
      <c r="F24" s="91">
        <v>288</v>
      </c>
      <c r="G24" s="91"/>
      <c r="H24" s="91"/>
      <c r="I24" s="91">
        <f t="shared" si="1"/>
        <v>288</v>
      </c>
      <c r="J24" s="91"/>
      <c r="K24" s="91"/>
      <c r="L24" s="91"/>
      <c r="M24" s="91"/>
      <c r="N24" s="91"/>
      <c r="O24" s="91"/>
      <c r="P24" s="91"/>
      <c r="Q24" s="91"/>
      <c r="R24" s="107"/>
      <c r="S24" s="91"/>
      <c r="T24" s="91"/>
      <c r="U24" s="91"/>
    </row>
    <row r="25" spans="1:21" ht="30">
      <c r="A25" s="88" t="s">
        <v>194</v>
      </c>
      <c r="B25" s="87" t="s">
        <v>195</v>
      </c>
      <c r="C25" s="91">
        <f t="shared" si="0"/>
        <v>3368</v>
      </c>
      <c r="D25" s="91"/>
      <c r="E25" s="91"/>
      <c r="F25" s="91">
        <v>3368</v>
      </c>
      <c r="G25" s="91"/>
      <c r="H25" s="91"/>
      <c r="I25" s="91">
        <f t="shared" si="1"/>
        <v>3368</v>
      </c>
      <c r="J25" s="91"/>
      <c r="K25" s="91"/>
      <c r="L25" s="91"/>
      <c r="M25" s="91"/>
      <c r="N25" s="91"/>
      <c r="O25" s="91"/>
      <c r="P25" s="91"/>
      <c r="Q25" s="91"/>
      <c r="R25" s="109"/>
      <c r="S25" s="91"/>
      <c r="T25" s="91"/>
      <c r="U25" s="91"/>
    </row>
    <row r="26" spans="1:21" ht="15">
      <c r="A26" s="88" t="s">
        <v>372</v>
      </c>
      <c r="B26" s="87" t="s">
        <v>373</v>
      </c>
      <c r="C26" s="91">
        <f t="shared" si="0"/>
        <v>600</v>
      </c>
      <c r="D26" s="91"/>
      <c r="E26" s="91"/>
      <c r="F26" s="91"/>
      <c r="G26" s="91"/>
      <c r="H26" s="91"/>
      <c r="I26" s="91"/>
      <c r="J26" s="91"/>
      <c r="K26" s="91"/>
      <c r="L26" s="91">
        <v>600</v>
      </c>
      <c r="M26" s="91">
        <f>SUM(J26:L26)</f>
        <v>600</v>
      </c>
      <c r="N26" s="91"/>
      <c r="O26" s="91"/>
      <c r="P26" s="91"/>
      <c r="Q26" s="91"/>
      <c r="R26" s="109"/>
      <c r="S26" s="91"/>
      <c r="T26" s="91"/>
      <c r="U26" s="91"/>
    </row>
    <row r="27" spans="1:21" ht="15">
      <c r="A27" s="88" t="s">
        <v>205</v>
      </c>
      <c r="B27" s="87" t="s">
        <v>206</v>
      </c>
      <c r="C27" s="91">
        <f t="shared" si="0"/>
        <v>3174</v>
      </c>
      <c r="D27" s="91"/>
      <c r="E27" s="91"/>
      <c r="F27" s="91">
        <f>2984+190</f>
        <v>3174</v>
      </c>
      <c r="G27" s="91"/>
      <c r="H27" s="91"/>
      <c r="I27" s="91">
        <f t="shared" si="1"/>
        <v>3174</v>
      </c>
      <c r="J27" s="91"/>
      <c r="K27" s="91"/>
      <c r="L27" s="91"/>
      <c r="M27" s="91"/>
      <c r="N27" s="91"/>
      <c r="O27" s="91"/>
      <c r="P27" s="91"/>
      <c r="Q27" s="91"/>
      <c r="R27" s="109"/>
      <c r="S27" s="91"/>
      <c r="T27" s="91"/>
      <c r="U27" s="91"/>
    </row>
    <row r="28" spans="1:21" ht="15">
      <c r="A28" s="88" t="s">
        <v>203</v>
      </c>
      <c r="B28" s="87" t="s">
        <v>204</v>
      </c>
      <c r="C28" s="91">
        <f t="shared" si="0"/>
        <v>381</v>
      </c>
      <c r="D28" s="91"/>
      <c r="E28" s="91"/>
      <c r="F28" s="91">
        <v>381</v>
      </c>
      <c r="G28" s="91"/>
      <c r="H28" s="91"/>
      <c r="I28" s="91">
        <f t="shared" si="1"/>
        <v>381</v>
      </c>
      <c r="J28" s="91"/>
      <c r="K28" s="91"/>
      <c r="L28" s="91"/>
      <c r="M28" s="91"/>
      <c r="N28" s="91"/>
      <c r="O28" s="91"/>
      <c r="P28" s="91"/>
      <c r="Q28" s="91"/>
      <c r="R28" s="109"/>
      <c r="S28" s="91"/>
      <c r="T28" s="91"/>
      <c r="U28" s="91"/>
    </row>
    <row r="29" spans="1:21" ht="30">
      <c r="A29" s="88" t="s">
        <v>207</v>
      </c>
      <c r="B29" s="87" t="s">
        <v>208</v>
      </c>
      <c r="C29" s="91">
        <f t="shared" si="0"/>
        <v>8414</v>
      </c>
      <c r="D29" s="91">
        <f>637+13+63+41+27</f>
        <v>781</v>
      </c>
      <c r="E29" s="91">
        <f>172+4+15+11+8</f>
        <v>210</v>
      </c>
      <c r="F29" s="91">
        <f>1088+445</f>
        <v>1533</v>
      </c>
      <c r="G29" s="91"/>
      <c r="H29" s="91"/>
      <c r="I29" s="91">
        <f t="shared" si="1"/>
        <v>2524</v>
      </c>
      <c r="J29" s="91">
        <f>4390+1500</f>
        <v>5890</v>
      </c>
      <c r="K29" s="91"/>
      <c r="L29" s="91"/>
      <c r="M29" s="91">
        <f>SUM(J29:L29)</f>
        <v>5890</v>
      </c>
      <c r="N29" s="91"/>
      <c r="O29" s="91"/>
      <c r="P29" s="91"/>
      <c r="Q29" s="91"/>
      <c r="R29" s="109">
        <v>0.5</v>
      </c>
      <c r="S29" s="91">
        <v>0.5</v>
      </c>
      <c r="T29" s="91">
        <v>1</v>
      </c>
      <c r="U29" s="91"/>
    </row>
    <row r="30" spans="1:21" ht="15">
      <c r="A30" s="88" t="s">
        <v>209</v>
      </c>
      <c r="B30" s="92" t="s">
        <v>21</v>
      </c>
      <c r="C30" s="91">
        <f t="shared" si="0"/>
        <v>60</v>
      </c>
      <c r="D30" s="91"/>
      <c r="E30" s="91"/>
      <c r="F30" s="91">
        <v>60</v>
      </c>
      <c r="G30" s="91"/>
      <c r="H30" s="91"/>
      <c r="I30" s="91">
        <f t="shared" si="1"/>
        <v>60</v>
      </c>
      <c r="J30" s="91"/>
      <c r="K30" s="91"/>
      <c r="L30" s="91"/>
      <c r="M30" s="91"/>
      <c r="N30" s="91"/>
      <c r="O30" s="91"/>
      <c r="P30" s="91"/>
      <c r="Q30" s="91"/>
      <c r="R30" s="109"/>
      <c r="S30" s="91"/>
      <c r="T30" s="91"/>
      <c r="U30" s="91"/>
    </row>
    <row r="31" spans="1:21" ht="30">
      <c r="A31" s="88" t="s">
        <v>210</v>
      </c>
      <c r="B31" s="87" t="s">
        <v>69</v>
      </c>
      <c r="C31" s="91">
        <f t="shared" si="0"/>
        <v>9050</v>
      </c>
      <c r="D31" s="91">
        <v>386</v>
      </c>
      <c r="E31" s="91">
        <v>104</v>
      </c>
      <c r="F31" s="91">
        <f>8110+450</f>
        <v>8560</v>
      </c>
      <c r="G31" s="91"/>
      <c r="H31" s="91"/>
      <c r="I31" s="91">
        <f t="shared" si="1"/>
        <v>9050</v>
      </c>
      <c r="J31" s="91"/>
      <c r="K31" s="91"/>
      <c r="L31" s="91"/>
      <c r="M31" s="91"/>
      <c r="N31" s="91"/>
      <c r="O31" s="91"/>
      <c r="P31" s="91"/>
      <c r="Q31" s="91"/>
      <c r="R31" s="109"/>
      <c r="S31" s="91"/>
      <c r="T31" s="91"/>
      <c r="U31" s="91"/>
    </row>
    <row r="32" spans="1:21" ht="33.75" customHeight="1">
      <c r="A32" s="88" t="s">
        <v>215</v>
      </c>
      <c r="B32" s="87" t="s">
        <v>214</v>
      </c>
      <c r="C32" s="91">
        <f t="shared" si="0"/>
        <v>675</v>
      </c>
      <c r="D32" s="91"/>
      <c r="E32" s="91"/>
      <c r="F32" s="91"/>
      <c r="G32" s="91"/>
      <c r="H32" s="91">
        <v>675</v>
      </c>
      <c r="I32" s="91">
        <f t="shared" si="1"/>
        <v>675</v>
      </c>
      <c r="J32" s="91"/>
      <c r="K32" s="91"/>
      <c r="L32" s="91"/>
      <c r="M32" s="91"/>
      <c r="N32" s="91"/>
      <c r="O32" s="91"/>
      <c r="P32" s="91"/>
      <c r="Q32" s="91"/>
      <c r="R32" s="109"/>
      <c r="S32" s="91"/>
      <c r="T32" s="91"/>
      <c r="U32" s="91"/>
    </row>
    <row r="33" spans="1:21" ht="15">
      <c r="A33" s="88" t="s">
        <v>219</v>
      </c>
      <c r="B33" s="92" t="s">
        <v>25</v>
      </c>
      <c r="C33" s="91">
        <f t="shared" si="0"/>
        <v>561</v>
      </c>
      <c r="D33" s="91">
        <f>354+2+10+7+4</f>
        <v>377</v>
      </c>
      <c r="E33" s="91">
        <f>95+1+2+2+1</f>
        <v>101</v>
      </c>
      <c r="F33" s="91">
        <v>83</v>
      </c>
      <c r="G33" s="91"/>
      <c r="H33" s="91"/>
      <c r="I33" s="91">
        <f t="shared" si="1"/>
        <v>561</v>
      </c>
      <c r="J33" s="91"/>
      <c r="K33" s="91"/>
      <c r="L33" s="91"/>
      <c r="M33" s="91"/>
      <c r="N33" s="91"/>
      <c r="O33" s="91"/>
      <c r="P33" s="91"/>
      <c r="Q33" s="91"/>
      <c r="R33" s="109">
        <v>0.2</v>
      </c>
      <c r="S33" s="91">
        <v>0.2</v>
      </c>
      <c r="T33" s="91"/>
      <c r="U33" s="91"/>
    </row>
    <row r="34" spans="1:21" ht="15">
      <c r="A34" s="88" t="s">
        <v>218</v>
      </c>
      <c r="B34" s="87" t="s">
        <v>23</v>
      </c>
      <c r="C34" s="91">
        <f t="shared" si="0"/>
        <v>135</v>
      </c>
      <c r="D34" s="91"/>
      <c r="E34" s="91"/>
      <c r="F34" s="91"/>
      <c r="G34" s="91"/>
      <c r="H34" s="91">
        <v>135</v>
      </c>
      <c r="I34" s="91">
        <f t="shared" si="1"/>
        <v>135</v>
      </c>
      <c r="J34" s="91"/>
      <c r="K34" s="91"/>
      <c r="L34" s="91"/>
      <c r="M34" s="91"/>
      <c r="N34" s="91"/>
      <c r="O34" s="91"/>
      <c r="P34" s="91"/>
      <c r="Q34" s="91"/>
      <c r="R34" s="109"/>
      <c r="S34" s="91"/>
      <c r="T34" s="91"/>
      <c r="U34" s="91"/>
    </row>
    <row r="35" spans="1:21" ht="30">
      <c r="A35" s="88" t="s">
        <v>222</v>
      </c>
      <c r="B35" s="87" t="s">
        <v>223</v>
      </c>
      <c r="C35" s="91">
        <f t="shared" si="0"/>
        <v>2778</v>
      </c>
      <c r="D35" s="91">
        <f>1750+4+19+13+9</f>
        <v>1795</v>
      </c>
      <c r="E35" s="91">
        <f>466+1+5+3+2</f>
        <v>477</v>
      </c>
      <c r="F35" s="91">
        <v>461</v>
      </c>
      <c r="G35" s="91"/>
      <c r="H35" s="91"/>
      <c r="I35" s="91">
        <f t="shared" si="1"/>
        <v>2733</v>
      </c>
      <c r="J35" s="91"/>
      <c r="K35" s="91">
        <v>45</v>
      </c>
      <c r="L35" s="91"/>
      <c r="M35" s="91">
        <f>SUM(J35:L35)</f>
        <v>45</v>
      </c>
      <c r="N35" s="91"/>
      <c r="O35" s="91"/>
      <c r="P35" s="91"/>
      <c r="Q35" s="91"/>
      <c r="R35" s="109">
        <f>0.3+0.75</f>
        <v>1.05</v>
      </c>
      <c r="S35" s="91">
        <v>1.05</v>
      </c>
      <c r="T35" s="91"/>
      <c r="U35" s="91"/>
    </row>
    <row r="36" spans="1:21" ht="30">
      <c r="A36" s="88" t="s">
        <v>224</v>
      </c>
      <c r="B36" s="87" t="s">
        <v>225</v>
      </c>
      <c r="C36" s="91">
        <f t="shared" si="0"/>
        <v>325</v>
      </c>
      <c r="D36" s="91"/>
      <c r="E36" s="91"/>
      <c r="F36" s="91"/>
      <c r="G36" s="91"/>
      <c r="H36" s="91">
        <v>325</v>
      </c>
      <c r="I36" s="91">
        <f t="shared" si="1"/>
        <v>325</v>
      </c>
      <c r="J36" s="91"/>
      <c r="K36" s="91"/>
      <c r="L36" s="91"/>
      <c r="M36" s="91"/>
      <c r="N36" s="91"/>
      <c r="O36" s="91"/>
      <c r="P36" s="91"/>
      <c r="Q36" s="91"/>
      <c r="R36" s="109"/>
      <c r="S36" s="91"/>
      <c r="T36" s="91"/>
      <c r="U36" s="91"/>
    </row>
    <row r="37" spans="1:21" ht="15">
      <c r="A37" s="88" t="s">
        <v>198</v>
      </c>
      <c r="B37" s="92" t="s">
        <v>20</v>
      </c>
      <c r="C37" s="91">
        <f t="shared" si="0"/>
        <v>5305</v>
      </c>
      <c r="D37" s="91">
        <f>1691+6+26-257+16+11</f>
        <v>1493</v>
      </c>
      <c r="E37" s="91">
        <f>462+1+6-69+4+3</f>
        <v>407</v>
      </c>
      <c r="F37" s="91">
        <f>3240+98+67</f>
        <v>3405</v>
      </c>
      <c r="G37" s="91"/>
      <c r="H37" s="91"/>
      <c r="I37" s="91">
        <f t="shared" si="1"/>
        <v>5305</v>
      </c>
      <c r="J37" s="91"/>
      <c r="K37" s="91"/>
      <c r="L37" s="91"/>
      <c r="M37" s="91"/>
      <c r="N37" s="91"/>
      <c r="O37" s="91"/>
      <c r="P37" s="91"/>
      <c r="Q37" s="91"/>
      <c r="R37" s="109">
        <v>0.9</v>
      </c>
      <c r="S37" s="91">
        <v>0.9</v>
      </c>
      <c r="T37" s="91"/>
      <c r="U37" s="91"/>
    </row>
    <row r="38" spans="1:21" ht="30">
      <c r="A38" s="88">
        <v>101150</v>
      </c>
      <c r="B38" s="87" t="s">
        <v>220</v>
      </c>
      <c r="C38" s="91">
        <f t="shared" si="0"/>
        <v>400</v>
      </c>
      <c r="D38" s="91"/>
      <c r="E38" s="91"/>
      <c r="F38" s="91"/>
      <c r="G38" s="91">
        <v>400</v>
      </c>
      <c r="H38" s="91"/>
      <c r="I38" s="91">
        <f t="shared" si="1"/>
        <v>400</v>
      </c>
      <c r="J38" s="91"/>
      <c r="K38" s="91"/>
      <c r="L38" s="91"/>
      <c r="M38" s="91"/>
      <c r="N38" s="91"/>
      <c r="O38" s="91"/>
      <c r="P38" s="91"/>
      <c r="Q38" s="91"/>
      <c r="R38" s="109"/>
      <c r="S38" s="91"/>
      <c r="T38" s="91"/>
      <c r="U38" s="91"/>
    </row>
    <row r="39" spans="1:21" ht="15">
      <c r="A39" s="88" t="s">
        <v>217</v>
      </c>
      <c r="B39" s="92" t="s">
        <v>22</v>
      </c>
      <c r="C39" s="91">
        <f t="shared" si="0"/>
        <v>264</v>
      </c>
      <c r="D39" s="91">
        <v>204</v>
      </c>
      <c r="E39" s="91">
        <v>50</v>
      </c>
      <c r="F39" s="91">
        <v>10</v>
      </c>
      <c r="G39" s="91"/>
      <c r="H39" s="91"/>
      <c r="I39" s="91">
        <f t="shared" si="1"/>
        <v>264</v>
      </c>
      <c r="J39" s="91"/>
      <c r="K39" s="91"/>
      <c r="L39" s="91"/>
      <c r="M39" s="91"/>
      <c r="N39" s="91"/>
      <c r="O39" s="91"/>
      <c r="P39" s="91"/>
      <c r="Q39" s="91"/>
      <c r="R39" s="109"/>
      <c r="S39" s="91"/>
      <c r="T39" s="91"/>
      <c r="U39" s="91"/>
    </row>
    <row r="40" spans="1:21" ht="15">
      <c r="A40" s="88">
        <v>105010</v>
      </c>
      <c r="B40" s="87" t="s">
        <v>211</v>
      </c>
      <c r="C40" s="91">
        <f t="shared" si="0"/>
        <v>750</v>
      </c>
      <c r="D40" s="91"/>
      <c r="E40" s="91"/>
      <c r="F40" s="91"/>
      <c r="G40" s="91">
        <v>750</v>
      </c>
      <c r="H40" s="91"/>
      <c r="I40" s="91">
        <f t="shared" si="1"/>
        <v>750</v>
      </c>
      <c r="J40" s="91"/>
      <c r="K40" s="91"/>
      <c r="L40" s="91"/>
      <c r="M40" s="91"/>
      <c r="N40" s="91"/>
      <c r="O40" s="91"/>
      <c r="P40" s="91"/>
      <c r="Q40" s="91"/>
      <c r="R40" s="109"/>
      <c r="S40" s="91"/>
      <c r="T40" s="91"/>
      <c r="U40" s="91"/>
    </row>
    <row r="41" spans="1:21" ht="30">
      <c r="A41" s="88">
        <v>106020</v>
      </c>
      <c r="B41" s="87" t="s">
        <v>212</v>
      </c>
      <c r="C41" s="91">
        <f t="shared" si="0"/>
        <v>168</v>
      </c>
      <c r="D41" s="91"/>
      <c r="E41" s="91"/>
      <c r="F41" s="91"/>
      <c r="G41" s="91">
        <v>168</v>
      </c>
      <c r="H41" s="91"/>
      <c r="I41" s="91">
        <f t="shared" si="1"/>
        <v>168</v>
      </c>
      <c r="J41" s="91"/>
      <c r="K41" s="91"/>
      <c r="L41" s="91"/>
      <c r="M41" s="91"/>
      <c r="N41" s="91"/>
      <c r="O41" s="91"/>
      <c r="P41" s="91"/>
      <c r="Q41" s="91"/>
      <c r="R41" s="109"/>
      <c r="S41" s="91"/>
      <c r="T41" s="91"/>
      <c r="U41" s="91"/>
    </row>
    <row r="42" spans="1:21" ht="15">
      <c r="A42" s="88" t="s">
        <v>216</v>
      </c>
      <c r="B42" s="92" t="s">
        <v>18</v>
      </c>
      <c r="C42" s="91">
        <f t="shared" si="0"/>
        <v>3930</v>
      </c>
      <c r="D42" s="91">
        <f>1286+4+20+12+8</f>
        <v>1330</v>
      </c>
      <c r="E42" s="91">
        <f>352+1+4+3+2</f>
        <v>362</v>
      </c>
      <c r="F42" s="91">
        <f>2132+31+75</f>
        <v>2238</v>
      </c>
      <c r="G42" s="91"/>
      <c r="H42" s="91"/>
      <c r="I42" s="91">
        <f t="shared" si="1"/>
        <v>3930</v>
      </c>
      <c r="J42" s="91"/>
      <c r="K42" s="91"/>
      <c r="L42" s="91"/>
      <c r="M42" s="91"/>
      <c r="N42" s="91"/>
      <c r="O42" s="91"/>
      <c r="P42" s="91"/>
      <c r="Q42" s="91"/>
      <c r="R42" s="109">
        <v>0.8</v>
      </c>
      <c r="S42" s="91">
        <v>0.8</v>
      </c>
      <c r="T42" s="91"/>
      <c r="U42" s="91"/>
    </row>
    <row r="43" spans="1:21" ht="15">
      <c r="A43" s="88">
        <v>107052</v>
      </c>
      <c r="B43" s="275" t="s">
        <v>385</v>
      </c>
      <c r="C43" s="91">
        <f t="shared" si="0"/>
        <v>360</v>
      </c>
      <c r="D43" s="91"/>
      <c r="E43" s="91"/>
      <c r="F43" s="91">
        <v>360</v>
      </c>
      <c r="G43" s="91"/>
      <c r="H43" s="91"/>
      <c r="I43" s="91">
        <f t="shared" si="1"/>
        <v>360</v>
      </c>
      <c r="J43" s="91"/>
      <c r="K43" s="91"/>
      <c r="L43" s="91"/>
      <c r="M43" s="91"/>
      <c r="N43" s="91"/>
      <c r="O43" s="91"/>
      <c r="P43" s="91"/>
      <c r="Q43" s="91"/>
      <c r="R43" s="109"/>
      <c r="S43" s="91"/>
      <c r="T43" s="91"/>
      <c r="U43" s="91"/>
    </row>
    <row r="44" spans="1:21" ht="30.75" thickBot="1">
      <c r="A44" s="88">
        <v>107060</v>
      </c>
      <c r="B44" s="87" t="s">
        <v>221</v>
      </c>
      <c r="C44" s="91">
        <f t="shared" si="0"/>
        <v>1919</v>
      </c>
      <c r="D44" s="91"/>
      <c r="E44" s="91"/>
      <c r="F44" s="91">
        <f>248+267</f>
        <v>515</v>
      </c>
      <c r="G44" s="91">
        <v>1404</v>
      </c>
      <c r="H44" s="91"/>
      <c r="I44" s="91">
        <f t="shared" si="1"/>
        <v>1919</v>
      </c>
      <c r="J44" s="91"/>
      <c r="K44" s="91"/>
      <c r="L44" s="91"/>
      <c r="M44" s="91"/>
      <c r="N44" s="91"/>
      <c r="O44" s="91"/>
      <c r="P44" s="91"/>
      <c r="Q44" s="91"/>
      <c r="R44" s="109"/>
      <c r="S44" s="91"/>
      <c r="T44" s="91"/>
      <c r="U44" s="91"/>
    </row>
    <row r="45" spans="1:21" ht="45.75" customHeight="1" thickBot="1">
      <c r="A45" s="86">
        <v>900080</v>
      </c>
      <c r="B45" s="87" t="s">
        <v>358</v>
      </c>
      <c r="C45" s="91">
        <f t="shared" si="0"/>
        <v>2149</v>
      </c>
      <c r="D45" s="91">
        <f>2+11+220+478+7+5</f>
        <v>723</v>
      </c>
      <c r="E45" s="91">
        <f>1+2+61+130+2+1</f>
        <v>197</v>
      </c>
      <c r="F45" s="91">
        <f>40+365+824</f>
        <v>1229</v>
      </c>
      <c r="G45" s="91"/>
      <c r="H45" s="91"/>
      <c r="I45" s="91">
        <f t="shared" si="1"/>
        <v>2149</v>
      </c>
      <c r="J45" s="91"/>
      <c r="K45" s="91"/>
      <c r="L45" s="91"/>
      <c r="M45" s="91"/>
      <c r="N45" s="91"/>
      <c r="O45" s="91"/>
      <c r="P45" s="91"/>
      <c r="Q45" s="91"/>
      <c r="R45" s="107">
        <v>0.3</v>
      </c>
      <c r="S45" s="91">
        <v>0.3</v>
      </c>
      <c r="T45" s="91"/>
      <c r="U45" s="91"/>
    </row>
    <row r="46" spans="1:21" s="95" customFormat="1" ht="30" customHeight="1" thickBot="1">
      <c r="A46" s="93"/>
      <c r="B46" s="94" t="s">
        <v>1</v>
      </c>
      <c r="C46" s="94">
        <f>SUM(C15:C45)-C16-C17</f>
        <v>137748</v>
      </c>
      <c r="D46" s="94">
        <f aca="true" t="shared" si="2" ref="D46:U46">SUM(D15:D45)-D16-D17</f>
        <v>12779</v>
      </c>
      <c r="E46" s="94">
        <f t="shared" si="2"/>
        <v>3529</v>
      </c>
      <c r="F46" s="94">
        <f t="shared" si="2"/>
        <v>31529</v>
      </c>
      <c r="G46" s="94">
        <f t="shared" si="2"/>
        <v>2722</v>
      </c>
      <c r="H46" s="94">
        <f t="shared" si="2"/>
        <v>8015</v>
      </c>
      <c r="I46" s="94">
        <f t="shared" si="2"/>
        <v>58574</v>
      </c>
      <c r="J46" s="94">
        <f t="shared" si="2"/>
        <v>18449</v>
      </c>
      <c r="K46" s="94">
        <f t="shared" si="2"/>
        <v>10145</v>
      </c>
      <c r="L46" s="94">
        <f t="shared" si="2"/>
        <v>50580</v>
      </c>
      <c r="M46" s="94">
        <f t="shared" si="2"/>
        <v>79174</v>
      </c>
      <c r="N46" s="94">
        <f t="shared" si="2"/>
        <v>0</v>
      </c>
      <c r="O46" s="94">
        <f t="shared" si="2"/>
        <v>0</v>
      </c>
      <c r="P46" s="94">
        <f t="shared" si="2"/>
        <v>0</v>
      </c>
      <c r="Q46" s="94">
        <f t="shared" si="2"/>
        <v>0</v>
      </c>
      <c r="R46" s="94">
        <f t="shared" si="2"/>
        <v>4.25</v>
      </c>
      <c r="S46" s="94">
        <f t="shared" si="2"/>
        <v>4.25</v>
      </c>
      <c r="T46" s="94">
        <f t="shared" si="2"/>
        <v>1</v>
      </c>
      <c r="U46" s="94">
        <f t="shared" si="2"/>
        <v>0</v>
      </c>
    </row>
    <row r="47" ht="15">
      <c r="U47" s="230" t="s">
        <v>349</v>
      </c>
    </row>
  </sheetData>
  <sheetProtection password="DB7F" sheet="1" selectLockedCells="1" selectUnlockedCells="1"/>
  <mergeCells count="32">
    <mergeCell ref="B10:B14"/>
    <mergeCell ref="J12:J14"/>
    <mergeCell ref="A2:H2"/>
    <mergeCell ref="A3:P3"/>
    <mergeCell ref="K12:K14"/>
    <mergeCell ref="L12:L14"/>
    <mergeCell ref="O12:O14"/>
    <mergeCell ref="G12:G14"/>
    <mergeCell ref="D12:D14"/>
    <mergeCell ref="E12:E14"/>
    <mergeCell ref="O1:U1"/>
    <mergeCell ref="M12:M14"/>
    <mergeCell ref="R10:U10"/>
    <mergeCell ref="R11:S11"/>
    <mergeCell ref="T11:U11"/>
    <mergeCell ref="R13:U14"/>
    <mergeCell ref="N12:N14"/>
    <mergeCell ref="N11:Q11"/>
    <mergeCell ref="P12:P14"/>
    <mergeCell ref="Q12:Q14"/>
    <mergeCell ref="I12:I14"/>
    <mergeCell ref="H12:H14"/>
    <mergeCell ref="A4:U4"/>
    <mergeCell ref="A6:U6"/>
    <mergeCell ref="A7:U7"/>
    <mergeCell ref="C10:C14"/>
    <mergeCell ref="D10:Q10"/>
    <mergeCell ref="D11:I11"/>
    <mergeCell ref="J11:M11"/>
    <mergeCell ref="A10:A14"/>
    <mergeCell ref="A8:U8"/>
    <mergeCell ref="F12:F14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zoomScalePageLayoutView="0" workbookViewId="0" topLeftCell="A1">
      <selection activeCell="D1" sqref="D1:F1"/>
    </sheetView>
  </sheetViews>
  <sheetFormatPr defaultColWidth="9.00390625" defaultRowHeight="12.75"/>
  <cols>
    <col min="1" max="1" width="9.125" style="206" customWidth="1"/>
    <col min="2" max="2" width="63.125" style="206" customWidth="1"/>
    <col min="3" max="6" width="26.25390625" style="206" customWidth="1"/>
    <col min="7" max="16384" width="9.125" style="206" customWidth="1"/>
  </cols>
  <sheetData>
    <row r="1" spans="4:6" ht="12.75">
      <c r="D1" s="381" t="s">
        <v>414</v>
      </c>
      <c r="E1" s="381"/>
      <c r="F1" s="381"/>
    </row>
    <row r="2" spans="1:6" s="194" customFormat="1" ht="15.75">
      <c r="A2" s="84" t="s">
        <v>341</v>
      </c>
      <c r="C2" s="195"/>
      <c r="D2" s="196"/>
      <c r="E2" s="196"/>
      <c r="F2" s="196"/>
    </row>
    <row r="3" spans="2:6" s="42" customFormat="1" ht="15" customHeight="1">
      <c r="B3" s="334"/>
      <c r="C3" s="334"/>
      <c r="D3" s="334"/>
      <c r="E3" s="334"/>
      <c r="F3" s="334"/>
    </row>
    <row r="4" spans="3:6" s="197" customFormat="1" ht="15" customHeight="1">
      <c r="C4" s="198"/>
      <c r="D4" s="199"/>
      <c r="E4" s="199"/>
      <c r="F4" s="199"/>
    </row>
    <row r="5" spans="2:6" s="110" customFormat="1" ht="15" customHeight="1">
      <c r="B5" s="335" t="s">
        <v>26</v>
      </c>
      <c r="C5" s="335"/>
      <c r="D5" s="335"/>
      <c r="E5" s="335"/>
      <c r="F5" s="335"/>
    </row>
    <row r="6" spans="2:6" s="110" customFormat="1" ht="15.75">
      <c r="B6" s="336" t="s">
        <v>235</v>
      </c>
      <c r="C6" s="336"/>
      <c r="D6" s="336"/>
      <c r="E6" s="336"/>
      <c r="F6" s="336"/>
    </row>
    <row r="7" spans="2:6" s="110" customFormat="1" ht="15" customHeight="1">
      <c r="B7" s="335" t="s">
        <v>48</v>
      </c>
      <c r="C7" s="335"/>
      <c r="D7" s="335"/>
      <c r="E7" s="335"/>
      <c r="F7" s="335"/>
    </row>
    <row r="8" spans="2:6" s="194" customFormat="1" ht="12" customHeight="1" thickBot="1">
      <c r="B8" s="195"/>
      <c r="C8" s="200"/>
      <c r="D8" s="201"/>
      <c r="E8" s="201"/>
      <c r="F8" s="202"/>
    </row>
    <row r="9" spans="1:6" s="194" customFormat="1" ht="16.5" customHeight="1" thickBot="1">
      <c r="A9" s="289" t="s">
        <v>175</v>
      </c>
      <c r="B9" s="317" t="s">
        <v>176</v>
      </c>
      <c r="C9" s="320" t="s">
        <v>236</v>
      </c>
      <c r="D9" s="332" t="s">
        <v>12</v>
      </c>
      <c r="E9" s="332"/>
      <c r="F9" s="333"/>
    </row>
    <row r="10" spans="1:6" s="194" customFormat="1" ht="33" customHeight="1" thickBot="1">
      <c r="A10" s="281"/>
      <c r="B10" s="318"/>
      <c r="C10" s="321"/>
      <c r="D10" s="203" t="s">
        <v>171</v>
      </c>
      <c r="E10" s="204" t="s">
        <v>172</v>
      </c>
      <c r="F10" s="205" t="s">
        <v>173</v>
      </c>
    </row>
    <row r="11" spans="1:6" s="194" customFormat="1" ht="22.5" customHeight="1">
      <c r="A11" s="281"/>
      <c r="B11" s="318"/>
      <c r="C11" s="321"/>
      <c r="D11" s="323" t="s">
        <v>174</v>
      </c>
      <c r="E11" s="324"/>
      <c r="F11" s="325"/>
    </row>
    <row r="12" spans="1:6" ht="12.75">
      <c r="A12" s="281"/>
      <c r="B12" s="318"/>
      <c r="C12" s="321"/>
      <c r="D12" s="326"/>
      <c r="E12" s="327"/>
      <c r="F12" s="328"/>
    </row>
    <row r="13" spans="1:6" ht="3" customHeight="1" thickBot="1">
      <c r="A13" s="282"/>
      <c r="B13" s="319"/>
      <c r="C13" s="322"/>
      <c r="D13" s="329"/>
      <c r="E13" s="330"/>
      <c r="F13" s="331"/>
    </row>
    <row r="14" spans="1:6" ht="30">
      <c r="A14" s="215" t="s">
        <v>192</v>
      </c>
      <c r="B14" s="216" t="s">
        <v>193</v>
      </c>
      <c r="C14" s="217">
        <f>SUM(D14:F14)</f>
        <v>28645</v>
      </c>
      <c r="D14" s="217">
        <f>13718-5424+7+32+12559+55+22+14</f>
        <v>20983</v>
      </c>
      <c r="E14" s="217">
        <f>450+112+4862+646+1432+20000+87-646-1432-360-600-560-78-62+100+118+485+826-100+245-19738-325+2200</f>
        <v>7662</v>
      </c>
      <c r="F14" s="217"/>
    </row>
    <row r="15" spans="1:6" s="223" customFormat="1" ht="15">
      <c r="A15" s="219"/>
      <c r="B15" s="220" t="s">
        <v>338</v>
      </c>
      <c r="C15" s="224">
        <f>SUM(D15:F15)</f>
        <v>0</v>
      </c>
      <c r="D15" s="224"/>
      <c r="E15" s="224"/>
      <c r="F15" s="224"/>
    </row>
    <row r="16" spans="1:6" s="223" customFormat="1" ht="15">
      <c r="A16" s="219"/>
      <c r="B16" s="220" t="s">
        <v>339</v>
      </c>
      <c r="C16" s="224">
        <f>SUM(D16:F16)</f>
        <v>0</v>
      </c>
      <c r="D16" s="224"/>
      <c r="E16" s="224"/>
      <c r="F16" s="224"/>
    </row>
    <row r="17" spans="1:6" ht="15">
      <c r="A17" s="209" t="s">
        <v>213</v>
      </c>
      <c r="B17" s="207" t="s">
        <v>24</v>
      </c>
      <c r="C17" s="208">
        <f aca="true" t="shared" si="0" ref="C17:C44">SUM(D17:F17)</f>
        <v>51</v>
      </c>
      <c r="D17" s="208">
        <v>51</v>
      </c>
      <c r="E17" s="208"/>
      <c r="F17" s="208"/>
    </row>
    <row r="18" spans="1:6" ht="15">
      <c r="A18" s="209" t="s">
        <v>199</v>
      </c>
      <c r="B18" s="207" t="s">
        <v>200</v>
      </c>
      <c r="C18" s="208">
        <f t="shared" si="0"/>
        <v>1506</v>
      </c>
      <c r="D18" s="208">
        <f>648+858</f>
        <v>1506</v>
      </c>
      <c r="E18" s="208"/>
      <c r="F18" s="208"/>
    </row>
    <row r="19" spans="1:6" ht="15">
      <c r="A19" s="209" t="s">
        <v>344</v>
      </c>
      <c r="B19" s="207" t="s">
        <v>345</v>
      </c>
      <c r="C19" s="208">
        <f t="shared" si="0"/>
        <v>49980</v>
      </c>
      <c r="D19" s="208"/>
      <c r="E19" s="208">
        <f>20000-20+30000</f>
        <v>49980</v>
      </c>
      <c r="F19" s="208"/>
    </row>
    <row r="20" spans="1:6" ht="15">
      <c r="A20" s="88" t="s">
        <v>334</v>
      </c>
      <c r="B20" s="87" t="s">
        <v>335</v>
      </c>
      <c r="C20" s="208">
        <f t="shared" si="0"/>
        <v>1273</v>
      </c>
      <c r="D20" s="208"/>
      <c r="E20" s="208">
        <f>437+260+576</f>
        <v>1273</v>
      </c>
      <c r="F20" s="208"/>
    </row>
    <row r="21" spans="1:6" ht="15">
      <c r="A21" s="88" t="s">
        <v>360</v>
      </c>
      <c r="B21" s="87" t="s">
        <v>361</v>
      </c>
      <c r="C21" s="208">
        <f t="shared" si="0"/>
        <v>10100</v>
      </c>
      <c r="D21" s="208">
        <f>10000+100</f>
        <v>10100</v>
      </c>
      <c r="E21" s="208"/>
      <c r="F21" s="208"/>
    </row>
    <row r="22" spans="1:6" ht="15">
      <c r="A22" s="209" t="s">
        <v>201</v>
      </c>
      <c r="B22" s="207" t="s">
        <v>202</v>
      </c>
      <c r="C22" s="208">
        <f t="shared" si="0"/>
        <v>1139</v>
      </c>
      <c r="D22" s="208">
        <f>254+560+325</f>
        <v>1139</v>
      </c>
      <c r="E22" s="208"/>
      <c r="F22" s="208"/>
    </row>
    <row r="23" spans="1:6" ht="30">
      <c r="A23" s="209" t="s">
        <v>196</v>
      </c>
      <c r="B23" s="207" t="s">
        <v>197</v>
      </c>
      <c r="C23" s="208">
        <f t="shared" si="0"/>
        <v>288</v>
      </c>
      <c r="D23" s="208">
        <v>288</v>
      </c>
      <c r="E23" s="208"/>
      <c r="F23" s="208"/>
    </row>
    <row r="24" spans="1:6" ht="15">
      <c r="A24" s="209" t="s">
        <v>194</v>
      </c>
      <c r="B24" s="207" t="s">
        <v>195</v>
      </c>
      <c r="C24" s="208">
        <f t="shared" si="0"/>
        <v>3368</v>
      </c>
      <c r="D24" s="208">
        <f>3368</f>
        <v>3368</v>
      </c>
      <c r="E24" s="208"/>
      <c r="F24" s="208"/>
    </row>
    <row r="25" spans="1:6" ht="15">
      <c r="A25" s="209" t="s">
        <v>196</v>
      </c>
      <c r="B25" s="207" t="s">
        <v>373</v>
      </c>
      <c r="C25" s="208">
        <f t="shared" si="0"/>
        <v>600</v>
      </c>
      <c r="D25" s="208">
        <v>600</v>
      </c>
      <c r="E25" s="208"/>
      <c r="F25" s="208"/>
    </row>
    <row r="26" spans="1:6" ht="15">
      <c r="A26" s="209" t="s">
        <v>205</v>
      </c>
      <c r="B26" s="207" t="s">
        <v>206</v>
      </c>
      <c r="C26" s="208">
        <f t="shared" si="0"/>
        <v>3174</v>
      </c>
      <c r="D26" s="208">
        <f>2984+190</f>
        <v>3174</v>
      </c>
      <c r="E26" s="208"/>
      <c r="F26" s="208"/>
    </row>
    <row r="27" spans="1:6" ht="15">
      <c r="A27" s="209" t="s">
        <v>203</v>
      </c>
      <c r="B27" s="207" t="s">
        <v>204</v>
      </c>
      <c r="C27" s="208">
        <f t="shared" si="0"/>
        <v>381</v>
      </c>
      <c r="D27" s="208">
        <v>381</v>
      </c>
      <c r="E27" s="208"/>
      <c r="F27" s="208"/>
    </row>
    <row r="28" spans="1:6" ht="15">
      <c r="A28" s="209" t="s">
        <v>207</v>
      </c>
      <c r="B28" s="207" t="s">
        <v>208</v>
      </c>
      <c r="C28" s="208">
        <f t="shared" si="0"/>
        <v>8414</v>
      </c>
      <c r="D28" s="208">
        <f>4390+1897+17+78+52+445+35</f>
        <v>6914</v>
      </c>
      <c r="E28" s="208">
        <v>1500</v>
      </c>
      <c r="F28" s="208"/>
    </row>
    <row r="29" spans="1:6" ht="15">
      <c r="A29" s="209" t="s">
        <v>209</v>
      </c>
      <c r="B29" s="210" t="s">
        <v>21</v>
      </c>
      <c r="C29" s="208">
        <f t="shared" si="0"/>
        <v>60</v>
      </c>
      <c r="D29" s="208">
        <v>60</v>
      </c>
      <c r="E29" s="208"/>
      <c r="F29" s="208"/>
    </row>
    <row r="30" spans="1:6" ht="15">
      <c r="A30" s="209" t="s">
        <v>210</v>
      </c>
      <c r="B30" s="207" t="s">
        <v>69</v>
      </c>
      <c r="C30" s="208">
        <f t="shared" si="0"/>
        <v>9050</v>
      </c>
      <c r="D30" s="208">
        <f>8600+450</f>
        <v>9050</v>
      </c>
      <c r="E30" s="208"/>
      <c r="F30" s="208"/>
    </row>
    <row r="31" spans="1:6" ht="15">
      <c r="A31" s="209" t="s">
        <v>215</v>
      </c>
      <c r="B31" s="207" t="s">
        <v>214</v>
      </c>
      <c r="C31" s="208">
        <f t="shared" si="0"/>
        <v>675</v>
      </c>
      <c r="D31" s="208">
        <v>675</v>
      </c>
      <c r="E31" s="208"/>
      <c r="F31" s="208"/>
    </row>
    <row r="32" spans="1:6" ht="15">
      <c r="A32" s="209" t="s">
        <v>219</v>
      </c>
      <c r="B32" s="210" t="s">
        <v>25</v>
      </c>
      <c r="C32" s="208">
        <f t="shared" si="0"/>
        <v>561</v>
      </c>
      <c r="D32" s="208">
        <f>532+3+12+9+5</f>
        <v>561</v>
      </c>
      <c r="E32" s="208"/>
      <c r="F32" s="208"/>
    </row>
    <row r="33" spans="1:6" ht="15">
      <c r="A33" s="209" t="s">
        <v>218</v>
      </c>
      <c r="B33" s="207" t="s">
        <v>23</v>
      </c>
      <c r="C33" s="208">
        <f t="shared" si="0"/>
        <v>135</v>
      </c>
      <c r="D33" s="208"/>
      <c r="E33" s="208">
        <v>135</v>
      </c>
      <c r="F33" s="208"/>
    </row>
    <row r="34" spans="1:6" ht="15">
      <c r="A34" s="209" t="s">
        <v>222</v>
      </c>
      <c r="B34" s="207" t="s">
        <v>223</v>
      </c>
      <c r="C34" s="208">
        <f t="shared" si="0"/>
        <v>2778</v>
      </c>
      <c r="D34" s="208">
        <f>2677+5+24+16+11+45</f>
        <v>2778</v>
      </c>
      <c r="E34" s="208"/>
      <c r="F34" s="208"/>
    </row>
    <row r="35" spans="1:6" ht="15">
      <c r="A35" s="209" t="s">
        <v>224</v>
      </c>
      <c r="B35" s="207" t="s">
        <v>225</v>
      </c>
      <c r="C35" s="208">
        <f t="shared" si="0"/>
        <v>325</v>
      </c>
      <c r="D35" s="208"/>
      <c r="E35" s="208">
        <v>325</v>
      </c>
      <c r="F35" s="208"/>
    </row>
    <row r="36" spans="1:6" ht="15">
      <c r="A36" s="209" t="s">
        <v>198</v>
      </c>
      <c r="B36" s="210" t="s">
        <v>20</v>
      </c>
      <c r="C36" s="208">
        <f t="shared" si="0"/>
        <v>5305</v>
      </c>
      <c r="D36" s="208">
        <f>5393+7+32+98-326+67+20+14</f>
        <v>5305</v>
      </c>
      <c r="E36" s="208"/>
      <c r="F36" s="208"/>
    </row>
    <row r="37" spans="1:6" ht="15">
      <c r="A37" s="209">
        <v>101150</v>
      </c>
      <c r="B37" s="207" t="s">
        <v>220</v>
      </c>
      <c r="C37" s="208">
        <f t="shared" si="0"/>
        <v>400</v>
      </c>
      <c r="D37" s="208"/>
      <c r="E37" s="208"/>
      <c r="F37" s="208">
        <v>400</v>
      </c>
    </row>
    <row r="38" spans="1:6" ht="15">
      <c r="A38" s="209" t="s">
        <v>217</v>
      </c>
      <c r="B38" s="210" t="s">
        <v>22</v>
      </c>
      <c r="C38" s="208">
        <f t="shared" si="0"/>
        <v>264</v>
      </c>
      <c r="D38" s="208">
        <v>264</v>
      </c>
      <c r="E38" s="208"/>
      <c r="F38" s="208"/>
    </row>
    <row r="39" spans="1:6" ht="15">
      <c r="A39" s="209">
        <v>105010</v>
      </c>
      <c r="B39" s="207" t="s">
        <v>211</v>
      </c>
      <c r="C39" s="208">
        <f t="shared" si="0"/>
        <v>750</v>
      </c>
      <c r="D39" s="208"/>
      <c r="E39" s="208"/>
      <c r="F39" s="208">
        <v>750</v>
      </c>
    </row>
    <row r="40" spans="1:6" ht="15">
      <c r="A40" s="209">
        <v>106020</v>
      </c>
      <c r="B40" s="207" t="s">
        <v>212</v>
      </c>
      <c r="C40" s="208">
        <f t="shared" si="0"/>
        <v>168</v>
      </c>
      <c r="D40" s="208"/>
      <c r="E40" s="208"/>
      <c r="F40" s="208">
        <v>168</v>
      </c>
    </row>
    <row r="41" spans="1:6" ht="15">
      <c r="A41" s="209" t="s">
        <v>216</v>
      </c>
      <c r="B41" s="210" t="s">
        <v>18</v>
      </c>
      <c r="C41" s="208">
        <f t="shared" si="0"/>
        <v>3930</v>
      </c>
      <c r="D41" s="208">
        <f>3801+5+24+75+15+10</f>
        <v>3930</v>
      </c>
      <c r="E41" s="208"/>
      <c r="F41" s="208"/>
    </row>
    <row r="42" spans="1:6" ht="15">
      <c r="A42" s="209">
        <v>107052</v>
      </c>
      <c r="B42" s="276" t="s">
        <v>385</v>
      </c>
      <c r="C42" s="208">
        <f t="shared" si="0"/>
        <v>360</v>
      </c>
      <c r="D42" s="208">
        <v>360</v>
      </c>
      <c r="E42" s="208"/>
      <c r="F42" s="208"/>
    </row>
    <row r="43" spans="1:6" ht="15">
      <c r="A43" s="209">
        <v>107060</v>
      </c>
      <c r="B43" s="207" t="s">
        <v>221</v>
      </c>
      <c r="C43" s="208">
        <f t="shared" si="0"/>
        <v>1919</v>
      </c>
      <c r="D43" s="208">
        <f>1404+248+267</f>
        <v>1919</v>
      </c>
      <c r="E43" s="208"/>
      <c r="F43" s="208"/>
    </row>
    <row r="44" spans="1:6" ht="30.75" thickBot="1">
      <c r="A44" s="88">
        <v>900080</v>
      </c>
      <c r="B44" s="87" t="s">
        <v>358</v>
      </c>
      <c r="C44" s="208">
        <f t="shared" si="0"/>
        <v>2149</v>
      </c>
      <c r="D44" s="208">
        <f>3+13+40+9+6</f>
        <v>71</v>
      </c>
      <c r="E44" s="208">
        <f>646+1432</f>
        <v>2078</v>
      </c>
      <c r="F44" s="208"/>
    </row>
    <row r="45" spans="1:6" ht="33" customHeight="1" thickBot="1">
      <c r="A45" s="211"/>
      <c r="B45" s="212" t="s">
        <v>1</v>
      </c>
      <c r="C45" s="213">
        <f>SUM(C14:C44)-C15-C16</f>
        <v>137748</v>
      </c>
      <c r="D45" s="213">
        <f>SUM(D14:D44)-D15-D16</f>
        <v>73477</v>
      </c>
      <c r="E45" s="213">
        <f>SUM(E14:E44)-E15-E16</f>
        <v>62953</v>
      </c>
      <c r="F45" s="213">
        <f>SUM(F14:F44)-F15-F16</f>
        <v>1318</v>
      </c>
    </row>
  </sheetData>
  <sheetProtection password="DB7F" sheet="1" selectLockedCells="1" selectUnlockedCells="1"/>
  <mergeCells count="10">
    <mergeCell ref="D1:F1"/>
    <mergeCell ref="B3:F3"/>
    <mergeCell ref="B5:F5"/>
    <mergeCell ref="B6:F6"/>
    <mergeCell ref="B7:F7"/>
    <mergeCell ref="A9:A13"/>
    <mergeCell ref="B9:B13"/>
    <mergeCell ref="C9:C13"/>
    <mergeCell ref="D9:F9"/>
    <mergeCell ref="D11:F13"/>
  </mergeCells>
  <printOptions horizontalCentered="1"/>
  <pageMargins left="0" right="0" top="0.7480314960629921" bottom="0.7480314960629921" header="0.31496062992125984" footer="0.31496062992125984"/>
  <pageSetup fitToHeight="1" fitToWidth="1" horizontalDpi="300" verticalDpi="3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3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10" customWidth="1"/>
    <col min="2" max="2" width="74.375" style="110" customWidth="1"/>
    <col min="3" max="3" width="19.875" style="110" customWidth="1"/>
    <col min="4" max="16384" width="9.125" style="110" customWidth="1"/>
  </cols>
  <sheetData>
    <row r="1" spans="1:3" ht="15.75">
      <c r="A1" s="383" t="s">
        <v>415</v>
      </c>
      <c r="B1" s="383"/>
      <c r="C1" s="383"/>
    </row>
    <row r="2" ht="15.75">
      <c r="C2" s="255"/>
    </row>
    <row r="3" ht="15.75">
      <c r="C3" s="255"/>
    </row>
    <row r="4" ht="15.75">
      <c r="C4" s="255"/>
    </row>
    <row r="5" spans="1:3" s="102" customFormat="1" ht="15.75">
      <c r="A5" s="102" t="s">
        <v>403</v>
      </c>
      <c r="C5" s="256"/>
    </row>
    <row r="7" spans="1:3" ht="15.75">
      <c r="A7" s="382"/>
      <c r="B7" s="382"/>
      <c r="C7" s="382"/>
    </row>
    <row r="8" spans="1:3" ht="15.75">
      <c r="A8" s="84"/>
      <c r="B8" s="84"/>
      <c r="C8" s="84"/>
    </row>
    <row r="9" spans="1:3" ht="15.75">
      <c r="A9" s="382" t="s">
        <v>26</v>
      </c>
      <c r="B9" s="382"/>
      <c r="C9" s="382"/>
    </row>
    <row r="10" spans="1:3" ht="15.75">
      <c r="A10" s="382" t="s">
        <v>376</v>
      </c>
      <c r="B10" s="382"/>
      <c r="C10" s="382"/>
    </row>
    <row r="11" spans="1:3" ht="15.75">
      <c r="A11" s="382" t="s">
        <v>48</v>
      </c>
      <c r="B11" s="382"/>
      <c r="C11" s="382"/>
    </row>
    <row r="12" ht="16.5" thickBot="1"/>
    <row r="13" spans="1:3" s="5" customFormat="1" ht="15.75">
      <c r="A13" s="257" t="s">
        <v>377</v>
      </c>
      <c r="B13" s="258"/>
      <c r="C13" s="111" t="s">
        <v>13</v>
      </c>
    </row>
    <row r="14" spans="1:3" s="5" customFormat="1" ht="15.75">
      <c r="A14" s="112"/>
      <c r="B14" s="259" t="s">
        <v>378</v>
      </c>
      <c r="C14" s="113" t="s">
        <v>8</v>
      </c>
    </row>
    <row r="15" spans="1:3" s="5" customFormat="1" ht="16.5" thickBot="1">
      <c r="A15" s="114" t="s">
        <v>28</v>
      </c>
      <c r="B15" s="274"/>
      <c r="C15" s="260" t="s">
        <v>379</v>
      </c>
    </row>
    <row r="16" spans="1:3" s="5" customFormat="1" ht="45.75" customHeight="1">
      <c r="A16" s="261" t="s">
        <v>29</v>
      </c>
      <c r="B16" s="272" t="s">
        <v>380</v>
      </c>
      <c r="C16" s="273">
        <v>0</v>
      </c>
    </row>
    <row r="17" spans="1:3" s="5" customFormat="1" ht="40.5" customHeight="1" thickBot="1">
      <c r="A17" s="261" t="s">
        <v>19</v>
      </c>
      <c r="B17" s="262" t="s">
        <v>381</v>
      </c>
      <c r="C17" s="263">
        <f>4072-600-560-325</f>
        <v>2587</v>
      </c>
    </row>
    <row r="18" spans="1:3" s="266" customFormat="1" ht="41.25" customHeight="1" thickBot="1">
      <c r="A18" s="115"/>
      <c r="B18" s="264" t="s">
        <v>382</v>
      </c>
      <c r="C18" s="265">
        <f>SUM(C16:C17)</f>
        <v>2587</v>
      </c>
    </row>
    <row r="19" spans="1:3" s="5" customFormat="1" ht="42" customHeight="1" thickBot="1">
      <c r="A19" s="267"/>
      <c r="B19" s="268" t="s">
        <v>383</v>
      </c>
      <c r="C19" s="265">
        <v>0</v>
      </c>
    </row>
    <row r="20" spans="1:3" s="5" customFormat="1" ht="42" customHeight="1" thickBot="1">
      <c r="A20" s="114"/>
      <c r="B20" s="269" t="s">
        <v>384</v>
      </c>
      <c r="C20" s="270">
        <f>C18+C19</f>
        <v>2587</v>
      </c>
    </row>
    <row r="24" ht="15.75">
      <c r="A24" s="271"/>
    </row>
    <row r="25" ht="15.75">
      <c r="A25" s="271"/>
    </row>
    <row r="113" ht="15.75">
      <c r="A113" s="271"/>
    </row>
  </sheetData>
  <sheetProtection password="DB7F" sheet="1" selectLockedCells="1" selectUnlockedCells="1"/>
  <mergeCells count="5">
    <mergeCell ref="A11:C11"/>
    <mergeCell ref="A1:C1"/>
    <mergeCell ref="A7:C7"/>
    <mergeCell ref="A9:C9"/>
    <mergeCell ref="A10:C10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6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5.75390625" style="10" customWidth="1"/>
    <col min="2" max="2" width="74.00390625" style="10" customWidth="1"/>
    <col min="3" max="3" width="21.00390625" style="118" customWidth="1"/>
    <col min="4" max="4" width="9.125" style="10" customWidth="1"/>
    <col min="5" max="5" width="12.625" style="10" bestFit="1" customWidth="1"/>
    <col min="6" max="6" width="14.25390625" style="10" bestFit="1" customWidth="1"/>
    <col min="7" max="16384" width="9.125" style="10" customWidth="1"/>
  </cols>
  <sheetData>
    <row r="1" spans="1:3" ht="15.75">
      <c r="A1" s="306" t="s">
        <v>416</v>
      </c>
      <c r="B1" s="306"/>
      <c r="C1" s="306"/>
    </row>
    <row r="3" spans="1:3" s="102" customFormat="1" ht="15.75">
      <c r="A3" s="102" t="s">
        <v>352</v>
      </c>
      <c r="C3" s="117"/>
    </row>
    <row r="4" spans="1:3" ht="15.75">
      <c r="A4" s="306"/>
      <c r="B4" s="306"/>
      <c r="C4" s="306"/>
    </row>
    <row r="5" spans="1:3" ht="15.75">
      <c r="A5" s="382"/>
      <c r="B5" s="382"/>
      <c r="C5" s="382"/>
    </row>
    <row r="6" spans="1:3" s="5" customFormat="1" ht="12.75">
      <c r="A6" s="389"/>
      <c r="B6" s="389"/>
      <c r="C6" s="389"/>
    </row>
    <row r="7" spans="1:3" s="85" customFormat="1" ht="15.75">
      <c r="A7" s="84"/>
      <c r="B7" s="41"/>
      <c r="C7" s="41"/>
    </row>
    <row r="8" spans="1:3" s="85" customFormat="1" ht="15.75">
      <c r="A8" s="84"/>
      <c r="B8" s="41"/>
      <c r="C8" s="41"/>
    </row>
    <row r="9" spans="1:3" ht="15.75">
      <c r="A9" s="382" t="s">
        <v>26</v>
      </c>
      <c r="B9" s="382"/>
      <c r="C9" s="382"/>
    </row>
    <row r="10" spans="1:3" ht="15.75">
      <c r="A10" s="308" t="s">
        <v>237</v>
      </c>
      <c r="B10" s="308"/>
      <c r="C10" s="308"/>
    </row>
    <row r="11" spans="1:3" ht="15.75">
      <c r="A11" s="308" t="s">
        <v>238</v>
      </c>
      <c r="B11" s="308"/>
      <c r="C11" s="308"/>
    </row>
    <row r="12" spans="1:3" ht="15.75">
      <c r="A12" s="308" t="s">
        <v>48</v>
      </c>
      <c r="B12" s="308"/>
      <c r="C12" s="308"/>
    </row>
    <row r="13" ht="16.5" thickBot="1"/>
    <row r="14" spans="1:3" ht="15.75">
      <c r="A14" s="120" t="s">
        <v>27</v>
      </c>
      <c r="B14" s="111"/>
      <c r="C14" s="121" t="s">
        <v>13</v>
      </c>
    </row>
    <row r="15" spans="1:3" ht="15.75">
      <c r="A15" s="112"/>
      <c r="B15" s="113" t="s">
        <v>0</v>
      </c>
      <c r="C15" s="122"/>
    </row>
    <row r="16" spans="1:3" ht="34.5" customHeight="1" thickBot="1">
      <c r="A16" s="114" t="s">
        <v>28</v>
      </c>
      <c r="B16" s="123"/>
      <c r="C16" s="124" t="s">
        <v>8</v>
      </c>
    </row>
    <row r="17" spans="1:3" ht="20.25" customHeight="1">
      <c r="A17" s="391" t="s">
        <v>239</v>
      </c>
      <c r="B17" s="391"/>
      <c r="C17" s="391"/>
    </row>
    <row r="18" spans="1:3" ht="20.25" customHeight="1">
      <c r="A18" s="125" t="s">
        <v>29</v>
      </c>
      <c r="B18" s="126" t="s">
        <v>240</v>
      </c>
      <c r="C18" s="127"/>
    </row>
    <row r="19" spans="1:3" ht="20.25" customHeight="1">
      <c r="A19" s="125"/>
      <c r="B19" s="15" t="s">
        <v>241</v>
      </c>
      <c r="C19" s="127">
        <f>24093+47+215-326+67+143+95+195+249</f>
        <v>24778</v>
      </c>
    </row>
    <row r="20" spans="1:5" ht="20.25" customHeight="1">
      <c r="A20" s="125"/>
      <c r="B20" s="57" t="s">
        <v>242</v>
      </c>
      <c r="C20" s="127">
        <f>7870+260+576</f>
        <v>8706</v>
      </c>
      <c r="D20" s="54"/>
      <c r="E20" s="54"/>
    </row>
    <row r="21" spans="1:3" ht="20.25" customHeight="1">
      <c r="A21" s="125" t="s">
        <v>19</v>
      </c>
      <c r="B21" s="126" t="s">
        <v>49</v>
      </c>
      <c r="C21" s="127">
        <v>8797</v>
      </c>
    </row>
    <row r="22" spans="1:3" ht="20.25" customHeight="1">
      <c r="A22" s="125" t="s">
        <v>30</v>
      </c>
      <c r="B22" s="126" t="s">
        <v>243</v>
      </c>
      <c r="C22" s="127">
        <f>9268+826</f>
        <v>10094</v>
      </c>
    </row>
    <row r="23" spans="1:3" ht="20.25" customHeight="1">
      <c r="A23" s="125" t="s">
        <v>116</v>
      </c>
      <c r="B23" s="128" t="s">
        <v>244</v>
      </c>
      <c r="C23" s="127"/>
    </row>
    <row r="24" spans="1:5" ht="36" customHeight="1">
      <c r="A24" s="125"/>
      <c r="B24" s="57" t="s">
        <v>245</v>
      </c>
      <c r="C24" s="127">
        <v>100</v>
      </c>
      <c r="D24" s="57"/>
      <c r="E24" s="57"/>
    </row>
    <row r="25" spans="1:3" ht="20.25" customHeight="1">
      <c r="A25" s="125"/>
      <c r="B25" s="15" t="s">
        <v>246</v>
      </c>
      <c r="C25" s="127"/>
    </row>
    <row r="26" spans="1:3" ht="36" customHeight="1">
      <c r="A26" s="129"/>
      <c r="B26" s="130" t="s">
        <v>247</v>
      </c>
      <c r="C26" s="131">
        <f>SUM(C19:C25)</f>
        <v>52475</v>
      </c>
    </row>
    <row r="27" spans="1:3" ht="21" customHeight="1">
      <c r="A27" s="119" t="s">
        <v>113</v>
      </c>
      <c r="B27" s="126" t="s">
        <v>248</v>
      </c>
      <c r="C27" s="16">
        <f>11750+37+175+53-257+113+229+75+97+507</f>
        <v>12779</v>
      </c>
    </row>
    <row r="28" spans="1:3" ht="21" customHeight="1">
      <c r="A28" s="119" t="s">
        <v>120</v>
      </c>
      <c r="B28" s="126" t="s">
        <v>249</v>
      </c>
      <c r="C28" s="16">
        <f>20+3390+50+69</f>
        <v>3529</v>
      </c>
    </row>
    <row r="29" spans="1:3" ht="21" customHeight="1">
      <c r="A29" s="119" t="s">
        <v>126</v>
      </c>
      <c r="B29" s="132" t="s">
        <v>250</v>
      </c>
      <c r="C29" s="16">
        <f>27386+1163+360+67+1303+560+98+267+325</f>
        <v>31529</v>
      </c>
    </row>
    <row r="30" spans="1:3" ht="21" customHeight="1">
      <c r="A30" s="119" t="s">
        <v>251</v>
      </c>
      <c r="B30" s="132" t="s">
        <v>252</v>
      </c>
      <c r="C30" s="16">
        <v>2722</v>
      </c>
    </row>
    <row r="31" spans="1:3" ht="21" customHeight="1">
      <c r="A31" s="119" t="s">
        <v>253</v>
      </c>
      <c r="B31" s="132" t="s">
        <v>254</v>
      </c>
      <c r="C31" s="16"/>
    </row>
    <row r="32" spans="1:3" ht="15.75">
      <c r="A32" s="119"/>
      <c r="B32" s="133" t="s">
        <v>255</v>
      </c>
      <c r="C32" s="16">
        <v>112</v>
      </c>
    </row>
    <row r="33" spans="1:3" ht="32.25" customHeight="1">
      <c r="A33" s="119"/>
      <c r="B33" s="57" t="s">
        <v>256</v>
      </c>
      <c r="C33" s="134"/>
    </row>
    <row r="34" spans="1:3" ht="15.75">
      <c r="A34" s="119"/>
      <c r="B34" s="133" t="s">
        <v>257</v>
      </c>
      <c r="C34" s="134">
        <f>675+135+325</f>
        <v>1135</v>
      </c>
    </row>
    <row r="35" spans="1:5" ht="15.75">
      <c r="A35" s="119"/>
      <c r="B35" s="133" t="s">
        <v>258</v>
      </c>
      <c r="C35" s="118">
        <f>4862+20000-600-360-560-78-62+100+118+485+826-100-19738-325+2200</f>
        <v>6768</v>
      </c>
      <c r="E35" s="82"/>
    </row>
    <row r="36" spans="1:6" ht="33.75" customHeight="1">
      <c r="A36" s="129"/>
      <c r="B36" s="130" t="s">
        <v>259</v>
      </c>
      <c r="C36" s="131">
        <f>SUM(C27:C35)</f>
        <v>58574</v>
      </c>
      <c r="E36" s="82"/>
      <c r="F36" s="82"/>
    </row>
    <row r="37" spans="1:3" ht="15.75">
      <c r="A37" s="125"/>
      <c r="B37" s="126"/>
      <c r="C37" s="127"/>
    </row>
    <row r="38" spans="1:3" ht="15.75">
      <c r="A38" s="125"/>
      <c r="B38" s="126"/>
      <c r="C38" s="127"/>
    </row>
    <row r="39" spans="1:3" ht="15.75">
      <c r="A39" s="125"/>
      <c r="B39" s="126"/>
      <c r="C39" s="127"/>
    </row>
    <row r="40" spans="1:3" ht="15.75">
      <c r="A40" s="125"/>
      <c r="B40" s="126"/>
      <c r="C40" s="127"/>
    </row>
    <row r="41" spans="1:3" ht="15.75">
      <c r="A41" s="125"/>
      <c r="B41" s="126"/>
      <c r="C41" s="127"/>
    </row>
    <row r="42" spans="1:3" ht="9.75" customHeight="1">
      <c r="A42" s="125"/>
      <c r="B42" s="126"/>
      <c r="C42" s="127"/>
    </row>
    <row r="43" spans="1:3" ht="11.25" customHeight="1" thickBot="1">
      <c r="A43" s="384">
        <v>2</v>
      </c>
      <c r="B43" s="384"/>
      <c r="C43" s="384"/>
    </row>
    <row r="44" spans="1:3" ht="15.75">
      <c r="A44" s="120" t="s">
        <v>27</v>
      </c>
      <c r="B44" s="111"/>
      <c r="C44" s="121" t="s">
        <v>13</v>
      </c>
    </row>
    <row r="45" spans="1:3" ht="15.75">
      <c r="A45" s="112"/>
      <c r="B45" s="113" t="s">
        <v>0</v>
      </c>
      <c r="C45" s="122"/>
    </row>
    <row r="46" spans="1:3" ht="31.5" customHeight="1" thickBot="1">
      <c r="A46" s="114" t="s">
        <v>28</v>
      </c>
      <c r="B46" s="123"/>
      <c r="C46" s="124" t="s">
        <v>8</v>
      </c>
    </row>
    <row r="47" spans="1:3" ht="21" customHeight="1">
      <c r="A47" s="385" t="s">
        <v>260</v>
      </c>
      <c r="B47" s="385"/>
      <c r="C47" s="385"/>
    </row>
    <row r="48" spans="1:3" ht="21" customHeight="1">
      <c r="A48" s="119" t="s">
        <v>261</v>
      </c>
      <c r="B48" s="32" t="s">
        <v>262</v>
      </c>
      <c r="C48" s="118">
        <f>4390+10000+12559</f>
        <v>26949</v>
      </c>
    </row>
    <row r="49" spans="1:3" ht="21" customHeight="1">
      <c r="A49" s="119" t="s">
        <v>263</v>
      </c>
      <c r="B49" s="32" t="s">
        <v>264</v>
      </c>
      <c r="C49" s="118">
        <f>485+2200</f>
        <v>2685</v>
      </c>
    </row>
    <row r="50" spans="1:2" ht="21" customHeight="1">
      <c r="A50" s="119" t="s">
        <v>265</v>
      </c>
      <c r="B50" s="128" t="s">
        <v>266</v>
      </c>
    </row>
    <row r="51" spans="1:3" ht="31.5" customHeight="1">
      <c r="A51" s="119"/>
      <c r="B51" s="50" t="s">
        <v>267</v>
      </c>
      <c r="C51" s="118">
        <f>93+20000-78-62</f>
        <v>19953</v>
      </c>
    </row>
    <row r="52" spans="1:3" ht="21" customHeight="1">
      <c r="A52" s="119"/>
      <c r="B52" s="21" t="s">
        <v>268</v>
      </c>
      <c r="C52" s="118">
        <f>1500+118</f>
        <v>1618</v>
      </c>
    </row>
    <row r="53" spans="1:5" ht="39.75" customHeight="1">
      <c r="A53" s="129"/>
      <c r="B53" s="130" t="s">
        <v>269</v>
      </c>
      <c r="C53" s="131">
        <f>SUM(C48:C52)</f>
        <v>51205</v>
      </c>
      <c r="E53" s="82"/>
    </row>
    <row r="54" spans="1:3" ht="21" customHeight="1">
      <c r="A54" s="119" t="s">
        <v>270</v>
      </c>
      <c r="B54" s="32" t="s">
        <v>271</v>
      </c>
      <c r="C54" s="118">
        <f>4390+12559+1500</f>
        <v>18449</v>
      </c>
    </row>
    <row r="55" spans="1:3" ht="21" customHeight="1">
      <c r="A55" s="119" t="s">
        <v>272</v>
      </c>
      <c r="B55" s="32" t="s">
        <v>273</v>
      </c>
      <c r="C55" s="118">
        <f>10000+100+45</f>
        <v>10145</v>
      </c>
    </row>
    <row r="56" spans="1:2" ht="21" customHeight="1">
      <c r="A56" s="119" t="s">
        <v>274</v>
      </c>
      <c r="B56" s="128" t="s">
        <v>275</v>
      </c>
    </row>
    <row r="57" spans="1:3" ht="40.5" customHeight="1">
      <c r="A57" s="119"/>
      <c r="B57" s="50" t="s">
        <v>276</v>
      </c>
      <c r="C57" s="118">
        <f>20000-20+30000</f>
        <v>49980</v>
      </c>
    </row>
    <row r="58" spans="1:3" ht="21" customHeight="1">
      <c r="A58" s="119"/>
      <c r="B58" s="133" t="s">
        <v>277</v>
      </c>
      <c r="C58" s="118">
        <v>600</v>
      </c>
    </row>
    <row r="59" spans="1:6" s="11" customFormat="1" ht="42" customHeight="1" thickBot="1">
      <c r="A59" s="129"/>
      <c r="B59" s="130" t="s">
        <v>278</v>
      </c>
      <c r="C59" s="131">
        <f>SUM(C54:C58)</f>
        <v>79174</v>
      </c>
      <c r="E59" s="135"/>
      <c r="F59" s="135"/>
    </row>
    <row r="60" spans="1:3" s="11" customFormat="1" ht="35.25" customHeight="1" thickBot="1">
      <c r="A60" s="115"/>
      <c r="B60" s="116" t="s">
        <v>279</v>
      </c>
      <c r="C60" s="136">
        <f>C26+C53</f>
        <v>103680</v>
      </c>
    </row>
    <row r="61" spans="1:6" s="11" customFormat="1" ht="35.25" customHeight="1" thickBot="1">
      <c r="A61" s="115"/>
      <c r="B61" s="116" t="s">
        <v>280</v>
      </c>
      <c r="C61" s="136">
        <f>C36+C59</f>
        <v>137748</v>
      </c>
      <c r="F61" s="135"/>
    </row>
    <row r="62" spans="1:3" s="11" customFormat="1" ht="16.5" thickBot="1">
      <c r="A62" s="137"/>
      <c r="B62" s="8"/>
      <c r="C62" s="138"/>
    </row>
    <row r="63" spans="1:3" s="139" customFormat="1" ht="19.5" customHeight="1">
      <c r="A63" s="120" t="s">
        <v>27</v>
      </c>
      <c r="B63" s="386" t="s">
        <v>0</v>
      </c>
      <c r="C63" s="121" t="s">
        <v>13</v>
      </c>
    </row>
    <row r="64" spans="1:3" s="139" customFormat="1" ht="15.75">
      <c r="A64" s="112"/>
      <c r="B64" s="387"/>
      <c r="C64" s="122"/>
    </row>
    <row r="65" spans="1:3" s="139" customFormat="1" ht="16.5" thickBot="1">
      <c r="A65" s="114" t="s">
        <v>28</v>
      </c>
      <c r="B65" s="388"/>
      <c r="C65" s="124" t="s">
        <v>8</v>
      </c>
    </row>
    <row r="66" spans="1:3" ht="20.25" customHeight="1">
      <c r="A66" s="390" t="s">
        <v>281</v>
      </c>
      <c r="B66" s="390"/>
      <c r="C66" s="390"/>
    </row>
    <row r="67" spans="1:3" ht="20.25" customHeight="1">
      <c r="A67" s="140"/>
      <c r="B67" s="140"/>
      <c r="C67" s="140"/>
    </row>
    <row r="68" spans="1:3" ht="20.25" customHeight="1">
      <c r="A68" s="129" t="s">
        <v>282</v>
      </c>
      <c r="B68" s="279" t="s">
        <v>398</v>
      </c>
      <c r="C68" s="131">
        <v>11174</v>
      </c>
    </row>
    <row r="69" spans="1:3" ht="20.25" customHeight="1">
      <c r="A69" s="129" t="s">
        <v>285</v>
      </c>
      <c r="B69" s="141" t="s">
        <v>283</v>
      </c>
      <c r="C69" s="131">
        <f>1167+20000+1243+1303-20-11174+50+18+10262+45</f>
        <v>22894</v>
      </c>
    </row>
    <row r="70" spans="1:3" ht="21" customHeight="1">
      <c r="A70" s="129"/>
      <c r="B70" s="130" t="s">
        <v>284</v>
      </c>
      <c r="C70" s="142">
        <f>SUM(C68:C69)</f>
        <v>34068</v>
      </c>
    </row>
    <row r="71" spans="1:3" ht="15.75">
      <c r="A71" s="125" t="s">
        <v>287</v>
      </c>
      <c r="B71" s="141" t="s">
        <v>286</v>
      </c>
      <c r="C71" s="131"/>
    </row>
    <row r="72" spans="1:3" ht="15.75">
      <c r="A72" s="119" t="s">
        <v>327</v>
      </c>
      <c r="B72" s="141" t="s">
        <v>288</v>
      </c>
      <c r="C72" s="131"/>
    </row>
    <row r="73" spans="1:3" s="143" customFormat="1" ht="30" customHeight="1" thickBot="1">
      <c r="A73" s="129"/>
      <c r="B73" s="130" t="s">
        <v>289</v>
      </c>
      <c r="C73" s="131">
        <f>SUM(C71:C72)</f>
        <v>0</v>
      </c>
    </row>
    <row r="74" spans="1:5" s="143" customFormat="1" ht="30" customHeight="1" thickBot="1">
      <c r="A74" s="144"/>
      <c r="B74" s="145" t="s">
        <v>290</v>
      </c>
      <c r="C74" s="146">
        <f>C60+C70</f>
        <v>137748</v>
      </c>
      <c r="E74" s="147"/>
    </row>
    <row r="75" spans="1:5" ht="35.25" customHeight="1" thickBot="1">
      <c r="A75" s="144"/>
      <c r="B75" s="145" t="s">
        <v>291</v>
      </c>
      <c r="C75" s="146">
        <f>C61+C73</f>
        <v>137748</v>
      </c>
      <c r="E75" s="147"/>
    </row>
    <row r="76" ht="15.75">
      <c r="C76" s="134" t="s">
        <v>349</v>
      </c>
    </row>
  </sheetData>
  <sheetProtection password="DB7F" sheet="1" selectLockedCells="1" selectUnlockedCells="1"/>
  <mergeCells count="13">
    <mergeCell ref="A66:C66"/>
    <mergeCell ref="A10:C10"/>
    <mergeCell ref="A11:C11"/>
    <mergeCell ref="A12:C12"/>
    <mergeCell ref="A17:C17"/>
    <mergeCell ref="A1:C1"/>
    <mergeCell ref="A43:C43"/>
    <mergeCell ref="A47:C47"/>
    <mergeCell ref="B63:B65"/>
    <mergeCell ref="A4:C4"/>
    <mergeCell ref="A5:C5"/>
    <mergeCell ref="A6:C6"/>
    <mergeCell ref="A9:C9"/>
  </mergeCells>
  <printOptions horizontalCentered="1"/>
  <pageMargins left="0" right="0" top="0.35433070866141736" bottom="0.35433070866141736" header="0.31496062992125984" footer="0.31496062992125984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zoomScalePageLayoutView="0" workbookViewId="0" topLeftCell="A1">
      <selection activeCell="K1" sqref="K1:O1"/>
    </sheetView>
  </sheetViews>
  <sheetFormatPr defaultColWidth="9.00390625" defaultRowHeight="12.75"/>
  <cols>
    <col min="1" max="1" width="5.125" style="21" customWidth="1"/>
    <col min="2" max="2" width="43.625" style="21" customWidth="1"/>
    <col min="3" max="15" width="15.375" style="16" customWidth="1"/>
    <col min="16" max="16" width="11.375" style="21" bestFit="1" customWidth="1"/>
    <col min="17" max="16384" width="9.125" style="21" customWidth="1"/>
  </cols>
  <sheetData>
    <row r="1" spans="11:15" ht="15.75">
      <c r="K1" s="392" t="s">
        <v>417</v>
      </c>
      <c r="L1" s="392"/>
      <c r="M1" s="392"/>
      <c r="N1" s="392"/>
      <c r="O1" s="392"/>
    </row>
    <row r="2" spans="1:15" s="59" customFormat="1" ht="15.75">
      <c r="A2" s="59" t="s">
        <v>353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4" spans="2:15" ht="15.75">
      <c r="B4" s="299"/>
      <c r="C4" s="299"/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</row>
    <row r="5" spans="2:15" ht="15.75">
      <c r="B5" s="299"/>
      <c r="C5" s="299"/>
      <c r="D5" s="299"/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</row>
    <row r="6" spans="2:15" ht="15.75">
      <c r="B6" s="299" t="s">
        <v>26</v>
      </c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</row>
    <row r="7" spans="2:15" ht="15.75">
      <c r="B7" s="299" t="s">
        <v>355</v>
      </c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</row>
    <row r="8" spans="2:15" ht="15.75">
      <c r="B8" s="299" t="s">
        <v>48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</row>
    <row r="9" spans="3:15" ht="16.5" thickBot="1">
      <c r="C9" s="17"/>
      <c r="D9" s="17"/>
      <c r="E9" s="17"/>
      <c r="F9" s="148"/>
      <c r="G9" s="17"/>
      <c r="H9" s="17"/>
      <c r="I9" s="17"/>
      <c r="J9" s="17"/>
      <c r="O9" s="149" t="s">
        <v>6</v>
      </c>
    </row>
    <row r="10" spans="1:15" ht="15.75">
      <c r="A10" s="150" t="s">
        <v>27</v>
      </c>
      <c r="B10" s="151"/>
      <c r="C10" s="152"/>
      <c r="D10" s="153"/>
      <c r="E10" s="154"/>
      <c r="F10" s="155"/>
      <c r="G10" s="155"/>
      <c r="H10" s="155"/>
      <c r="I10" s="155"/>
      <c r="J10" s="155"/>
      <c r="K10" s="156"/>
      <c r="L10" s="156"/>
      <c r="M10" s="156"/>
      <c r="N10" s="157"/>
      <c r="O10" s="158"/>
    </row>
    <row r="11" spans="1:15" ht="15.75">
      <c r="A11" s="159"/>
      <c r="B11" s="160" t="s">
        <v>0</v>
      </c>
      <c r="C11" s="68" t="s">
        <v>292</v>
      </c>
      <c r="D11" s="161" t="s">
        <v>293</v>
      </c>
      <c r="E11" s="162" t="s">
        <v>294</v>
      </c>
      <c r="F11" s="163" t="s">
        <v>295</v>
      </c>
      <c r="G11" s="163" t="s">
        <v>296</v>
      </c>
      <c r="H11" s="163" t="s">
        <v>297</v>
      </c>
      <c r="I11" s="163" t="s">
        <v>298</v>
      </c>
      <c r="J11" s="163" t="s">
        <v>299</v>
      </c>
      <c r="K11" s="163" t="s">
        <v>300</v>
      </c>
      <c r="L11" s="163" t="s">
        <v>301</v>
      </c>
      <c r="M11" s="163" t="s">
        <v>302</v>
      </c>
      <c r="N11" s="162" t="s">
        <v>303</v>
      </c>
      <c r="O11" s="122" t="s">
        <v>304</v>
      </c>
    </row>
    <row r="12" spans="1:15" ht="16.5" thickBot="1">
      <c r="A12" s="164" t="s">
        <v>28</v>
      </c>
      <c r="B12" s="165"/>
      <c r="C12" s="166"/>
      <c r="D12" s="167"/>
      <c r="E12" s="168"/>
      <c r="F12" s="169"/>
      <c r="G12" s="169"/>
      <c r="H12" s="169"/>
      <c r="I12" s="169"/>
      <c r="J12" s="169"/>
      <c r="K12" s="169"/>
      <c r="L12" s="169"/>
      <c r="M12" s="169"/>
      <c r="N12" s="168"/>
      <c r="O12" s="166"/>
    </row>
    <row r="13" spans="1:15" ht="28.5" customHeight="1">
      <c r="A13" s="170"/>
      <c r="B13" s="173" t="s">
        <v>305</v>
      </c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2"/>
    </row>
    <row r="14" spans="1:15" ht="28.5" customHeight="1">
      <c r="A14" s="170" t="s">
        <v>29</v>
      </c>
      <c r="B14" s="173" t="s">
        <v>306</v>
      </c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2"/>
    </row>
    <row r="15" spans="1:15" ht="28.5" customHeight="1">
      <c r="A15" s="170"/>
      <c r="B15" s="173" t="s">
        <v>307</v>
      </c>
      <c r="C15" s="171">
        <f>2862+47+43</f>
        <v>2952</v>
      </c>
      <c r="D15" s="171">
        <f>1930+43</f>
        <v>1973</v>
      </c>
      <c r="E15" s="171">
        <f>1930+43</f>
        <v>1973</v>
      </c>
      <c r="F15" s="171">
        <f>1930+43</f>
        <v>1973</v>
      </c>
      <c r="G15" s="171">
        <f>1930+43</f>
        <v>1973</v>
      </c>
      <c r="H15" s="171">
        <f>1930+48</f>
        <v>1978</v>
      </c>
      <c r="I15" s="171">
        <f>1930-190+48</f>
        <v>1788</v>
      </c>
      <c r="J15" s="171">
        <f>-27+1930+13+47</f>
        <v>1963</v>
      </c>
      <c r="K15" s="171">
        <f>-27+1930+13+47+195</f>
        <v>2158</v>
      </c>
      <c r="L15" s="171">
        <f>-27+1930+13+48</f>
        <v>1964</v>
      </c>
      <c r="M15" s="171">
        <f>-27+1930+13+249</f>
        <v>2165</v>
      </c>
      <c r="N15" s="171">
        <f>-27+1930+15</f>
        <v>1918</v>
      </c>
      <c r="O15" s="172">
        <f>SUM(C15:N15)</f>
        <v>24778</v>
      </c>
    </row>
    <row r="16" spans="1:15" ht="28.5" customHeight="1">
      <c r="A16" s="170"/>
      <c r="B16" s="173" t="s">
        <v>308</v>
      </c>
      <c r="C16" s="171">
        <v>86</v>
      </c>
      <c r="D16" s="171">
        <v>87</v>
      </c>
      <c r="E16" s="171">
        <v>88</v>
      </c>
      <c r="F16" s="171">
        <v>88</v>
      </c>
      <c r="G16" s="171">
        <v>88</v>
      </c>
      <c r="H16" s="171">
        <f>3716+130</f>
        <v>3846</v>
      </c>
      <c r="I16" s="171">
        <v>130</v>
      </c>
      <c r="J16" s="171">
        <v>140</v>
      </c>
      <c r="K16" s="171">
        <v>295</v>
      </c>
      <c r="L16" s="171">
        <v>141</v>
      </c>
      <c r="M16" s="171"/>
      <c r="N16" s="171">
        <v>3717</v>
      </c>
      <c r="O16" s="172">
        <f>SUM(C16:N16)</f>
        <v>8706</v>
      </c>
    </row>
    <row r="17" spans="1:15" ht="28.5" customHeight="1">
      <c r="A17" s="170" t="s">
        <v>19</v>
      </c>
      <c r="B17" s="173" t="s">
        <v>309</v>
      </c>
      <c r="C17" s="171"/>
      <c r="D17" s="171"/>
      <c r="E17" s="171"/>
      <c r="F17" s="171">
        <f>10000</f>
        <v>10000</v>
      </c>
      <c r="G17" s="171">
        <f>12559</f>
        <v>12559</v>
      </c>
      <c r="H17" s="171"/>
      <c r="I17" s="171"/>
      <c r="J17" s="171"/>
      <c r="K17" s="171"/>
      <c r="L17" s="171"/>
      <c r="M17" s="171"/>
      <c r="N17" s="171">
        <v>4390</v>
      </c>
      <c r="O17" s="172">
        <f aca="true" t="shared" si="0" ref="O17:O28">SUM(C17:N17)</f>
        <v>26949</v>
      </c>
    </row>
    <row r="18" spans="1:15" ht="15.75">
      <c r="A18" s="170" t="s">
        <v>30</v>
      </c>
      <c r="B18" s="173" t="s">
        <v>310</v>
      </c>
      <c r="C18" s="171">
        <v>56</v>
      </c>
      <c r="D18" s="171">
        <v>383</v>
      </c>
      <c r="E18" s="171">
        <v>2379</v>
      </c>
      <c r="F18" s="171">
        <v>214</v>
      </c>
      <c r="G18" s="171">
        <v>1339</v>
      </c>
      <c r="H18" s="171">
        <v>182</v>
      </c>
      <c r="I18" s="171">
        <v>313</v>
      </c>
      <c r="J18" s="171">
        <v>1289</v>
      </c>
      <c r="K18" s="171">
        <v>1149</v>
      </c>
      <c r="L18" s="171">
        <v>320</v>
      </c>
      <c r="M18" s="171">
        <v>219</v>
      </c>
      <c r="N18" s="171">
        <v>954</v>
      </c>
      <c r="O18" s="172">
        <f t="shared" si="0"/>
        <v>8797</v>
      </c>
    </row>
    <row r="19" spans="1:15" ht="15.75">
      <c r="A19" s="170" t="s">
        <v>116</v>
      </c>
      <c r="B19" s="173" t="s">
        <v>311</v>
      </c>
      <c r="C19" s="171">
        <v>1959</v>
      </c>
      <c r="D19" s="171">
        <v>276</v>
      </c>
      <c r="E19" s="171">
        <v>946</v>
      </c>
      <c r="F19" s="171">
        <v>253</v>
      </c>
      <c r="G19" s="171">
        <f>320+826</f>
        <v>1146</v>
      </c>
      <c r="H19" s="171">
        <v>957</v>
      </c>
      <c r="I19" s="171">
        <v>1958</v>
      </c>
      <c r="J19" s="171">
        <v>275</v>
      </c>
      <c r="K19" s="171">
        <v>869</v>
      </c>
      <c r="L19" s="171">
        <v>287</v>
      </c>
      <c r="M19" s="171">
        <v>289</v>
      </c>
      <c r="N19" s="171">
        <v>879</v>
      </c>
      <c r="O19" s="172">
        <f t="shared" si="0"/>
        <v>10094</v>
      </c>
    </row>
    <row r="20" spans="1:15" ht="15.75">
      <c r="A20" s="170" t="s">
        <v>113</v>
      </c>
      <c r="B20" s="175" t="s">
        <v>312</v>
      </c>
      <c r="C20" s="174"/>
      <c r="D20" s="174">
        <v>485</v>
      </c>
      <c r="E20" s="174"/>
      <c r="F20" s="174"/>
      <c r="G20" s="174"/>
      <c r="H20" s="174"/>
      <c r="I20" s="174"/>
      <c r="J20" s="174"/>
      <c r="K20" s="174">
        <v>2200</v>
      </c>
      <c r="L20" s="174"/>
      <c r="M20" s="174"/>
      <c r="N20" s="174"/>
      <c r="O20" s="172">
        <f t="shared" si="0"/>
        <v>2685</v>
      </c>
    </row>
    <row r="21" spans="1:15" ht="15.75">
      <c r="A21" s="170" t="s">
        <v>120</v>
      </c>
      <c r="B21" s="175" t="s">
        <v>244</v>
      </c>
      <c r="C21" s="176"/>
      <c r="D21" s="176"/>
      <c r="E21" s="176"/>
      <c r="F21" s="176"/>
      <c r="G21" s="176"/>
      <c r="H21" s="176"/>
      <c r="I21" s="176"/>
      <c r="J21" s="176"/>
      <c r="K21" s="176"/>
      <c r="L21" s="176"/>
      <c r="M21" s="176"/>
      <c r="N21" s="177"/>
      <c r="O21" s="172">
        <f t="shared" si="0"/>
        <v>0</v>
      </c>
    </row>
    <row r="22" spans="1:15" ht="31.5">
      <c r="A22" s="170"/>
      <c r="B22" s="173" t="s">
        <v>313</v>
      </c>
      <c r="C22" s="178"/>
      <c r="D22" s="178">
        <v>100</v>
      </c>
      <c r="E22" s="178"/>
      <c r="F22" s="178"/>
      <c r="G22" s="178"/>
      <c r="H22" s="178"/>
      <c r="I22" s="178"/>
      <c r="J22" s="178"/>
      <c r="K22" s="178"/>
      <c r="L22" s="178"/>
      <c r="M22" s="178"/>
      <c r="N22" s="179"/>
      <c r="O22" s="172">
        <f t="shared" si="0"/>
        <v>100</v>
      </c>
    </row>
    <row r="23" spans="1:15" ht="17.25" customHeight="1">
      <c r="A23" s="170"/>
      <c r="B23" s="173" t="s">
        <v>314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9"/>
      <c r="O23" s="172">
        <f t="shared" si="0"/>
        <v>0</v>
      </c>
    </row>
    <row r="24" spans="1:15" ht="15.75">
      <c r="A24" s="170" t="s">
        <v>126</v>
      </c>
      <c r="B24" s="175" t="s">
        <v>315</v>
      </c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9"/>
      <c r="O24" s="172">
        <f t="shared" si="0"/>
        <v>0</v>
      </c>
    </row>
    <row r="25" spans="1:15" ht="15.75">
      <c r="A25" s="170"/>
      <c r="B25" s="175" t="s">
        <v>316</v>
      </c>
      <c r="C25" s="178">
        <v>8</v>
      </c>
      <c r="D25" s="178">
        <v>8</v>
      </c>
      <c r="E25" s="178">
        <v>7</v>
      </c>
      <c r="F25" s="178">
        <v>8</v>
      </c>
      <c r="G25" s="178">
        <v>8</v>
      </c>
      <c r="H25" s="178">
        <v>7</v>
      </c>
      <c r="I25" s="178">
        <v>8</v>
      </c>
      <c r="J25" s="178">
        <v>7</v>
      </c>
      <c r="K25" s="178">
        <v>8</v>
      </c>
      <c r="L25" s="178">
        <f>8+10000-78</f>
        <v>9930</v>
      </c>
      <c r="M25" s="178">
        <f>8+10000-62</f>
        <v>9946</v>
      </c>
      <c r="N25" s="179">
        <v>8</v>
      </c>
      <c r="O25" s="172">
        <f t="shared" si="0"/>
        <v>19953</v>
      </c>
    </row>
    <row r="26" spans="1:15" ht="15.75">
      <c r="A26" s="170"/>
      <c r="B26" s="173" t="s">
        <v>317</v>
      </c>
      <c r="C26" s="178"/>
      <c r="D26" s="178"/>
      <c r="E26" s="178"/>
      <c r="F26" s="178"/>
      <c r="G26" s="178">
        <v>1500</v>
      </c>
      <c r="H26" s="178">
        <v>118</v>
      </c>
      <c r="I26" s="178"/>
      <c r="J26" s="178"/>
      <c r="K26" s="178"/>
      <c r="L26" s="178"/>
      <c r="M26" s="178"/>
      <c r="N26" s="179"/>
      <c r="O26" s="172">
        <f t="shared" si="0"/>
        <v>1618</v>
      </c>
    </row>
    <row r="27" spans="1:15" ht="15.75">
      <c r="A27" s="170" t="s">
        <v>251</v>
      </c>
      <c r="B27" s="175" t="s">
        <v>65</v>
      </c>
      <c r="C27" s="178">
        <f>1167+20000+1243+1303-20-11174+50+18+10262+45</f>
        <v>22894</v>
      </c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9"/>
      <c r="O27" s="172">
        <f t="shared" si="0"/>
        <v>22894</v>
      </c>
    </row>
    <row r="28" spans="1:15" ht="31.5">
      <c r="A28" s="170" t="s">
        <v>253</v>
      </c>
      <c r="B28" s="279" t="s">
        <v>398</v>
      </c>
      <c r="C28" s="178"/>
      <c r="D28" s="178"/>
      <c r="E28" s="178"/>
      <c r="F28" s="178"/>
      <c r="G28" s="178">
        <v>11174</v>
      </c>
      <c r="H28" s="178"/>
      <c r="I28" s="178"/>
      <c r="J28" s="178"/>
      <c r="K28" s="178"/>
      <c r="L28" s="178"/>
      <c r="M28" s="178"/>
      <c r="N28" s="179"/>
      <c r="O28" s="172">
        <f t="shared" si="0"/>
        <v>11174</v>
      </c>
    </row>
    <row r="29" spans="1:15" ht="16.5" thickBot="1">
      <c r="A29" s="170" t="s">
        <v>261</v>
      </c>
      <c r="B29" s="181" t="s">
        <v>318</v>
      </c>
      <c r="C29" s="178"/>
      <c r="D29" s="178">
        <f>C50</f>
        <v>22193</v>
      </c>
      <c r="E29" s="178">
        <f aca="true" t="shared" si="1" ref="E29:N29">D50</f>
        <v>21652</v>
      </c>
      <c r="F29" s="178">
        <f t="shared" si="1"/>
        <v>13720</v>
      </c>
      <c r="G29" s="178">
        <f t="shared" si="1"/>
        <v>11905</v>
      </c>
      <c r="H29" s="178">
        <f t="shared" si="1"/>
        <v>24002</v>
      </c>
      <c r="I29" s="178">
        <f t="shared" si="1"/>
        <v>15551</v>
      </c>
      <c r="J29" s="178">
        <f t="shared" si="1"/>
        <v>14378</v>
      </c>
      <c r="K29" s="178">
        <f t="shared" si="1"/>
        <v>13575</v>
      </c>
      <c r="L29" s="178">
        <f t="shared" si="1"/>
        <v>13171</v>
      </c>
      <c r="M29" s="178">
        <f t="shared" si="1"/>
        <v>21202</v>
      </c>
      <c r="N29" s="178">
        <f t="shared" si="1"/>
        <v>30056</v>
      </c>
      <c r="O29" s="172"/>
    </row>
    <row r="30" spans="1:15" s="13" customFormat="1" ht="27.75" customHeight="1" thickBot="1">
      <c r="A30" s="182"/>
      <c r="B30" s="182" t="s">
        <v>319</v>
      </c>
      <c r="C30" s="183">
        <f aca="true" t="shared" si="2" ref="C30:N30">SUM(C15:C29)</f>
        <v>27955</v>
      </c>
      <c r="D30" s="183">
        <f t="shared" si="2"/>
        <v>25505</v>
      </c>
      <c r="E30" s="183">
        <f t="shared" si="2"/>
        <v>27045</v>
      </c>
      <c r="F30" s="183">
        <f t="shared" si="2"/>
        <v>26256</v>
      </c>
      <c r="G30" s="183">
        <f t="shared" si="2"/>
        <v>41692</v>
      </c>
      <c r="H30" s="183">
        <f t="shared" si="2"/>
        <v>31090</v>
      </c>
      <c r="I30" s="183">
        <f t="shared" si="2"/>
        <v>19748</v>
      </c>
      <c r="J30" s="183">
        <f t="shared" si="2"/>
        <v>18052</v>
      </c>
      <c r="K30" s="183">
        <f t="shared" si="2"/>
        <v>20254</v>
      </c>
      <c r="L30" s="183">
        <f t="shared" si="2"/>
        <v>25813</v>
      </c>
      <c r="M30" s="183">
        <f t="shared" si="2"/>
        <v>33821</v>
      </c>
      <c r="N30" s="183">
        <f t="shared" si="2"/>
        <v>41922</v>
      </c>
      <c r="O30" s="184">
        <f>SUM(O14:O29)</f>
        <v>137748</v>
      </c>
    </row>
    <row r="31" spans="1:15" ht="15.75">
      <c r="A31" s="185"/>
      <c r="B31" s="186" t="s">
        <v>320</v>
      </c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87"/>
    </row>
    <row r="32" spans="1:15" ht="15.75">
      <c r="A32" s="170" t="s">
        <v>261</v>
      </c>
      <c r="B32" s="175" t="s">
        <v>180</v>
      </c>
      <c r="C32" s="171">
        <f>979+37+35+53</f>
        <v>1104</v>
      </c>
      <c r="D32" s="171">
        <f>979+35</f>
        <v>1014</v>
      </c>
      <c r="E32" s="171">
        <f>979+35</f>
        <v>1014</v>
      </c>
      <c r="F32" s="171">
        <f>979+35</f>
        <v>1014</v>
      </c>
      <c r="G32" s="171">
        <f>980+35</f>
        <v>1015</v>
      </c>
      <c r="H32" s="171">
        <f>979+38+114</f>
        <v>1131</v>
      </c>
      <c r="I32" s="171">
        <f>979-150+38+115</f>
        <v>982</v>
      </c>
      <c r="J32" s="171">
        <f>979-21+37+169</f>
        <v>1164</v>
      </c>
      <c r="K32" s="171">
        <f>979-21+37+169</f>
        <v>1164</v>
      </c>
      <c r="L32" s="171">
        <f>979-21+38+97+169</f>
        <v>1262</v>
      </c>
      <c r="M32" s="171">
        <f>979-21</f>
        <v>958</v>
      </c>
      <c r="N32" s="171">
        <f>979-22</f>
        <v>957</v>
      </c>
      <c r="O32" s="172">
        <f aca="true" t="shared" si="3" ref="O32:O48">SUM(C32:N32)</f>
        <v>12779</v>
      </c>
    </row>
    <row r="33" spans="1:15" ht="15.75">
      <c r="A33" s="170" t="s">
        <v>263</v>
      </c>
      <c r="B33" s="175" t="s">
        <v>321</v>
      </c>
      <c r="C33" s="171">
        <f>277+10+8+27</f>
        <v>322</v>
      </c>
      <c r="D33" s="171">
        <f>277+8</f>
        <v>285</v>
      </c>
      <c r="E33" s="171">
        <f>276+8</f>
        <v>284</v>
      </c>
      <c r="F33" s="171">
        <f>277+8</f>
        <v>285</v>
      </c>
      <c r="G33" s="171">
        <f>277+8</f>
        <v>285</v>
      </c>
      <c r="H33" s="171">
        <f>277+10+15</f>
        <v>302</v>
      </c>
      <c r="I33" s="171">
        <f>276-40+10+16</f>
        <v>262</v>
      </c>
      <c r="J33" s="171">
        <f>277-6+10+23</f>
        <v>304</v>
      </c>
      <c r="K33" s="171">
        <f>277-6+10+23</f>
        <v>304</v>
      </c>
      <c r="L33" s="171">
        <f>276-6+10+50+23</f>
        <v>353</v>
      </c>
      <c r="M33" s="171">
        <f>277-6</f>
        <v>271</v>
      </c>
      <c r="N33" s="171">
        <f>277-5</f>
        <v>272</v>
      </c>
      <c r="O33" s="172">
        <f t="shared" si="3"/>
        <v>3529</v>
      </c>
    </row>
    <row r="34" spans="1:15" ht="15.75">
      <c r="A34" s="170" t="s">
        <v>265</v>
      </c>
      <c r="B34" s="175" t="s">
        <v>182</v>
      </c>
      <c r="C34" s="171">
        <f>2282+1108+180</f>
        <v>3570</v>
      </c>
      <c r="D34" s="171">
        <v>2282</v>
      </c>
      <c r="E34" s="171">
        <f>2282+200</f>
        <v>2482</v>
      </c>
      <c r="F34" s="171">
        <f>2282+45</f>
        <v>2327</v>
      </c>
      <c r="G34" s="171">
        <f>2282+55</f>
        <v>2337</v>
      </c>
      <c r="H34" s="171">
        <f>2282-228+180</f>
        <v>2234</v>
      </c>
      <c r="I34" s="171">
        <f>2282-342+1303+560</f>
        <v>3803</v>
      </c>
      <c r="J34" s="171">
        <f>2282-300+13</f>
        <v>1995</v>
      </c>
      <c r="K34" s="171">
        <f>2282+316+13</f>
        <v>2611</v>
      </c>
      <c r="L34" s="171">
        <f>2284+103+13+98+325</f>
        <v>2823</v>
      </c>
      <c r="M34" s="171">
        <f>68+2282+13</f>
        <v>2363</v>
      </c>
      <c r="N34" s="171">
        <f>2282+138+15+267</f>
        <v>2702</v>
      </c>
      <c r="O34" s="172">
        <f t="shared" si="3"/>
        <v>31529</v>
      </c>
    </row>
    <row r="35" spans="1:15" ht="15.75">
      <c r="A35" s="170" t="s">
        <v>270</v>
      </c>
      <c r="B35" s="175" t="s">
        <v>183</v>
      </c>
      <c r="C35" s="171">
        <v>173</v>
      </c>
      <c r="D35" s="171">
        <v>172</v>
      </c>
      <c r="E35" s="171">
        <v>173</v>
      </c>
      <c r="F35" s="171">
        <v>172</v>
      </c>
      <c r="G35" s="171">
        <f>173+150</f>
        <v>323</v>
      </c>
      <c r="H35" s="171">
        <v>172</v>
      </c>
      <c r="I35" s="171">
        <v>173</v>
      </c>
      <c r="J35" s="171">
        <f>172+500</f>
        <v>672</v>
      </c>
      <c r="K35" s="171">
        <v>173</v>
      </c>
      <c r="L35" s="171">
        <v>173</v>
      </c>
      <c r="M35" s="171">
        <v>173</v>
      </c>
      <c r="N35" s="171">
        <v>173</v>
      </c>
      <c r="O35" s="172">
        <f t="shared" si="3"/>
        <v>2722</v>
      </c>
    </row>
    <row r="36" spans="1:15" ht="15.75">
      <c r="A36" s="170" t="s">
        <v>272</v>
      </c>
      <c r="B36" s="175" t="s">
        <v>322</v>
      </c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2"/>
    </row>
    <row r="37" spans="1:15" ht="15.75">
      <c r="A37" s="170"/>
      <c r="B37" s="175" t="s">
        <v>323</v>
      </c>
      <c r="C37" s="171"/>
      <c r="D37" s="171"/>
      <c r="E37" s="171">
        <f>112/2</f>
        <v>56</v>
      </c>
      <c r="F37" s="171"/>
      <c r="G37" s="171"/>
      <c r="H37" s="171"/>
      <c r="I37" s="171"/>
      <c r="J37" s="171"/>
      <c r="K37" s="171">
        <v>56</v>
      </c>
      <c r="L37" s="171"/>
      <c r="M37" s="171"/>
      <c r="N37" s="171"/>
      <c r="O37" s="172">
        <f t="shared" si="3"/>
        <v>112</v>
      </c>
    </row>
    <row r="38" spans="1:15" ht="15.75">
      <c r="A38" s="170"/>
      <c r="B38" s="175" t="s">
        <v>324</v>
      </c>
      <c r="C38" s="171">
        <f>163</f>
        <v>163</v>
      </c>
      <c r="D38" s="171"/>
      <c r="E38" s="171">
        <f>325</f>
        <v>325</v>
      </c>
      <c r="F38" s="171">
        <v>135</v>
      </c>
      <c r="G38" s="171"/>
      <c r="H38" s="171"/>
      <c r="I38" s="171"/>
      <c r="J38" s="171">
        <v>162</v>
      </c>
      <c r="K38" s="171">
        <v>350</v>
      </c>
      <c r="L38" s="171"/>
      <c r="M38" s="171"/>
      <c r="N38" s="171"/>
      <c r="O38" s="172">
        <f t="shared" si="3"/>
        <v>1135</v>
      </c>
    </row>
    <row r="39" spans="1:16" ht="15.75">
      <c r="A39" s="170" t="s">
        <v>274</v>
      </c>
      <c r="B39" s="175" t="s">
        <v>186</v>
      </c>
      <c r="C39" s="171"/>
      <c r="D39" s="171"/>
      <c r="E39" s="171"/>
      <c r="F39" s="171"/>
      <c r="G39" s="171">
        <f>12559</f>
        <v>12559</v>
      </c>
      <c r="H39" s="171">
        <v>1500</v>
      </c>
      <c r="I39" s="171"/>
      <c r="J39" s="171"/>
      <c r="K39" s="171"/>
      <c r="L39" s="171"/>
      <c r="M39" s="171"/>
      <c r="N39" s="171">
        <v>4390</v>
      </c>
      <c r="O39" s="172">
        <f t="shared" si="3"/>
        <v>18449</v>
      </c>
      <c r="P39" s="280"/>
    </row>
    <row r="40" spans="1:15" ht="15.75">
      <c r="A40" s="170" t="s">
        <v>282</v>
      </c>
      <c r="B40" s="175" t="s">
        <v>56</v>
      </c>
      <c r="C40" s="171"/>
      <c r="D40" s="171"/>
      <c r="E40" s="171"/>
      <c r="F40" s="171"/>
      <c r="G40" s="171"/>
      <c r="H40" s="171">
        <f>10000+100</f>
        <v>10100</v>
      </c>
      <c r="I40" s="171"/>
      <c r="J40" s="171"/>
      <c r="K40" s="171">
        <v>45</v>
      </c>
      <c r="L40" s="171"/>
      <c r="M40" s="171"/>
      <c r="N40" s="171"/>
      <c r="O40" s="172">
        <f t="shared" si="3"/>
        <v>10145</v>
      </c>
    </row>
    <row r="41" spans="1:15" ht="20.25" customHeight="1">
      <c r="A41" s="170" t="s">
        <v>285</v>
      </c>
      <c r="B41" s="175" t="s">
        <v>275</v>
      </c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  <c r="O41" s="172">
        <f t="shared" si="3"/>
        <v>0</v>
      </c>
    </row>
    <row r="42" spans="1:15" ht="20.25" customHeight="1">
      <c r="A42" s="170"/>
      <c r="B42" s="175" t="s">
        <v>323</v>
      </c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2">
        <f t="shared" si="3"/>
        <v>0</v>
      </c>
    </row>
    <row r="43" spans="1:15" ht="15.75">
      <c r="A43" s="170"/>
      <c r="B43" s="175" t="s">
        <v>324</v>
      </c>
      <c r="C43" s="171"/>
      <c r="D43" s="171"/>
      <c r="E43" s="171">
        <v>8991</v>
      </c>
      <c r="F43" s="171">
        <f>600+9818</f>
        <v>10418</v>
      </c>
      <c r="G43" s="171">
        <v>1171</v>
      </c>
      <c r="H43" s="171"/>
      <c r="I43" s="171"/>
      <c r="J43" s="171"/>
      <c r="K43" s="171"/>
      <c r="L43" s="171"/>
      <c r="M43" s="171"/>
      <c r="N43" s="171">
        <v>30000</v>
      </c>
      <c r="O43" s="172">
        <f t="shared" si="3"/>
        <v>50580</v>
      </c>
    </row>
    <row r="44" spans="1:15" ht="15.75">
      <c r="A44" s="170" t="s">
        <v>287</v>
      </c>
      <c r="B44" s="175" t="s">
        <v>179</v>
      </c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  <c r="O44" s="172">
        <f t="shared" si="3"/>
        <v>0</v>
      </c>
    </row>
    <row r="45" spans="1:15" ht="15.75">
      <c r="A45" s="170"/>
      <c r="B45" s="175" t="s">
        <v>325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2">
        <f t="shared" si="3"/>
        <v>0</v>
      </c>
    </row>
    <row r="46" spans="1:15" ht="15.75">
      <c r="A46" s="170"/>
      <c r="B46" s="175" t="s">
        <v>326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2">
        <f t="shared" si="3"/>
        <v>0</v>
      </c>
    </row>
    <row r="47" spans="1:15" ht="15.75">
      <c r="A47" s="170" t="s">
        <v>327</v>
      </c>
      <c r="B47" s="175" t="s">
        <v>328</v>
      </c>
      <c r="C47" s="171"/>
      <c r="D47" s="171"/>
      <c r="E47" s="171"/>
      <c r="F47" s="171"/>
      <c r="G47" s="171"/>
      <c r="H47" s="171">
        <v>100</v>
      </c>
      <c r="I47" s="171">
        <v>150</v>
      </c>
      <c r="J47" s="171">
        <v>180</v>
      </c>
      <c r="K47" s="171">
        <v>2200</v>
      </c>
      <c r="L47" s="171"/>
      <c r="M47" s="171"/>
      <c r="N47" s="171">
        <f>20000-78-62+100+118+485+826-100-19738</f>
        <v>1551</v>
      </c>
      <c r="O47" s="172">
        <f t="shared" si="3"/>
        <v>4181</v>
      </c>
    </row>
    <row r="48" spans="1:16" ht="16.5" thickBot="1">
      <c r="A48" s="180" t="s">
        <v>329</v>
      </c>
      <c r="B48" s="181" t="s">
        <v>330</v>
      </c>
      <c r="C48" s="171">
        <f>180+250</f>
        <v>430</v>
      </c>
      <c r="D48" s="171">
        <v>100</v>
      </c>
      <c r="E48" s="171"/>
      <c r="F48" s="171"/>
      <c r="G48" s="171"/>
      <c r="H48" s="171"/>
      <c r="I48" s="171"/>
      <c r="J48" s="171"/>
      <c r="K48" s="171">
        <v>180</v>
      </c>
      <c r="L48" s="171"/>
      <c r="M48" s="171"/>
      <c r="N48" s="171">
        <f>2202-325</f>
        <v>1877</v>
      </c>
      <c r="O48" s="172">
        <f t="shared" si="3"/>
        <v>2587</v>
      </c>
      <c r="P48" s="280"/>
    </row>
    <row r="49" spans="1:19" s="13" customFormat="1" ht="24" customHeight="1" thickBot="1">
      <c r="A49" s="182"/>
      <c r="B49" s="182" t="s">
        <v>331</v>
      </c>
      <c r="C49" s="183">
        <f>SUM(C32:C48)</f>
        <v>5762</v>
      </c>
      <c r="D49" s="183">
        <f aca="true" t="shared" si="4" ref="D49:O49">SUM(D32:D48)</f>
        <v>3853</v>
      </c>
      <c r="E49" s="183">
        <f t="shared" si="4"/>
        <v>13325</v>
      </c>
      <c r="F49" s="183">
        <f t="shared" si="4"/>
        <v>14351</v>
      </c>
      <c r="G49" s="183">
        <f t="shared" si="4"/>
        <v>17690</v>
      </c>
      <c r="H49" s="183">
        <f t="shared" si="4"/>
        <v>15539</v>
      </c>
      <c r="I49" s="183">
        <f t="shared" si="4"/>
        <v>5370</v>
      </c>
      <c r="J49" s="183">
        <f t="shared" si="4"/>
        <v>4477</v>
      </c>
      <c r="K49" s="183">
        <f t="shared" si="4"/>
        <v>7083</v>
      </c>
      <c r="L49" s="183">
        <f t="shared" si="4"/>
        <v>4611</v>
      </c>
      <c r="M49" s="183">
        <f t="shared" si="4"/>
        <v>3765</v>
      </c>
      <c r="N49" s="183">
        <f t="shared" si="4"/>
        <v>41922</v>
      </c>
      <c r="O49" s="184">
        <f t="shared" si="4"/>
        <v>137748</v>
      </c>
      <c r="S49" s="188"/>
    </row>
    <row r="50" spans="1:15" ht="26.25" customHeight="1" thickBot="1">
      <c r="A50" s="189"/>
      <c r="B50" s="190" t="s">
        <v>332</v>
      </c>
      <c r="C50" s="191">
        <f>C30-C49</f>
        <v>22193</v>
      </c>
      <c r="D50" s="191">
        <f aca="true" t="shared" si="5" ref="D50:N50">D30-D49</f>
        <v>21652</v>
      </c>
      <c r="E50" s="191">
        <f t="shared" si="5"/>
        <v>13720</v>
      </c>
      <c r="F50" s="191">
        <f t="shared" si="5"/>
        <v>11905</v>
      </c>
      <c r="G50" s="191">
        <f t="shared" si="5"/>
        <v>24002</v>
      </c>
      <c r="H50" s="191">
        <f t="shared" si="5"/>
        <v>15551</v>
      </c>
      <c r="I50" s="191">
        <f t="shared" si="5"/>
        <v>14378</v>
      </c>
      <c r="J50" s="191">
        <f t="shared" si="5"/>
        <v>13575</v>
      </c>
      <c r="K50" s="191">
        <f t="shared" si="5"/>
        <v>13171</v>
      </c>
      <c r="L50" s="191">
        <f t="shared" si="5"/>
        <v>21202</v>
      </c>
      <c r="M50" s="191">
        <f t="shared" si="5"/>
        <v>30056</v>
      </c>
      <c r="N50" s="191">
        <f t="shared" si="5"/>
        <v>0</v>
      </c>
      <c r="O50" s="192"/>
    </row>
    <row r="51" ht="15.75">
      <c r="O51" s="134" t="s">
        <v>349</v>
      </c>
    </row>
  </sheetData>
  <sheetProtection password="DB7F" sheet="1" selectLockedCells="1" selectUnlockedCells="1"/>
  <mergeCells count="6">
    <mergeCell ref="B8:O8"/>
    <mergeCell ref="B7:O7"/>
    <mergeCell ref="K1:O1"/>
    <mergeCell ref="B4:O4"/>
    <mergeCell ref="B5:O5"/>
    <mergeCell ref="B6:O6"/>
  </mergeCells>
  <printOptions/>
  <pageMargins left="0.7" right="0.7" top="0.75" bottom="0.75" header="0.3" footer="0.3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PMH_SÁRVÁR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</dc:creator>
  <cp:keywords/>
  <dc:description/>
  <cp:lastModifiedBy>Kissp</cp:lastModifiedBy>
  <cp:lastPrinted>2014-11-20T10:28:39Z</cp:lastPrinted>
  <dcterms:created xsi:type="dcterms:W3CDTF">2002-11-26T17:22:50Z</dcterms:created>
  <dcterms:modified xsi:type="dcterms:W3CDTF">2014-11-28T08:36:41Z</dcterms:modified>
  <cp:category/>
  <cp:version/>
  <cp:contentType/>
  <cp:contentStatus/>
</cp:coreProperties>
</file>