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0920" firstSheet="2" activeTab="9"/>
  </bookViews>
  <sheets>
    <sheet name="1.sz.mell." sheetId="19" r:id="rId1"/>
    <sheet name="2.sz.mell." sheetId="2" r:id="rId2"/>
    <sheet name="3.sz.mell." sheetId="3" r:id="rId3"/>
    <sheet name="4.sz.mell." sheetId="23" r:id="rId4"/>
    <sheet name="5.sz.mell." sheetId="6" r:id="rId5"/>
    <sheet name="6.sz.mell." sheetId="8" r:id="rId6"/>
    <sheet name="7.sz.mell." sheetId="12" r:id="rId7"/>
    <sheet name="8. sz.mell." sheetId="14" r:id="rId8"/>
    <sheet name="9.sz.mell." sheetId="15" r:id="rId9"/>
    <sheet name="10.sz.m." sheetId="21" r:id="rId10"/>
    <sheet name="Munka1" sheetId="24" r:id="rId11"/>
  </sheets>
  <definedNames>
    <definedName name="_xlnm.Print_Area" localSheetId="0">'1.sz.mell.'!$A$1:$D$115</definedName>
    <definedName name="_xlnm.Print_Area" localSheetId="1">'2.sz.mell.'!$A$1:$F$45</definedName>
    <definedName name="_xlnm.Print_Area" localSheetId="2">'3.sz.mell.'!$A$1:$T$26</definedName>
    <definedName name="_xlnm.Print_Area" localSheetId="3">'4.sz.mell.'!$A$1:$X$58</definedName>
    <definedName name="_xlnm.Print_Area" localSheetId="4">'5.sz.mell.'!$A$1:$E$33</definedName>
    <definedName name="_xlnm.Print_Area" localSheetId="6">'7.sz.mell.'!$A$1:$D$13</definedName>
    <definedName name="_xlnm.Print_Area" localSheetId="7">'8. sz.mell.'!$A$1:$AA$24</definedName>
    <definedName name="_xlnm.Print_Area" localSheetId="8">'9.sz.mell.'!$A$1:$E$28</definedName>
  </definedNames>
  <calcPr calcId="124519"/>
  <fileRecoveryPr repairLoad="1"/>
</workbook>
</file>

<file path=xl/calcChain.xml><?xml version="1.0" encoding="utf-8"?>
<calcChain xmlns="http://schemas.openxmlformats.org/spreadsheetml/2006/main">
  <c r="R7" i="3"/>
  <c r="O7"/>
  <c r="C22" i="21"/>
  <c r="C26"/>
  <c r="C16"/>
  <c r="M21" i="14"/>
  <c r="K21"/>
  <c r="K22" s="1"/>
  <c r="K23" s="1"/>
  <c r="Z21"/>
  <c r="Y18"/>
  <c r="C22"/>
  <c r="C23" s="1"/>
  <c r="D22"/>
  <c r="D23" s="1"/>
  <c r="E22"/>
  <c r="E23" s="1"/>
  <c r="F22"/>
  <c r="F23" s="1"/>
  <c r="G22"/>
  <c r="G23" s="1"/>
  <c r="H22"/>
  <c r="I22"/>
  <c r="I23" s="1"/>
  <c r="J22"/>
  <c r="J23" s="1"/>
  <c r="L22"/>
  <c r="L23" s="1"/>
  <c r="M22"/>
  <c r="M23" s="1"/>
  <c r="N22"/>
  <c r="N23" s="1"/>
  <c r="O22"/>
  <c r="O23" s="1"/>
  <c r="P22"/>
  <c r="P23" s="1"/>
  <c r="Q22"/>
  <c r="Q23" s="1"/>
  <c r="R22"/>
  <c r="R23" s="1"/>
  <c r="S22"/>
  <c r="S23" s="1"/>
  <c r="T22"/>
  <c r="T23" s="1"/>
  <c r="U22"/>
  <c r="U23" s="1"/>
  <c r="V22"/>
  <c r="V23" s="1"/>
  <c r="W22"/>
  <c r="W23" s="1"/>
  <c r="X22"/>
  <c r="X23" s="1"/>
  <c r="Y22"/>
  <c r="Y23" s="1"/>
  <c r="B22"/>
  <c r="B23" s="1"/>
  <c r="AA21"/>
  <c r="Z22" l="1"/>
  <c r="Z23" s="1"/>
  <c r="H23"/>
  <c r="M20"/>
  <c r="K20"/>
  <c r="AA18"/>
  <c r="Y17"/>
  <c r="Y16"/>
  <c r="Y15"/>
  <c r="AA15"/>
  <c r="Y14"/>
  <c r="AA16"/>
  <c r="AA17"/>
  <c r="AA19"/>
  <c r="AA20"/>
  <c r="AA22"/>
  <c r="AA14"/>
  <c r="Z15"/>
  <c r="Z16"/>
  <c r="Z17"/>
  <c r="Z18"/>
  <c r="Z19"/>
  <c r="Z20"/>
  <c r="Z14"/>
  <c r="Y8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AA12" s="1"/>
  <c r="B12"/>
  <c r="Z12" s="1"/>
  <c r="AA10"/>
  <c r="AA11"/>
  <c r="Z10"/>
  <c r="Z11"/>
  <c r="S11"/>
  <c r="R11"/>
  <c r="AA9"/>
  <c r="Z9"/>
  <c r="Z8"/>
  <c r="Z7"/>
  <c r="AA7"/>
  <c r="AA8"/>
  <c r="AA23"/>
  <c r="Y6"/>
  <c r="AA6" s="1"/>
  <c r="Z6"/>
  <c r="E23" i="15"/>
  <c r="D23"/>
  <c r="E28"/>
  <c r="D8" i="12"/>
  <c r="D13" s="1"/>
  <c r="E10" i="6"/>
  <c r="E7" s="1"/>
  <c r="E31" s="1"/>
  <c r="E11"/>
  <c r="V6" i="23"/>
  <c r="H7" i="3" l="1"/>
  <c r="P7" s="1"/>
  <c r="H8"/>
  <c r="P8" s="1"/>
  <c r="N12"/>
  <c r="T21"/>
  <c r="T22"/>
  <c r="T23"/>
  <c r="T24"/>
  <c r="P25"/>
  <c r="N25"/>
  <c r="F34" i="2"/>
  <c r="F39"/>
  <c r="F13"/>
  <c r="D68" i="19"/>
  <c r="D80"/>
  <c r="D79"/>
  <c r="D77"/>
  <c r="D76"/>
  <c r="D71"/>
  <c r="D70"/>
  <c r="D42"/>
  <c r="C31"/>
  <c r="D24"/>
  <c r="D31" s="1"/>
  <c r="H14" i="8"/>
  <c r="R21" i="3"/>
  <c r="R22"/>
  <c r="R23"/>
  <c r="R24"/>
  <c r="R20"/>
  <c r="T20" s="1"/>
  <c r="Q21"/>
  <c r="Q22"/>
  <c r="Q23"/>
  <c r="Q24"/>
  <c r="H25"/>
  <c r="J25"/>
  <c r="L25"/>
  <c r="D25"/>
  <c r="E25"/>
  <c r="F25"/>
  <c r="G25"/>
  <c r="C25"/>
  <c r="R25" l="1"/>
  <c r="T25" s="1"/>
  <c r="O8"/>
  <c r="Q8" s="1"/>
  <c r="O9"/>
  <c r="Q9" s="1"/>
  <c r="O10"/>
  <c r="Q10" s="1"/>
  <c r="O11"/>
  <c r="Q11" s="1"/>
  <c r="R8"/>
  <c r="P9"/>
  <c r="R9" s="1"/>
  <c r="P10"/>
  <c r="R10" s="1"/>
  <c r="P11"/>
  <c r="R11" s="1"/>
  <c r="K12"/>
  <c r="K20" s="1"/>
  <c r="Q20" s="1"/>
  <c r="S20" s="1"/>
  <c r="M12"/>
  <c r="D12"/>
  <c r="E12"/>
  <c r="F12"/>
  <c r="H12"/>
  <c r="I12"/>
  <c r="J12"/>
  <c r="L12"/>
  <c r="C12"/>
  <c r="F43" i="2"/>
  <c r="F44"/>
  <c r="F20"/>
  <c r="F24" s="1"/>
  <c r="F10"/>
  <c r="F16" s="1"/>
  <c r="D82" i="19"/>
  <c r="D78"/>
  <c r="D75"/>
  <c r="D60"/>
  <c r="D58"/>
  <c r="D51"/>
  <c r="D49"/>
  <c r="D38"/>
  <c r="D22"/>
  <c r="W8" i="23"/>
  <c r="V49"/>
  <c r="Z57"/>
  <c r="G41"/>
  <c r="E41"/>
  <c r="V45"/>
  <c r="E45"/>
  <c r="F45"/>
  <c r="G45"/>
  <c r="H45"/>
  <c r="I45"/>
  <c r="J45"/>
  <c r="K45"/>
  <c r="L45"/>
  <c r="L58" s="1"/>
  <c r="M45"/>
  <c r="N45"/>
  <c r="O45"/>
  <c r="P45"/>
  <c r="P58" s="1"/>
  <c r="Q45"/>
  <c r="R45"/>
  <c r="S45"/>
  <c r="T45"/>
  <c r="U45"/>
  <c r="D45"/>
  <c r="W43"/>
  <c r="W44"/>
  <c r="V43"/>
  <c r="V44"/>
  <c r="W42"/>
  <c r="V42"/>
  <c r="Y45"/>
  <c r="V54"/>
  <c r="F58"/>
  <c r="H58"/>
  <c r="I58"/>
  <c r="J58"/>
  <c r="N58"/>
  <c r="O58"/>
  <c r="R58"/>
  <c r="T58"/>
  <c r="E57"/>
  <c r="E58" s="1"/>
  <c r="F57"/>
  <c r="G57"/>
  <c r="H57"/>
  <c r="I57"/>
  <c r="J57"/>
  <c r="K57"/>
  <c r="L57"/>
  <c r="M57"/>
  <c r="N57"/>
  <c r="O57"/>
  <c r="P57"/>
  <c r="Q57"/>
  <c r="R57"/>
  <c r="S57"/>
  <c r="T57"/>
  <c r="U57"/>
  <c r="D57"/>
  <c r="D58" s="1"/>
  <c r="Y57"/>
  <c r="Y31"/>
  <c r="Y40" s="1"/>
  <c r="Y58" s="1"/>
  <c r="E49"/>
  <c r="F49"/>
  <c r="G49"/>
  <c r="H49"/>
  <c r="I49"/>
  <c r="J49"/>
  <c r="K49"/>
  <c r="L49"/>
  <c r="M49"/>
  <c r="N49"/>
  <c r="O49"/>
  <c r="P49"/>
  <c r="Q49"/>
  <c r="R49"/>
  <c r="S49"/>
  <c r="S58" s="1"/>
  <c r="T49"/>
  <c r="U49"/>
  <c r="E47"/>
  <c r="F47"/>
  <c r="G47"/>
  <c r="H47"/>
  <c r="I47"/>
  <c r="J47"/>
  <c r="K47"/>
  <c r="L47"/>
  <c r="M47"/>
  <c r="N47"/>
  <c r="O47"/>
  <c r="P47"/>
  <c r="Q47"/>
  <c r="R47"/>
  <c r="S47"/>
  <c r="T47"/>
  <c r="U47"/>
  <c r="D47"/>
  <c r="F40"/>
  <c r="G40"/>
  <c r="H40"/>
  <c r="I40"/>
  <c r="J40"/>
  <c r="K40"/>
  <c r="L40"/>
  <c r="M40"/>
  <c r="O40"/>
  <c r="P40"/>
  <c r="S40"/>
  <c r="T40"/>
  <c r="E40"/>
  <c r="E39"/>
  <c r="F39"/>
  <c r="G39"/>
  <c r="H39"/>
  <c r="I39"/>
  <c r="J39"/>
  <c r="K39"/>
  <c r="L39"/>
  <c r="M39"/>
  <c r="N39"/>
  <c r="O39"/>
  <c r="P39"/>
  <c r="Q39"/>
  <c r="R39"/>
  <c r="S39"/>
  <c r="T39"/>
  <c r="U39"/>
  <c r="D39"/>
  <c r="E31"/>
  <c r="F31"/>
  <c r="G31"/>
  <c r="H31"/>
  <c r="I31"/>
  <c r="J31"/>
  <c r="K31"/>
  <c r="L31"/>
  <c r="M31"/>
  <c r="N31"/>
  <c r="N40" s="1"/>
  <c r="O31"/>
  <c r="P31"/>
  <c r="Q31"/>
  <c r="Q40" s="1"/>
  <c r="R31"/>
  <c r="R40" s="1"/>
  <c r="S31"/>
  <c r="T31"/>
  <c r="U31"/>
  <c r="U40" s="1"/>
  <c r="D31"/>
  <c r="D40" s="1"/>
  <c r="D61" i="19" l="1"/>
  <c r="D83"/>
  <c r="D85" s="1"/>
  <c r="P12" i="3"/>
  <c r="R12"/>
  <c r="F25" i="2"/>
  <c r="Q58" i="23"/>
  <c r="U58"/>
  <c r="K58"/>
  <c r="M58"/>
  <c r="G58"/>
  <c r="M28" l="1"/>
  <c r="W33" l="1"/>
  <c r="W34"/>
  <c r="W35"/>
  <c r="W36"/>
  <c r="W37"/>
  <c r="W38"/>
  <c r="V33"/>
  <c r="V34"/>
  <c r="V35"/>
  <c r="V36"/>
  <c r="V37"/>
  <c r="V38"/>
  <c r="V32"/>
  <c r="W32"/>
  <c r="V12"/>
  <c r="V7"/>
  <c r="V8"/>
  <c r="V9"/>
  <c r="V10"/>
  <c r="V11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W51"/>
  <c r="W52"/>
  <c r="W53"/>
  <c r="W54"/>
  <c r="W55"/>
  <c r="W56"/>
  <c r="W50"/>
  <c r="V51"/>
  <c r="V52"/>
  <c r="V53"/>
  <c r="V55"/>
  <c r="V56"/>
  <c r="V50"/>
  <c r="W48"/>
  <c r="W49" s="1"/>
  <c r="V48"/>
  <c r="W46"/>
  <c r="W47" s="1"/>
  <c r="V46"/>
  <c r="V47" s="1"/>
  <c r="W41"/>
  <c r="W45" s="1"/>
  <c r="V41"/>
  <c r="W7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6"/>
  <c r="X57"/>
  <c r="D49"/>
  <c r="X31"/>
  <c r="X40" s="1"/>
  <c r="L28"/>
  <c r="V39" l="1"/>
  <c r="V57"/>
  <c r="W57"/>
  <c r="W39"/>
  <c r="V31"/>
  <c r="V40" s="1"/>
  <c r="W31"/>
  <c r="X58"/>
  <c r="E11" i="2"/>
  <c r="E10"/>
  <c r="B22" i="21"/>
  <c r="B26" s="1"/>
  <c r="L20" i="14"/>
  <c r="C8" i="12"/>
  <c r="C13" s="1"/>
  <c r="E24" i="2"/>
  <c r="I20" i="3"/>
  <c r="I25" s="1"/>
  <c r="E34" i="2"/>
  <c r="C22" i="19"/>
  <c r="E20" i="2"/>
  <c r="D7" i="6"/>
  <c r="C82" i="19"/>
  <c r="C58"/>
  <c r="E20" i="21"/>
  <c r="D20"/>
  <c r="E16"/>
  <c r="F16"/>
  <c r="D16"/>
  <c r="B16"/>
  <c r="D11" i="6"/>
  <c r="D31" s="1"/>
  <c r="C51" i="19"/>
  <c r="D43" i="2"/>
  <c r="C43"/>
  <c r="D39"/>
  <c r="D44" s="1"/>
  <c r="C39"/>
  <c r="C44"/>
  <c r="D24"/>
  <c r="C24"/>
  <c r="D16"/>
  <c r="D25"/>
  <c r="C16"/>
  <c r="C25" s="1"/>
  <c r="S21" i="3"/>
  <c r="S22"/>
  <c r="S23"/>
  <c r="S24"/>
  <c r="O25"/>
  <c r="C60" i="19"/>
  <c r="E39" i="2"/>
  <c r="E43"/>
  <c r="E16"/>
  <c r="E25" s="1"/>
  <c r="K25" i="3"/>
  <c r="Q25" s="1"/>
  <c r="S25" s="1"/>
  <c r="F26" i="21"/>
  <c r="E26"/>
  <c r="M25" i="3"/>
  <c r="C75" i="19"/>
  <c r="C83" s="1"/>
  <c r="C78"/>
  <c r="C49"/>
  <c r="C38"/>
  <c r="D28" i="15"/>
  <c r="E44" i="2"/>
  <c r="D26" i="21"/>
  <c r="C61" i="19" l="1"/>
  <c r="G12" i="3"/>
  <c r="V58" i="23"/>
  <c r="W40"/>
  <c r="W58" s="1"/>
  <c r="Q7" i="3" l="1"/>
  <c r="Q12" s="1"/>
  <c r="O12"/>
</calcChain>
</file>

<file path=xl/sharedStrings.xml><?xml version="1.0" encoding="utf-8"?>
<sst xmlns="http://schemas.openxmlformats.org/spreadsheetml/2006/main" count="529" uniqueCount="388">
  <si>
    <t xml:space="preserve">Bevételi előirányzatok </t>
  </si>
  <si>
    <t>Kiemelt előirányzatok</t>
  </si>
  <si>
    <t>Működési célú saját bevétel</t>
  </si>
  <si>
    <t xml:space="preserve">               -ebből OEP-től átvett</t>
  </si>
  <si>
    <t>Működési célú pénzmaradvány</t>
  </si>
  <si>
    <t>Működési célú hitelfelvétel</t>
  </si>
  <si>
    <t>Működési célú bevételek összesen:</t>
  </si>
  <si>
    <t>Felhalmozási és tőkejellegű bevétel</t>
  </si>
  <si>
    <t>Sajátos felhalmozási és tőkejellegű bevétel</t>
  </si>
  <si>
    <t>Felhalmozási célú átvett pénzeszköz</t>
  </si>
  <si>
    <t>Felhalmozási célú költségvetési támogatás</t>
  </si>
  <si>
    <t>Felhalmozási célú kölcsöntörlesztés</t>
  </si>
  <si>
    <t>Fejlesztési hitel</t>
  </si>
  <si>
    <t>Felhalmozási pénzmaradvány</t>
  </si>
  <si>
    <t>Felhalmozási célú bevételek összesen:</t>
  </si>
  <si>
    <t>BEVÉTELI ELŐIRÁNYZAT MINDÖSSZESEN:</t>
  </si>
  <si>
    <t>Kiadási előirányzatok</t>
  </si>
  <si>
    <t>Személyi juttatások</t>
  </si>
  <si>
    <t>Munkaadókat terhelő járulékok</t>
  </si>
  <si>
    <t>Dologi kiadások</t>
  </si>
  <si>
    <t>Működési célú pénzeszközátadás, támogatás</t>
  </si>
  <si>
    <t>Általános tartalék</t>
  </si>
  <si>
    <t>Céltartalék</t>
  </si>
  <si>
    <t>Működési célú kiadások összesen:</t>
  </si>
  <si>
    <t>Felújítás - áfával</t>
  </si>
  <si>
    <t>Felhalmozási célú kiadások összesen:</t>
  </si>
  <si>
    <t>KIADÁSI ELŐIRÁNYZAT MINDÖSSZESEN:</t>
  </si>
  <si>
    <t>BEVÉTEL</t>
  </si>
  <si>
    <t>KIADÁS</t>
  </si>
  <si>
    <t>Intézmény</t>
  </si>
  <si>
    <t>MŰKÖDÉSI BEVÉTEL</t>
  </si>
  <si>
    <t>KÖZHATALMI BEVÉTEL</t>
  </si>
  <si>
    <t>MŰKÖDÉSI  TÁMOGATÁSOK</t>
  </si>
  <si>
    <t>HITELFELVÉTEL</t>
  </si>
  <si>
    <t>EGYÉB MŰKÖDÉSI KIADÁSOK</t>
  </si>
  <si>
    <t>ELLÁTOTTAK PÉNZBENI JUTTATÁSAI</t>
  </si>
  <si>
    <t>ÖSSZES KIADÁS</t>
  </si>
  <si>
    <t>Cím</t>
  </si>
  <si>
    <t xml:space="preserve">Eredeti ei. </t>
  </si>
  <si>
    <t>I.</t>
  </si>
  <si>
    <t>II.</t>
  </si>
  <si>
    <t>Kadarkúti Közös Önkormányzati  Hivatal</t>
  </si>
  <si>
    <t>III.</t>
  </si>
  <si>
    <t>id.Kapoli Antal Művelődési Ház</t>
  </si>
  <si>
    <t>IV.</t>
  </si>
  <si>
    <t>ÖSSZESEN</t>
  </si>
  <si>
    <t>3.sz. melléklet</t>
  </si>
  <si>
    <t>CÍM</t>
  </si>
  <si>
    <t>MEGNEVEZÉS</t>
  </si>
  <si>
    <t>Közvilágítás</t>
  </si>
  <si>
    <t>Védőnői szolgálat</t>
  </si>
  <si>
    <t>KÖTELEZŐ FELADATOK ÖSSZESEN</t>
  </si>
  <si>
    <t>NEM KÖTELEZŐ FELADATOK ÖSSZESEN</t>
  </si>
  <si>
    <t>ÖNKORMÁNYZAT</t>
  </si>
  <si>
    <t>KÖZÖS ÖNKORMÁNYZATI HIVATAL</t>
  </si>
  <si>
    <t>MINDÖSSZESEN</t>
  </si>
  <si>
    <t>Összesen:</t>
  </si>
  <si>
    <t>Felhalmozási kiadások</t>
  </si>
  <si>
    <t>Európai Uniós forrásból</t>
  </si>
  <si>
    <t>Nem Európai Uniós forrásból</t>
  </si>
  <si>
    <t>Megnevezés</t>
  </si>
  <si>
    <t>Összesen</t>
  </si>
  <si>
    <t>Céltartalék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</si>
  <si>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</si>
  <si>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</si>
  <si>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</si>
  <si>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</si>
  <si>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</si>
  <si>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</si>
  <si>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</si>
  <si>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</si>
  <si>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</si>
  <si>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</si>
  <si>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</si>
  <si>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</si>
  <si>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Közhatalmi bevételek</t>
  </si>
  <si>
    <t>Működési bevételek</t>
  </si>
  <si>
    <t>Felh.c.átvett pénzeszközök</t>
  </si>
  <si>
    <t>BEVÉTELEK ÖSSZESEN</t>
  </si>
  <si>
    <t>Munkaadói járulék</t>
  </si>
  <si>
    <t>Dologi kiadás</t>
  </si>
  <si>
    <t>Egyéb működési kiadások</t>
  </si>
  <si>
    <t>Tartalékok</t>
  </si>
  <si>
    <t>KIADÁSOK ÖSSZESEN</t>
  </si>
  <si>
    <t>BEV-KIAD. EGYENLEGE</t>
  </si>
  <si>
    <t>Ellátottak pénzbeni juttatása</t>
  </si>
  <si>
    <t>Működési c.támogatások Áht.belülről</t>
  </si>
  <si>
    <t>MŰKÖDÉSI ÁTADÁS</t>
  </si>
  <si>
    <t>Kötelező feladatokhoz támogatás</t>
  </si>
  <si>
    <t>Fogászati  és hétvégi ügyelet</t>
  </si>
  <si>
    <t>Hulladékkezelési rekultivációs program</t>
  </si>
  <si>
    <t>Vizitársulatoknak átadás</t>
  </si>
  <si>
    <t>Nem kötelező feladatokhoz támogatás</t>
  </si>
  <si>
    <t>MINDÖSSZESEN :</t>
  </si>
  <si>
    <t>BEVÉTELEK</t>
  </si>
  <si>
    <t>Önkormányzatok működési támogatása:</t>
  </si>
  <si>
    <t>Működési bevétel TB alapoktól</t>
  </si>
  <si>
    <t>Működési bevétel Munkaügyi Központtól</t>
  </si>
  <si>
    <t>Működési bevétel Megyei Könyvtártól</t>
  </si>
  <si>
    <t>Közhatalmi bevételek összesen:</t>
  </si>
  <si>
    <t>Működési bevételek összesen:</t>
  </si>
  <si>
    <t>Lakossági kölcsöntörlesztés</t>
  </si>
  <si>
    <t>Költségvetési maradvány összesen:</t>
  </si>
  <si>
    <t>BEVÉTELEK ÖSSZESEN:</t>
  </si>
  <si>
    <t>KIADÁSOK</t>
  </si>
  <si>
    <t>Munkáltatót terhelő járulékok</t>
  </si>
  <si>
    <t>Ellátottak pénzbeni juttatásai</t>
  </si>
  <si>
    <t>Működési kiadások összesen:</t>
  </si>
  <si>
    <t>Tartalékok összesen:</t>
  </si>
  <si>
    <t>Felhalmozási kiadások:</t>
  </si>
  <si>
    <t>KIADÁSOK ÖSSZESEN:</t>
  </si>
  <si>
    <t>Kadarkút Város Önkormányzata</t>
  </si>
  <si>
    <t>Önkormányzatok működési támogatása</t>
  </si>
  <si>
    <t>Működési célú támogatások 
ÁHT belülről</t>
  </si>
  <si>
    <t>Működési célú átvett pénzeszközök</t>
  </si>
  <si>
    <t>Felhalmozási célú átvett pénzeszközök</t>
  </si>
  <si>
    <t>Maradvány igénybevétel</t>
  </si>
  <si>
    <t>Munkáltatót terhelő járulék</t>
  </si>
  <si>
    <t>V.</t>
  </si>
  <si>
    <t xml:space="preserve">Kadarkút Város Önkormányzatának költségvetési évet követő 3 évre vonatkozó előirányzatai </t>
  </si>
  <si>
    <t>Id.Kapoli Antal Művelődési Ház</t>
  </si>
  <si>
    <t>Bokor József Városi Könyvtár</t>
  </si>
  <si>
    <t>MUNKAADÓKAT TERHELŐ JÁRULÉK</t>
  </si>
  <si>
    <t>DOLOGI KIADÁSOK</t>
  </si>
  <si>
    <t>KÖLTSÉGVETÉSI MARADVÁNY IGÉNYBEVÉTELE</t>
  </si>
  <si>
    <t>Kadarkúti Szociális Alapszolgáltatási Központ</t>
  </si>
  <si>
    <t>011130</t>
  </si>
  <si>
    <t>Zöldterület-kezelés</t>
  </si>
  <si>
    <t>066010</t>
  </si>
  <si>
    <t>066020</t>
  </si>
  <si>
    <t>074031</t>
  </si>
  <si>
    <t>096015</t>
  </si>
  <si>
    <t>Biztos Kezdet Gyerekház</t>
  </si>
  <si>
    <t>TARTALÉK ÖSSZESEN</t>
  </si>
  <si>
    <t>Ápolási díj</t>
  </si>
  <si>
    <t>2016. évi eredeti előirányzat</t>
  </si>
  <si>
    <t>IRÁNYÍTÓ SZERVI TÁMOGATÁS</t>
  </si>
  <si>
    <t>IRÁNYÍTÓ SZERVI TÁMOGATÁS FOLYÓSÍTÁSA</t>
  </si>
  <si>
    <t>Eredeti ei.</t>
  </si>
  <si>
    <t>ÖSSZES BEVÉTEL (IRÁNYÍTÓ SZERVI TÁMOGATÁS NÉLKÜL)</t>
  </si>
  <si>
    <t>Eredei ei.</t>
  </si>
  <si>
    <t>ÖSSZES KIADÁS (IRÁNYÍTÓ SZERVI TÁMOGATÁS NÉLKÜL)</t>
  </si>
  <si>
    <t>Egyéb felhalmozási célú kiadások</t>
  </si>
  <si>
    <t>Műk. célú átvett pénzeszközök összesen:</t>
  </si>
  <si>
    <t>013320</t>
  </si>
  <si>
    <t>013350</t>
  </si>
  <si>
    <t>016080</t>
  </si>
  <si>
    <t>041233</t>
  </si>
  <si>
    <t>041237</t>
  </si>
  <si>
    <t>045160</t>
  </si>
  <si>
    <t>051030</t>
  </si>
  <si>
    <t>052080</t>
  </si>
  <si>
    <t>063020</t>
  </si>
  <si>
    <t>064010</t>
  </si>
  <si>
    <t>072111</t>
  </si>
  <si>
    <t>072311</t>
  </si>
  <si>
    <t>072450</t>
  </si>
  <si>
    <t>081045</t>
  </si>
  <si>
    <t>096025</t>
  </si>
  <si>
    <t>104037</t>
  </si>
  <si>
    <t>104044</t>
  </si>
  <si>
    <t>106010</t>
  </si>
  <si>
    <t>107060</t>
  </si>
  <si>
    <t>Önk.jogalkotó és ált.igazgat.tev.</t>
  </si>
  <si>
    <t>Vagyongazdálkodás</t>
  </si>
  <si>
    <t>Kiemelt önkormányzati rendezvények</t>
  </si>
  <si>
    <t>Hosszabb időtartamú közfoglalkoztatás</t>
  </si>
  <si>
    <t>Közfoglalkoztatási mintaprogram</t>
  </si>
  <si>
    <t>Szennyvízcsatorna fenntartása, üzemeltetése</t>
  </si>
  <si>
    <t>Víztermelés,- kezelés,- ellátás</t>
  </si>
  <si>
    <t>Városgazd. egyéb szolg.</t>
  </si>
  <si>
    <t>Háziorvosi alapellátás</t>
  </si>
  <si>
    <t>Fogorvosi alapellátás</t>
  </si>
  <si>
    <t>Fizikoterápiás szolg. (labor)</t>
  </si>
  <si>
    <t>Szabadidő- sporttevékenység támogatás</t>
  </si>
  <si>
    <t>Óvodatársulás támogatása</t>
  </si>
  <si>
    <t>Gyermekétkeztetés köznevelési intézményben</t>
  </si>
  <si>
    <t>Lakóing. szoc. célú bérbead., üzemelt.</t>
  </si>
  <si>
    <t>Egyéb szoc. pénzbeli és term. ellátások</t>
  </si>
  <si>
    <t>SZEMÉLYI JUTTATÁS</t>
  </si>
  <si>
    <t>Házi segítségnyújtás</t>
  </si>
  <si>
    <t>Család és gyermekjóléti szolgáltatások</t>
  </si>
  <si>
    <t>Idősek nappali ellátása</t>
  </si>
  <si>
    <t>Szociális étkeztetés</t>
  </si>
  <si>
    <t>082091</t>
  </si>
  <si>
    <t>Id. KAPOLI ANTAL MŰVELŐDÉSI HÁZ</t>
  </si>
  <si>
    <t>Közművelődés-közösségi és társ.tev.részv.fejl.</t>
  </si>
  <si>
    <t>Könyvtári szolgáltatások</t>
  </si>
  <si>
    <t>BOKOR JÓZSEF VÁROSI KÖNYVTÁR</t>
  </si>
  <si>
    <t>082044</t>
  </si>
  <si>
    <t>107052</t>
  </si>
  <si>
    <t>104042</t>
  </si>
  <si>
    <t>102031</t>
  </si>
  <si>
    <t>107051</t>
  </si>
  <si>
    <t>KADARKÚTI SZOCIÁLIS ALAPSZOLGÁLTATÁSI KÖZPONT</t>
  </si>
  <si>
    <t>KIEMELT ELŐIRÁNYZATOK</t>
  </si>
  <si>
    <t>Egyéb szoc. pénzbeli és term. ellátások (BURSA)</t>
  </si>
  <si>
    <t>Felhalmozási célúpénzeszközátadás</t>
  </si>
  <si>
    <t>Beruházás - áfával</t>
  </si>
  <si>
    <t>Kadarkúti Közös Önkormányzati Hivatal eszközbeszerzés</t>
  </si>
  <si>
    <t>Kiemelt előir. megnevezése</t>
  </si>
  <si>
    <t>beruházás</t>
  </si>
  <si>
    <t>felújítás</t>
  </si>
  <si>
    <t>Költségvetési maradvány</t>
  </si>
  <si>
    <t>Tűzoltóegyesület támogatása</t>
  </si>
  <si>
    <t>Lakosság részére kamatmentes kölcsön nyújtása</t>
  </si>
  <si>
    <t>Óvoda társulás támogatása</t>
  </si>
  <si>
    <t>Fejlesztési cél megnevezése</t>
  </si>
  <si>
    <t>Id. Kapoli Antal Művelődési Ház  eszközbeszerzés</t>
  </si>
  <si>
    <t>Kormányzati funkció</t>
  </si>
  <si>
    <t>Működési célú költségvetési támogatás</t>
  </si>
  <si>
    <t xml:space="preserve"> Ft-ban</t>
  </si>
  <si>
    <t>Biztos Kezdet Gyerekház támogatása</t>
  </si>
  <si>
    <t>Útfelújítás támogatás (ÁHT-n belül)</t>
  </si>
  <si>
    <t>Építési telek értékesítése</t>
  </si>
  <si>
    <t>2017. évi
 eredeti előirányzat</t>
  </si>
  <si>
    <t>Ellátottak pénzbeli juttatásai</t>
  </si>
  <si>
    <t>Államháztartáson belüli megelőlegezés visszafizetése</t>
  </si>
  <si>
    <t>Közhatalmi bevétel</t>
  </si>
  <si>
    <t>Ft-ban</t>
  </si>
  <si>
    <t>Működési célú átvett pénzeszköz, kölcsöntörl.</t>
  </si>
  <si>
    <t>Bokor József Városi könyvtár eszközbeszerzése</t>
  </si>
  <si>
    <t>Kadarkúti Szociális Alapszolgáltatási Központ eszközbeszerzése</t>
  </si>
  <si>
    <t>Közművelődési érdekeltségnövelő pályázat 2017.</t>
  </si>
  <si>
    <t xml:space="preserve"> Forintban</t>
  </si>
  <si>
    <t>Köztemető fenntartás</t>
  </si>
  <si>
    <t>Közutak üzemeltetése</t>
  </si>
  <si>
    <t>Települési hulladékkezelés</t>
  </si>
  <si>
    <t>018030</t>
  </si>
  <si>
    <t>018010</t>
  </si>
  <si>
    <t>Áht-n belüli megelőlegezés visszafiz.</t>
  </si>
  <si>
    <t>Munkahelyi vendéglátás</t>
  </si>
  <si>
    <t>Köznevelési intézményen kívüli gyermekétk.</t>
  </si>
  <si>
    <t>Sportegyesület támogatása (labdarúgó,kézilabda)</t>
  </si>
  <si>
    <t>Zselici Lámpások támogatása</t>
  </si>
  <si>
    <t>TÖOSZ támogatása</t>
  </si>
  <si>
    <t>Kisvárosok Szövetségének támogatása</t>
  </si>
  <si>
    <t>Polgárőrség támogatása</t>
  </si>
  <si>
    <t xml:space="preserve">Államháztartáson belüli megelőlegezés </t>
  </si>
  <si>
    <t>SZASZK munka-és tűzvédelmi társulás tám.</t>
  </si>
  <si>
    <t xml:space="preserve">Járási startmunka mintaprogram </t>
  </si>
  <si>
    <t>Felh. és tőkejellegű bevétel</t>
  </si>
  <si>
    <t>Áht-n belüli megelőleg.visszafiz.</t>
  </si>
  <si>
    <t>2018. évi eredeti előirányzat</t>
  </si>
  <si>
    <t>Kadarkút Város Önkormányzat 2018 . évi bevételei és kiadásai alakulásáról</t>
  </si>
  <si>
    <t>Kadarkút Város Önkormányzat 2018. évi bevételei és kiadásai alakulásáról</t>
  </si>
  <si>
    <t>Kadarkút Város Önkormányzatának 
összevont mérlege  2016., 2017., 2018 években</t>
  </si>
  <si>
    <t>2018. évi
 eredeti előirányzat</t>
  </si>
  <si>
    <t>Kadarkút Város Önkormányzatának működési bevételei és kiadásai 2018. évben</t>
  </si>
  <si>
    <t>Kadarkút Város Önkormányzat 2018. évi kiadásai kormányzati funkciók szerinti bontásban</t>
  </si>
  <si>
    <t>Kadarkút Város Önkormányzatának 
2018. évi felhalmozási kiadásai</t>
  </si>
  <si>
    <t>Kadarkút Város Önkormányzat 2018. évi közfoglalkoztatási létszámkerete</t>
  </si>
  <si>
    <t>Kadarkút Város Önkormányzat 2018. évi tartaléka</t>
  </si>
  <si>
    <t>Kadarkút Város Önkormányzatának előirányzat felhasználási és likviditási ütemterve 2018. évben</t>
  </si>
  <si>
    <t>Kadarkút Város Önkormányzat által biztosított közvetlen támogatások 2018. évben</t>
  </si>
  <si>
    <t xml:space="preserve">Működési bevétel helyi önkormányzatoktól </t>
  </si>
  <si>
    <t>Központi kezelésű működési támogatás bevétele</t>
  </si>
  <si>
    <t>EFOP program támogatása</t>
  </si>
  <si>
    <t>Biztos Kezdet Gyerekház eszköz beszerzés</t>
  </si>
  <si>
    <t>Közművelődési érdekeltségnövelő pályázat 2018.</t>
  </si>
  <si>
    <t>Önkormányzati bérlakások felújítása</t>
  </si>
  <si>
    <t>Telek vásárlás vízrendezéshez</t>
  </si>
  <si>
    <t>MTZ vásárlás pályázati forrásból</t>
  </si>
  <si>
    <t>Sport utca felújítás</t>
  </si>
  <si>
    <t>Pipacs utca vízrendezés</t>
  </si>
  <si>
    <t>2 db kerékpár vásárlás</t>
  </si>
  <si>
    <t xml:space="preserve">Jelzőtáblák beszerzése </t>
  </si>
  <si>
    <t>Minibölcsőde kialakítás többlet munka</t>
  </si>
  <si>
    <t>ASP informatikai fejlesztés támogatás</t>
  </si>
  <si>
    <t>013370</t>
  </si>
  <si>
    <t>Informatikai fejlesztések, szolgáltatások</t>
  </si>
  <si>
    <t>084010</t>
  </si>
  <si>
    <t>084070</t>
  </si>
  <si>
    <t>Társadalmi esélyegy-el összefüggő feladatok</t>
  </si>
  <si>
    <t>Fiatalok társad. Integr. Segítő struktúra fejlesztés</t>
  </si>
  <si>
    <t>104051</t>
  </si>
  <si>
    <t>Gyemekvédelmi, pénzbeli és természetbeli ellátások</t>
  </si>
  <si>
    <t xml:space="preserve">Orvosi rendelő építése </t>
  </si>
  <si>
    <t>Működési bevétel államháztartáson belülről- ASP bevezetés többlet feladat</t>
  </si>
  <si>
    <t>Stúdió bútor beszerzés</t>
  </si>
  <si>
    <t>3 db kandalló beszerzés szociális bérlakásba</t>
  </si>
  <si>
    <t>Koncessziós díj bevétel számla</t>
  </si>
  <si>
    <t>Megszűnt viziközmű társulattól átvett pénzeszköz számla (2017.12.31. napi egyenleg csökkentve a 2018. évi beruházások összegével)</t>
  </si>
  <si>
    <t>Szociális bérlakás számla (2017.12.31. napi egyenleg csökkentve a 2018. évi beruházások összegével)</t>
  </si>
  <si>
    <r>
      <rPr>
        <b/>
        <sz val="14"/>
        <rFont val="Times New Roman"/>
        <family val="1"/>
        <charset val="238"/>
      </rPr>
      <t>Általános tartalék összesen</t>
    </r>
    <r>
      <rPr>
        <sz val="14"/>
        <rFont val="Times New Roman"/>
        <family val="1"/>
        <charset val="238"/>
      </rPr>
      <t xml:space="preserve"> </t>
    </r>
  </si>
  <si>
    <t>ASP többletmunka támogatás</t>
  </si>
  <si>
    <t>2/1 oldal</t>
  </si>
  <si>
    <t>2/2 oldal</t>
  </si>
  <si>
    <t>041236</t>
  </si>
  <si>
    <t>Országos közfoglakoztatási program</t>
  </si>
  <si>
    <t>SZEMÉLYI JUTTATÁS
EREDETI EI.</t>
  </si>
  <si>
    <t>SZEMÉLYI JUTTATÁS
MÓDOSÍTOTT EI</t>
  </si>
  <si>
    <t xml:space="preserve"> MUNK. TERH. JÁRULÉK
EREDETI EI.</t>
  </si>
  <si>
    <t xml:space="preserve"> MUNK. TERH. JÁRULÉK
MÓDOSÍTOTT EI</t>
  </si>
  <si>
    <t xml:space="preserve"> DOLOGI KIADÁS
EREDETI EI.</t>
  </si>
  <si>
    <t>MŰKÖDÉSI C. ÁTADOTT PÉNZESZK.
EREDETI EI</t>
  </si>
  <si>
    <t xml:space="preserve"> DOLOGI KIADÁS
MÓDOSÍTOTT EI.</t>
  </si>
  <si>
    <t>MŰKÖDÉSI C. ÁTADOTT PÉNZESZK.
MÓDOSÍTOTT EI</t>
  </si>
  <si>
    <t>TARTALÉK
EREDETI EI</t>
  </si>
  <si>
    <t>ÁLLAMHÁZTAR- TÁSON BELÜLI MEGELŐLEGEZÉS VISSZAFIZETÉSE
EREDETI EI</t>
  </si>
  <si>
    <t>BERUHÁZÁS
EREDETI EI</t>
  </si>
  <si>
    <t>FELÚJÍTÁS
EREDETI EI</t>
  </si>
  <si>
    <t>ELLÁTOTTAK PÉNZBENI PÉNZBENI  JUTTATÁSAI
EREDETI EI</t>
  </si>
  <si>
    <t>ELLÁTOTTAK PÉNZBENI PÉNZBENI  JUTTATÁSAI
MÓDOSÍTOTT EI</t>
  </si>
  <si>
    <t>TARTALÉK
MÓDOSÍTOTT EI</t>
  </si>
  <si>
    <t>ÁLLAMHÁZTAR- TÁSON BELÜLI MEGELŐLEGEZÉS VISSZAFIZETÉSE
MÓDOSÍTOTT EI</t>
  </si>
  <si>
    <t xml:space="preserve">BERUHÁZÁS
MÓDOSÍTOTT EI
</t>
  </si>
  <si>
    <t>FELÚJÍTÁS
MÓDOSÍTOTT EI</t>
  </si>
  <si>
    <t>ÖSSZESEN
EREDETI EI</t>
  </si>
  <si>
    <t>EREDETI EI</t>
  </si>
  <si>
    <t>ÖSSZESEN
MÓDOSÍTOTT EI</t>
  </si>
  <si>
    <t>LÉTSZÁM (FŐ)
EREDEETI</t>
  </si>
  <si>
    <t>LÉTSZÁM (FŐ)
MÓDOSÍTOTT</t>
  </si>
  <si>
    <t>016010</t>
  </si>
  <si>
    <t>OGY képviselő választás</t>
  </si>
  <si>
    <t>084070 / 084020</t>
  </si>
  <si>
    <t>2018. évi eredeti módosított</t>
  </si>
  <si>
    <t>2018. évi
 eredeti módosított</t>
  </si>
  <si>
    <t>2018. évi
módosított előirányzat</t>
  </si>
  <si>
    <t xml:space="preserve">Módosított ei. </t>
  </si>
  <si>
    <t>ÖSSZES BEVÉTEL</t>
  </si>
  <si>
    <t>ÖSSZEG
Eredeti Ei.</t>
  </si>
  <si>
    <t>ÖSSZEG
Mód.Ei.</t>
  </si>
  <si>
    <t>fő</t>
  </si>
  <si>
    <t>Önkormányzati hivatal működési támogatása (B111)</t>
  </si>
  <si>
    <t>A települési önkormányzatok egyes köznevelési feladatainak támogatása (B112)</t>
  </si>
  <si>
    <t>Zöldterület-gazdálkodással kapcsoaltos feladatok (B111)</t>
  </si>
  <si>
    <t>Közvilágítás fenntartásának támogatása (B111)</t>
  </si>
  <si>
    <t>Köztemető fenntartással kapcsoaltos feladatok támogatása (B111)</t>
  </si>
  <si>
    <t>Közutak fenntartásának támogatása (B111)</t>
  </si>
  <si>
    <t>Egyéb önkormányzati feladatok támogatása (B111)</t>
  </si>
  <si>
    <t>Kiegészítés I. jogcímekhez (B111)</t>
  </si>
  <si>
    <t>Polgármesteri illetmény támogatása (B111)</t>
  </si>
  <si>
    <t>Lakott külterület támogatás (B111)</t>
  </si>
  <si>
    <t>A települési önkormányzatok szociális feladatainak egyéb támogatása (B113)</t>
  </si>
  <si>
    <t>Szociális és gyerekjóléti feladatok  (B113)</t>
  </si>
  <si>
    <t>Gyermekétkeztetési feladatok támogatása  (B113)</t>
  </si>
  <si>
    <t>Gyermekétkeztetés üzemeltetési támogatása  (B113)</t>
  </si>
  <si>
    <t>A rászoruló gyermekek intézményen kívüli szünidei étkeztetésének támogatása  (B113)</t>
  </si>
  <si>
    <t>Közművelődési feladatok támogatása (B114)</t>
  </si>
  <si>
    <t>Működési célú önkormányzati támogatás (REKI) (B115)</t>
  </si>
  <si>
    <t>Működési célú támogatás Áht.-n belülről: (B16)</t>
  </si>
  <si>
    <t>Egyéb fejezeti kezelésű  ei-től műk. Célú p.e. átvét. (OGY választás)</t>
  </si>
  <si>
    <t>Felhalmozási célú bevételek összesen: (B23, B25)</t>
  </si>
  <si>
    <t>Magánszemélyek kommunális adója (B34)</t>
  </si>
  <si>
    <t>Állandó jelleggel végzett tevékenység után fizetendő iparűzési adó (B351)</t>
  </si>
  <si>
    <t>Gépjárműadó 40% (B354)</t>
  </si>
  <si>
    <t>Pótlékok és bírságok (B36)</t>
  </si>
  <si>
    <t>Talajterhelési díj (B36)</t>
  </si>
  <si>
    <t>Egyéb közhatalmi bevételek (ig.szolg.-i díj) (B36)</t>
  </si>
  <si>
    <t>Készletértékesítés (B401)</t>
  </si>
  <si>
    <t>Közvetített szolgáltatások bevétele (B403)</t>
  </si>
  <si>
    <t>Tárgyi eszköz bérbeadásából származó bevétel (B402)</t>
  </si>
  <si>
    <t>Szolgáltatások bevétele (B402)</t>
  </si>
  <si>
    <t>Tulajdonosi bevételek (B404)</t>
  </si>
  <si>
    <t>Intézményi ellátási díjak (B405)</t>
  </si>
  <si>
    <t>Kiszámlázott áfa bevétel (B406)</t>
  </si>
  <si>
    <t>Áfa visszatérítése (B407)</t>
  </si>
  <si>
    <t>Kamatbevételek (B4082)</t>
  </si>
  <si>
    <t>Egyéb működési bevétel (B411)</t>
  </si>
  <si>
    <t>Költségvetési maradvány (B8131)</t>
  </si>
  <si>
    <t>Műk. célú kölcsön törlesztése háztartástól (B411)</t>
  </si>
  <si>
    <t>Személyi juttatások (K1101, K1103, K1109, K1110, K1113, K121, K122, K123)</t>
  </si>
  <si>
    <t xml:space="preserve">Dologi kiadások (K311,K312,K312,K321,K322, K331, K332, K333, K334, K335, K336, K337,  K341, K351,K352, K354, K355, </t>
  </si>
  <si>
    <t>Ellátottak pénzbeni juttatásai (K42,K47, K48)</t>
  </si>
  <si>
    <t>Műk.célú pénzeszk átadás Áht kivűlre (K506, K512)</t>
  </si>
  <si>
    <t>Műk.célú pénzeszk átadás Áht belülre  (K506, K512)</t>
  </si>
  <si>
    <t>Általános tartalék (K513)</t>
  </si>
  <si>
    <t>Céltartalék (K513)</t>
  </si>
  <si>
    <t>Beruházás (K62, K63, K64, K67)</t>
  </si>
  <si>
    <t>Felújítás (K71, K73, K74)</t>
  </si>
  <si>
    <t>ÁHT-n belüli megelőlegezés visszafizetése (K914)</t>
  </si>
  <si>
    <t>"Együtt a Zsselicben a humán szolgáltatások fejlesztéséért" 
EFOP-1.5.3 pályázat (084070)</t>
  </si>
  <si>
    <t>Térségi összefogás a Zselicben a humán kapacitások fejlesztéséért EFOP-3.9.2. pályázat (084010)</t>
  </si>
  <si>
    <t>Konyha vizesblokk felújítás</t>
  </si>
  <si>
    <t xml:space="preserve">Közmunkaprogram szivattyú vásárlás </t>
  </si>
  <si>
    <t>MÓDOSÍTOTT EI</t>
  </si>
  <si>
    <t>OGY képviselő választás biz. Tagok napidíja</t>
  </si>
  <si>
    <t>1. melléklet a 10/2018.(VI.29.) önkormányzati rendelethez</t>
  </si>
  <si>
    <t>2. melléklet a 10/2018.(VI.29.) önkormányzati rendelethez</t>
  </si>
  <si>
    <t xml:space="preserve">5. melléklet a 10/2018.(VI.29.) önkormányzati rendelethez </t>
  </si>
  <si>
    <t xml:space="preserve">3. melléklet a 10/2018.(VI.29.) önkormányzati rendelethez </t>
  </si>
  <si>
    <t xml:space="preserve">4.  melléklet a 10/2018.(VI.29.) önkormányzati rendelethez </t>
  </si>
  <si>
    <t>6.  melléklet a 10/2018.(VI.29.) önkormányzati rendelethez</t>
  </si>
  <si>
    <t xml:space="preserve">7. melléklet a 10/2018.(VI.29.) önkormányzati rendelethez </t>
  </si>
  <si>
    <t xml:space="preserve">8. melléklet a 10/2018.(VI.29.) önkormányzati rendelethez </t>
  </si>
  <si>
    <t xml:space="preserve">9. melléklet a 10/2018.(VI.29.) önkormányzati rendelethez </t>
  </si>
  <si>
    <t xml:space="preserve">10. melléklet a 10/2018.(VI.29.) önkormányzati rendelethez 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</si>
</sst>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00"/>
  </numFmts>
  <fonts count="4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Cambria"/>
      <family val="1"/>
      <charset val="238"/>
    </font>
    <font>
      <b/>
      <u/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8"/>
      <color indexed="8"/>
      <name val="Times New Roman"/>
      <family val="1"/>
      <charset val="238"/>
    </font>
    <font>
      <sz val="16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6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10"/>
      <color rgb="FF0070C0"/>
      <name val="Arial CE"/>
      <charset val="238"/>
    </font>
    <font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6" fillId="0" borderId="0" applyFont="0" applyFill="0" applyBorder="0" applyAlignment="0" applyProtection="0"/>
    <xf numFmtId="0" fontId="1" fillId="0" borderId="0"/>
    <xf numFmtId="0" fontId="30" fillId="0" borderId="0"/>
    <xf numFmtId="9" fontId="1" fillId="0" borderId="0" applyFont="0" applyFill="0" applyBorder="0" applyAlignment="0" applyProtection="0"/>
  </cellStyleXfs>
  <cellXfs count="414">
    <xf numFmtId="0" fontId="0" fillId="0" borderId="0" xfId="0"/>
    <xf numFmtId="0" fontId="2" fillId="0" borderId="0" xfId="2" applyFont="1" applyAlignment="1">
      <alignment horizontal="right"/>
    </xf>
    <xf numFmtId="0" fontId="3" fillId="0" borderId="0" xfId="2" applyFont="1"/>
    <xf numFmtId="0" fontId="4" fillId="0" borderId="0" xfId="2" applyFont="1"/>
    <xf numFmtId="0" fontId="6" fillId="0" borderId="0" xfId="2" applyFont="1"/>
    <xf numFmtId="0" fontId="6" fillId="0" borderId="0" xfId="2" applyFont="1" applyFill="1"/>
    <xf numFmtId="0" fontId="6" fillId="0" borderId="1" xfId="2" applyFont="1" applyFill="1" applyBorder="1"/>
    <xf numFmtId="0" fontId="6" fillId="0" borderId="2" xfId="2" applyFont="1" applyFill="1" applyBorder="1"/>
    <xf numFmtId="0" fontId="6" fillId="0" borderId="3" xfId="2" applyFont="1" applyFill="1" applyBorder="1"/>
    <xf numFmtId="0" fontId="6" fillId="0" borderId="4" xfId="2" applyFont="1" applyFill="1" applyBorder="1"/>
    <xf numFmtId="0" fontId="7" fillId="0" borderId="0" xfId="2" applyFont="1" applyFill="1"/>
    <xf numFmtId="0" fontId="7" fillId="0" borderId="5" xfId="2" applyFont="1" applyFill="1" applyBorder="1"/>
    <xf numFmtId="0" fontId="6" fillId="0" borderId="6" xfId="2" applyFont="1" applyFill="1" applyBorder="1"/>
    <xf numFmtId="0" fontId="7" fillId="0" borderId="7" xfId="2" applyFont="1" applyFill="1" applyBorder="1"/>
    <xf numFmtId="0" fontId="6" fillId="0" borderId="1" xfId="2" applyFont="1" applyBorder="1"/>
    <xf numFmtId="0" fontId="6" fillId="0" borderId="3" xfId="2" applyFont="1" applyBorder="1"/>
    <xf numFmtId="0" fontId="6" fillId="0" borderId="4" xfId="2" applyFont="1" applyBorder="1"/>
    <xf numFmtId="0" fontId="7" fillId="0" borderId="5" xfId="2" applyFont="1" applyBorder="1"/>
    <xf numFmtId="0" fontId="7" fillId="0" borderId="7" xfId="2" applyFont="1" applyBorder="1"/>
    <xf numFmtId="0" fontId="7" fillId="0" borderId="0" xfId="2" applyFont="1"/>
    <xf numFmtId="0" fontId="8" fillId="0" borderId="0" xfId="2" applyFont="1" applyAlignment="1">
      <alignment wrapText="1"/>
    </xf>
    <xf numFmtId="0" fontId="9" fillId="0" borderId="0" xfId="2" applyFont="1"/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/>
    </xf>
    <xf numFmtId="0" fontId="11" fillId="0" borderId="0" xfId="2" applyFont="1" applyFill="1" applyBorder="1" applyAlignment="1"/>
    <xf numFmtId="3" fontId="11" fillId="0" borderId="0" xfId="2" applyNumberFormat="1" applyFont="1" applyFill="1" applyBorder="1" applyAlignment="1"/>
    <xf numFmtId="3" fontId="12" fillId="0" borderId="0" xfId="2" applyNumberFormat="1" applyFont="1"/>
    <xf numFmtId="3" fontId="12" fillId="0" borderId="0" xfId="2" applyNumberFormat="1" applyFont="1" applyFill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center" vertical="center" textRotation="90" wrapText="1"/>
    </xf>
    <xf numFmtId="3" fontId="11" fillId="0" borderId="0" xfId="2" applyNumberFormat="1" applyFont="1" applyBorder="1" applyAlignment="1">
      <alignment vertical="center"/>
    </xf>
    <xf numFmtId="3" fontId="12" fillId="0" borderId="0" xfId="2" applyNumberFormat="1" applyFont="1" applyBorder="1"/>
    <xf numFmtId="3" fontId="11" fillId="0" borderId="0" xfId="2" applyNumberFormat="1" applyFont="1" applyFill="1" applyBorder="1" applyAlignment="1">
      <alignment vertical="center" wrapText="1"/>
    </xf>
    <xf numFmtId="0" fontId="12" fillId="0" borderId="0" xfId="2" applyFont="1"/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1" fillId="0" borderId="0" xfId="2"/>
    <xf numFmtId="0" fontId="13" fillId="0" borderId="0" xfId="2" applyFont="1" applyAlignment="1">
      <alignment vertical="center"/>
    </xf>
    <xf numFmtId="0" fontId="1" fillId="0" borderId="0" xfId="2" applyAlignment="1">
      <alignment vertical="center"/>
    </xf>
    <xf numFmtId="0" fontId="14" fillId="0" borderId="0" xfId="2" applyFont="1" applyAlignment="1">
      <alignment vertical="center"/>
    </xf>
    <xf numFmtId="3" fontId="14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center" vertical="center"/>
    </xf>
    <xf numFmtId="3" fontId="1" fillId="0" borderId="0" xfId="2" applyNumberFormat="1" applyAlignment="1">
      <alignment vertical="center"/>
    </xf>
    <xf numFmtId="0" fontId="1" fillId="0" borderId="0" xfId="2" applyAlignment="1">
      <alignment horizontal="center" vertical="center"/>
    </xf>
    <xf numFmtId="0" fontId="20" fillId="0" borderId="0" xfId="2" applyFont="1" applyFill="1"/>
    <xf numFmtId="0" fontId="16" fillId="0" borderId="0" xfId="2" applyFont="1" applyFill="1"/>
    <xf numFmtId="0" fontId="22" fillId="0" borderId="0" xfId="2" applyFont="1" applyFill="1"/>
    <xf numFmtId="0" fontId="10" fillId="2" borderId="9" xfId="2" applyFont="1" applyFill="1" applyBorder="1"/>
    <xf numFmtId="0" fontId="10" fillId="0" borderId="0" xfId="2" applyFont="1" applyFill="1" applyAlignment="1">
      <alignment horizontal="center"/>
    </xf>
    <xf numFmtId="0" fontId="19" fillId="0" borderId="0" xfId="2" applyFont="1" applyFill="1" applyAlignment="1">
      <alignment horizontal="right"/>
    </xf>
    <xf numFmtId="0" fontId="10" fillId="3" borderId="9" xfId="2" applyFont="1" applyFill="1" applyBorder="1"/>
    <xf numFmtId="0" fontId="10" fillId="0" borderId="9" xfId="2" applyFont="1" applyFill="1" applyBorder="1"/>
    <xf numFmtId="0" fontId="10" fillId="0" borderId="0" xfId="2" applyFont="1" applyFill="1"/>
    <xf numFmtId="3" fontId="10" fillId="0" borderId="0" xfId="2" applyNumberFormat="1" applyFont="1" applyFill="1"/>
    <xf numFmtId="0" fontId="19" fillId="0" borderId="0" xfId="2" applyFont="1" applyFill="1"/>
    <xf numFmtId="0" fontId="19" fillId="0" borderId="0" xfId="2" applyFont="1" applyFill="1" applyAlignment="1"/>
    <xf numFmtId="3" fontId="19" fillId="0" borderId="0" xfId="2" applyNumberFormat="1" applyFont="1" applyFill="1" applyAlignment="1"/>
    <xf numFmtId="0" fontId="25" fillId="0" borderId="0" xfId="2" applyFont="1" applyFill="1"/>
    <xf numFmtId="3" fontId="10" fillId="0" borderId="0" xfId="2" applyNumberFormat="1" applyFont="1" applyFill="1" applyAlignment="1">
      <alignment horizontal="right"/>
    </xf>
    <xf numFmtId="3" fontId="19" fillId="0" borderId="0" xfId="2" applyNumberFormat="1" applyFont="1" applyFill="1" applyAlignment="1">
      <alignment horizontal="right"/>
    </xf>
    <xf numFmtId="3" fontId="19" fillId="0" borderId="0" xfId="2" applyNumberFormat="1" applyFont="1" applyFill="1"/>
    <xf numFmtId="0" fontId="19" fillId="0" borderId="0" xfId="2" applyFont="1" applyFill="1" applyAlignment="1">
      <alignment horizontal="left"/>
    </xf>
    <xf numFmtId="0" fontId="19" fillId="0" borderId="0" xfId="2" applyFont="1" applyAlignment="1">
      <alignment horizontal="center"/>
    </xf>
    <xf numFmtId="0" fontId="19" fillId="0" borderId="0" xfId="2" applyFont="1"/>
    <xf numFmtId="0" fontId="19" fillId="0" borderId="9" xfId="2" applyFont="1" applyFill="1" applyBorder="1" applyAlignment="1">
      <alignment horizontal="left" vertical="center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vertical="center"/>
    </xf>
    <xf numFmtId="0" fontId="1" fillId="0" borderId="0" xfId="2" applyAlignment="1">
      <alignment horizontal="center"/>
    </xf>
    <xf numFmtId="0" fontId="20" fillId="0" borderId="0" xfId="2" applyFont="1"/>
    <xf numFmtId="0" fontId="29" fillId="0" borderId="0" xfId="2" applyFont="1"/>
    <xf numFmtId="0" fontId="31" fillId="0" borderId="0" xfId="2" applyFont="1"/>
    <xf numFmtId="0" fontId="19" fillId="0" borderId="0" xfId="2" applyFont="1" applyAlignment="1">
      <alignment horizontal="right"/>
    </xf>
    <xf numFmtId="0" fontId="19" fillId="0" borderId="0" xfId="2" applyFont="1" applyAlignment="1">
      <alignment vertical="center"/>
    </xf>
    <xf numFmtId="0" fontId="31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9" fillId="0" borderId="0" xfId="2" applyFont="1" applyAlignment="1">
      <alignment horizontal="right" vertical="center"/>
    </xf>
    <xf numFmtId="0" fontId="20" fillId="0" borderId="0" xfId="3" applyFont="1" applyFill="1"/>
    <xf numFmtId="165" fontId="20" fillId="0" borderId="0" xfId="3" applyNumberFormat="1" applyFont="1" applyFill="1"/>
    <xf numFmtId="0" fontId="21" fillId="0" borderId="0" xfId="3" applyFont="1" applyFill="1" applyAlignment="1">
      <alignment horizontal="center" vertical="center"/>
    </xf>
    <xf numFmtId="0" fontId="19" fillId="0" borderId="0" xfId="3" applyFont="1" applyFill="1" applyBorder="1"/>
    <xf numFmtId="165" fontId="19" fillId="0" borderId="0" xfId="3" applyNumberFormat="1" applyFont="1" applyFill="1" applyBorder="1"/>
    <xf numFmtId="0" fontId="19" fillId="0" borderId="0" xfId="3" applyFont="1" applyFill="1" applyAlignment="1">
      <alignment vertical="center"/>
    </xf>
    <xf numFmtId="0" fontId="19" fillId="0" borderId="0" xfId="3" applyFont="1" applyFill="1" applyAlignment="1">
      <alignment horizontal="right" vertical="center"/>
    </xf>
    <xf numFmtId="0" fontId="19" fillId="0" borderId="0" xfId="3" applyFont="1" applyFill="1" applyAlignment="1">
      <alignment horizontal="right"/>
    </xf>
    <xf numFmtId="0" fontId="19" fillId="0" borderId="9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20" fillId="0" borderId="0" xfId="3" applyFont="1" applyFill="1" applyAlignment="1">
      <alignment horizontal="center" vertical="center"/>
    </xf>
    <xf numFmtId="165" fontId="20" fillId="0" borderId="0" xfId="3" applyNumberFormat="1" applyFont="1" applyFill="1" applyAlignment="1">
      <alignment horizontal="center" vertical="center"/>
    </xf>
    <xf numFmtId="0" fontId="19" fillId="0" borderId="9" xfId="3" applyFont="1" applyFill="1" applyBorder="1" applyAlignment="1">
      <alignment vertical="center"/>
    </xf>
    <xf numFmtId="3" fontId="10" fillId="0" borderId="0" xfId="3" applyNumberFormat="1" applyFont="1" applyFill="1" applyBorder="1"/>
    <xf numFmtId="3" fontId="20" fillId="0" borderId="0" xfId="3" applyNumberFormat="1" applyFont="1" applyFill="1"/>
    <xf numFmtId="0" fontId="10" fillId="0" borderId="9" xfId="3" applyFont="1" applyFill="1" applyBorder="1" applyAlignment="1">
      <alignment vertical="center"/>
    </xf>
    <xf numFmtId="0" fontId="10" fillId="0" borderId="10" xfId="3" applyFont="1" applyFill="1" applyBorder="1" applyAlignment="1">
      <alignment vertical="center"/>
    </xf>
    <xf numFmtId="0" fontId="16" fillId="0" borderId="0" xfId="3" applyFont="1" applyFill="1"/>
    <xf numFmtId="165" fontId="16" fillId="0" borderId="0" xfId="3" applyNumberFormat="1" applyFont="1" applyFill="1"/>
    <xf numFmtId="0" fontId="10" fillId="0" borderId="0" xfId="3" applyFont="1" applyFill="1" applyAlignment="1">
      <alignment vertical="center"/>
    </xf>
    <xf numFmtId="0" fontId="10" fillId="0" borderId="0" xfId="3" applyFont="1" applyFill="1"/>
    <xf numFmtId="0" fontId="0" fillId="0" borderId="0" xfId="0" applyAlignment="1">
      <alignment horizontal="right"/>
    </xf>
    <xf numFmtId="0" fontId="33" fillId="0" borderId="0" xfId="0" applyFont="1" applyAlignment="1">
      <alignment horizontal="right"/>
    </xf>
    <xf numFmtId="0" fontId="24" fillId="0" borderId="0" xfId="2" applyFont="1" applyAlignment="1">
      <alignment vertical="center"/>
    </xf>
    <xf numFmtId="3" fontId="31" fillId="0" borderId="0" xfId="2" applyNumberFormat="1" applyFont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right" vertical="center"/>
    </xf>
    <xf numFmtId="0" fontId="10" fillId="0" borderId="14" xfId="2" applyFont="1" applyFill="1" applyBorder="1" applyAlignment="1">
      <alignment horizontal="left" vertical="center"/>
    </xf>
    <xf numFmtId="0" fontId="10" fillId="2" borderId="9" xfId="2" applyFont="1" applyFill="1" applyBorder="1" applyAlignment="1">
      <alignment horizontal="left" vertical="center"/>
    </xf>
    <xf numFmtId="0" fontId="31" fillId="0" borderId="15" xfId="2" applyFont="1" applyBorder="1" applyAlignment="1">
      <alignment vertical="center"/>
    </xf>
    <xf numFmtId="0" fontId="10" fillId="2" borderId="9" xfId="2" applyFont="1" applyFill="1" applyBorder="1" applyAlignment="1">
      <alignment vertical="center" wrapText="1"/>
    </xf>
    <xf numFmtId="0" fontId="19" fillId="0" borderId="9" xfId="2" applyFont="1" applyBorder="1" applyAlignment="1">
      <alignment wrapText="1"/>
    </xf>
    <xf numFmtId="3" fontId="1" fillId="0" borderId="0" xfId="2" applyNumberFormat="1"/>
    <xf numFmtId="0" fontId="2" fillId="0" borderId="0" xfId="2" applyFont="1" applyAlignment="1"/>
    <xf numFmtId="0" fontId="35" fillId="0" borderId="0" xfId="2" applyFont="1"/>
    <xf numFmtId="0" fontId="23" fillId="0" borderId="0" xfId="2" applyFont="1" applyBorder="1" applyAlignment="1">
      <alignment vertical="center" wrapText="1"/>
    </xf>
    <xf numFmtId="0" fontId="36" fillId="0" borderId="0" xfId="2" applyFont="1" applyBorder="1" applyAlignment="1">
      <alignment horizontal="center" vertical="center" wrapText="1"/>
    </xf>
    <xf numFmtId="0" fontId="1" fillId="0" borderId="0" xfId="2" applyBorder="1" applyAlignment="1"/>
    <xf numFmtId="3" fontId="16" fillId="0" borderId="16" xfId="2" applyNumberFormat="1" applyFont="1" applyBorder="1" applyAlignment="1">
      <alignment horizontal="center" vertical="center" wrapText="1"/>
    </xf>
    <xf numFmtId="3" fontId="16" fillId="0" borderId="0" xfId="2" applyNumberFormat="1" applyFont="1" applyFill="1" applyBorder="1"/>
    <xf numFmtId="0" fontId="16" fillId="0" borderId="0" xfId="2" applyFont="1" applyBorder="1" applyAlignment="1">
      <alignment horizontal="center" vertical="center" wrapText="1"/>
    </xf>
    <xf numFmtId="0" fontId="20" fillId="0" borderId="0" xfId="2" applyFont="1" applyBorder="1"/>
    <xf numFmtId="0" fontId="20" fillId="0" borderId="2" xfId="2" applyFont="1" applyBorder="1" applyAlignment="1">
      <alignment horizontal="left" vertical="center"/>
    </xf>
    <xf numFmtId="0" fontId="16" fillId="0" borderId="0" xfId="2" applyFont="1" applyBorder="1"/>
    <xf numFmtId="0" fontId="35" fillId="0" borderId="0" xfId="2" applyFont="1" applyBorder="1"/>
    <xf numFmtId="0" fontId="20" fillId="0" borderId="8" xfId="2" applyFont="1" applyBorder="1" applyAlignment="1">
      <alignment horizontal="left" vertical="center"/>
    </xf>
    <xf numFmtId="0" fontId="16" fillId="2" borderId="7" xfId="2" applyFont="1" applyFill="1" applyBorder="1" applyAlignment="1">
      <alignment horizontal="left" vertical="center"/>
    </xf>
    <xf numFmtId="0" fontId="16" fillId="0" borderId="0" xfId="2" applyFont="1" applyBorder="1" applyAlignment="1">
      <alignment horizontal="left"/>
    </xf>
    <xf numFmtId="0" fontId="20" fillId="0" borderId="0" xfId="2" applyFont="1" applyBorder="1" applyAlignment="1">
      <alignment horizontal="left"/>
    </xf>
    <xf numFmtId="0" fontId="25" fillId="0" borderId="0" xfId="2" applyFont="1" applyBorder="1" applyAlignment="1">
      <alignment horizontal="right"/>
    </xf>
    <xf numFmtId="0" fontId="16" fillId="0" borderId="0" xfId="2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right"/>
    </xf>
    <xf numFmtId="9" fontId="20" fillId="0" borderId="0" xfId="4" applyFont="1" applyBorder="1"/>
    <xf numFmtId="0" fontId="16" fillId="0" borderId="0" xfId="2" applyFont="1" applyBorder="1" applyAlignment="1">
      <alignment horizontal="right"/>
    </xf>
    <xf numFmtId="3" fontId="16" fillId="0" borderId="0" xfId="2" applyNumberFormat="1" applyFont="1"/>
    <xf numFmtId="3" fontId="20" fillId="0" borderId="0" xfId="2" applyNumberFormat="1" applyFont="1"/>
    <xf numFmtId="0" fontId="33" fillId="0" borderId="0" xfId="0" applyFont="1" applyAlignment="1">
      <alignment horizontal="center"/>
    </xf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17" xfId="0" applyBorder="1"/>
    <xf numFmtId="0" fontId="0" fillId="0" borderId="5" xfId="0" applyBorder="1"/>
    <xf numFmtId="0" fontId="20" fillId="0" borderId="18" xfId="2" applyFont="1" applyBorder="1" applyAlignment="1">
      <alignment horizontal="left" vertical="center"/>
    </xf>
    <xf numFmtId="0" fontId="20" fillId="0" borderId="19" xfId="2" applyFont="1" applyBorder="1" applyAlignment="1">
      <alignment horizontal="left" vertical="center"/>
    </xf>
    <xf numFmtId="0" fontId="23" fillId="0" borderId="0" xfId="2" applyFont="1" applyBorder="1" applyAlignment="1">
      <alignment horizontal="center" vertical="center" wrapText="1"/>
    </xf>
    <xf numFmtId="3" fontId="20" fillId="0" borderId="0" xfId="2" applyNumberFormat="1" applyFont="1" applyBorder="1" applyAlignment="1">
      <alignment horizontal="right"/>
    </xf>
    <xf numFmtId="0" fontId="20" fillId="0" borderId="4" xfId="2" applyFont="1" applyBorder="1" applyAlignment="1">
      <alignment horizontal="left" vertical="center"/>
    </xf>
    <xf numFmtId="0" fontId="20" fillId="0" borderId="3" xfId="2" applyFont="1" applyBorder="1" applyAlignment="1">
      <alignment horizontal="left" vertical="center"/>
    </xf>
    <xf numFmtId="0" fontId="5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3" xfId="2" applyFont="1" applyFill="1" applyBorder="1" applyAlignment="1">
      <alignment horizontal="center" vertical="center" textRotation="90"/>
    </xf>
    <xf numFmtId="0" fontId="11" fillId="0" borderId="13" xfId="2" applyFont="1" applyFill="1" applyBorder="1" applyAlignment="1">
      <alignment horizontal="left" vertical="center"/>
    </xf>
    <xf numFmtId="0" fontId="11" fillId="0" borderId="13" xfId="2" applyFont="1" applyFill="1" applyBorder="1" applyAlignment="1">
      <alignment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13" xfId="2" applyFont="1" applyBorder="1" applyAlignment="1">
      <alignment vertical="center"/>
    </xf>
    <xf numFmtId="0" fontId="14" fillId="0" borderId="13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0" fillId="2" borderId="13" xfId="2" applyFont="1" applyFill="1" applyBorder="1" applyAlignment="1">
      <alignment vertical="center"/>
    </xf>
    <xf numFmtId="0" fontId="28" fillId="0" borderId="0" xfId="2" applyFont="1" applyAlignment="1">
      <alignment vertical="center"/>
    </xf>
    <xf numFmtId="3" fontId="12" fillId="0" borderId="13" xfId="2" applyNumberFormat="1" applyFont="1" applyBorder="1" applyAlignment="1">
      <alignment horizontal="center" vertical="center"/>
    </xf>
    <xf numFmtId="0" fontId="20" fillId="0" borderId="17" xfId="2" applyFont="1" applyBorder="1" applyAlignment="1">
      <alignment horizontal="left" vertical="center"/>
    </xf>
    <xf numFmtId="3" fontId="39" fillId="0" borderId="13" xfId="2" applyNumberFormat="1" applyFont="1" applyFill="1" applyBorder="1" applyAlignment="1">
      <alignment horizontal="center" vertical="center" wrapText="1"/>
    </xf>
    <xf numFmtId="3" fontId="17" fillId="0" borderId="21" xfId="2" applyNumberFormat="1" applyFont="1" applyBorder="1" applyAlignment="1">
      <alignment horizontal="center" vertical="center" wrapText="1"/>
    </xf>
    <xf numFmtId="49" fontId="14" fillId="0" borderId="13" xfId="2" applyNumberFormat="1" applyFont="1" applyBorder="1" applyAlignment="1">
      <alignment vertical="center"/>
    </xf>
    <xf numFmtId="49" fontId="14" fillId="0" borderId="22" xfId="2" applyNumberFormat="1" applyFont="1" applyBorder="1" applyAlignment="1">
      <alignment vertical="center"/>
    </xf>
    <xf numFmtId="49" fontId="14" fillId="0" borderId="23" xfId="2" applyNumberFormat="1" applyFont="1" applyBorder="1" applyAlignment="1">
      <alignment vertical="center"/>
    </xf>
    <xf numFmtId="49" fontId="14" fillId="0" borderId="13" xfId="2" applyNumberFormat="1" applyFont="1" applyBorder="1" applyAlignment="1">
      <alignment horizontal="left" vertical="center"/>
    </xf>
    <xf numFmtId="49" fontId="19" fillId="3" borderId="13" xfId="2" applyNumberFormat="1" applyFont="1" applyFill="1" applyBorder="1" applyAlignment="1">
      <alignment horizontal="left" vertical="center"/>
    </xf>
    <xf numFmtId="0" fontId="19" fillId="3" borderId="24" xfId="2" applyFont="1" applyFill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0" fillId="0" borderId="13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 wrapText="1"/>
    </xf>
    <xf numFmtId="0" fontId="19" fillId="0" borderId="9" xfId="2" applyFont="1" applyFill="1" applyBorder="1" applyAlignment="1">
      <alignment horizontal="center"/>
    </xf>
    <xf numFmtId="3" fontId="10" fillId="3" borderId="9" xfId="2" applyNumberFormat="1" applyFont="1" applyFill="1" applyBorder="1" applyAlignment="1">
      <alignment horizontal="right" indent="2"/>
    </xf>
    <xf numFmtId="0" fontId="19" fillId="0" borderId="9" xfId="2" applyFont="1" applyFill="1" applyBorder="1" applyAlignment="1">
      <alignment horizontal="left" vertical="center" wrapText="1"/>
    </xf>
    <xf numFmtId="3" fontId="10" fillId="2" borderId="9" xfId="2" applyNumberFormat="1" applyFont="1" applyFill="1" applyBorder="1" applyAlignment="1">
      <alignment horizontal="right" vertical="center" indent="1"/>
    </xf>
    <xf numFmtId="3" fontId="10" fillId="0" borderId="14" xfId="2" applyNumberFormat="1" applyFont="1" applyFill="1" applyBorder="1" applyAlignment="1">
      <alignment horizontal="right" vertical="center" indent="1"/>
    </xf>
    <xf numFmtId="3" fontId="19" fillId="2" borderId="9" xfId="2" applyNumberFormat="1" applyFont="1" applyFill="1" applyBorder="1" applyAlignment="1">
      <alignment horizontal="right" vertical="center" indent="1"/>
    </xf>
    <xf numFmtId="3" fontId="31" fillId="0" borderId="15" xfId="2" applyNumberFormat="1" applyFont="1" applyBorder="1" applyAlignment="1">
      <alignment horizontal="right" vertical="center" indent="1"/>
    </xf>
    <xf numFmtId="0" fontId="7" fillId="0" borderId="0" xfId="2" applyFont="1" applyFill="1" applyBorder="1"/>
    <xf numFmtId="3" fontId="7" fillId="0" borderId="0" xfId="2" applyNumberFormat="1" applyFont="1" applyFill="1" applyBorder="1" applyAlignment="1">
      <alignment horizontal="right" indent="2"/>
    </xf>
    <xf numFmtId="0" fontId="7" fillId="0" borderId="7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5" fillId="0" borderId="0" xfId="2" applyFont="1" applyAlignment="1">
      <alignment vertical="center" wrapText="1"/>
    </xf>
    <xf numFmtId="3" fontId="11" fillId="0" borderId="0" xfId="2" applyNumberFormat="1" applyFont="1" applyFill="1" applyBorder="1" applyAlignment="1">
      <alignment horizontal="right"/>
    </xf>
    <xf numFmtId="0" fontId="1" fillId="0" borderId="0" xfId="2" applyFont="1" applyAlignment="1">
      <alignment horizontal="right" vertical="center"/>
    </xf>
    <xf numFmtId="0" fontId="20" fillId="3" borderId="6" xfId="2" applyFont="1" applyFill="1" applyBorder="1" applyAlignment="1">
      <alignment horizontal="left" vertical="center"/>
    </xf>
    <xf numFmtId="0" fontId="20" fillId="4" borderId="1" xfId="2" applyFont="1" applyFill="1" applyBorder="1" applyAlignment="1">
      <alignment horizontal="left" vertical="center"/>
    </xf>
    <xf numFmtId="0" fontId="20" fillId="4" borderId="3" xfId="2" applyFont="1" applyFill="1" applyBorder="1" applyAlignment="1">
      <alignment horizontal="left" vertical="center"/>
    </xf>
    <xf numFmtId="3" fontId="6" fillId="0" borderId="27" xfId="2" applyNumberFormat="1" applyFont="1" applyFill="1" applyBorder="1" applyAlignment="1">
      <alignment horizontal="right" indent="1"/>
    </xf>
    <xf numFmtId="3" fontId="6" fillId="0" borderId="28" xfId="2" applyNumberFormat="1" applyFont="1" applyFill="1" applyBorder="1" applyAlignment="1">
      <alignment horizontal="right" indent="1"/>
    </xf>
    <xf numFmtId="3" fontId="6" fillId="0" borderId="29" xfId="2" applyNumberFormat="1" applyFont="1" applyFill="1" applyBorder="1" applyAlignment="1">
      <alignment horizontal="right" indent="1"/>
    </xf>
    <xf numFmtId="3" fontId="6" fillId="0" borderId="30" xfId="2" applyNumberFormat="1" applyFont="1" applyFill="1" applyBorder="1" applyAlignment="1">
      <alignment horizontal="right" indent="1"/>
    </xf>
    <xf numFmtId="3" fontId="7" fillId="0" borderId="13" xfId="2" applyNumberFormat="1" applyFont="1" applyFill="1" applyBorder="1" applyAlignment="1">
      <alignment horizontal="right" indent="1"/>
    </xf>
    <xf numFmtId="3" fontId="7" fillId="0" borderId="31" xfId="2" applyNumberFormat="1" applyFont="1" applyFill="1" applyBorder="1" applyAlignment="1">
      <alignment horizontal="right" indent="1"/>
    </xf>
    <xf numFmtId="3" fontId="7" fillId="0" borderId="25" xfId="2" applyNumberFormat="1" applyFont="1" applyFill="1" applyBorder="1" applyAlignment="1">
      <alignment horizontal="right" indent="1"/>
    </xf>
    <xf numFmtId="3" fontId="6" fillId="0" borderId="16" xfId="2" applyNumberFormat="1" applyFont="1" applyBorder="1" applyAlignment="1">
      <alignment horizontal="right" indent="1"/>
    </xf>
    <xf numFmtId="3" fontId="6" fillId="0" borderId="32" xfId="2" applyNumberFormat="1" applyFont="1" applyBorder="1" applyAlignment="1">
      <alignment horizontal="right" indent="1"/>
    </xf>
    <xf numFmtId="3" fontId="6" fillId="0" borderId="33" xfId="2" applyNumberFormat="1" applyFont="1" applyBorder="1" applyAlignment="1">
      <alignment horizontal="right" indent="1"/>
    </xf>
    <xf numFmtId="3" fontId="6" fillId="0" borderId="34" xfId="2" applyNumberFormat="1" applyFont="1" applyBorder="1" applyAlignment="1">
      <alignment horizontal="right" indent="1"/>
    </xf>
    <xf numFmtId="3" fontId="7" fillId="0" borderId="35" xfId="2" applyNumberFormat="1" applyFont="1" applyBorder="1" applyAlignment="1">
      <alignment horizontal="right" indent="1"/>
    </xf>
    <xf numFmtId="3" fontId="7" fillId="0" borderId="25" xfId="2" applyNumberFormat="1" applyFont="1" applyBorder="1" applyAlignment="1">
      <alignment horizontal="right" indent="1"/>
    </xf>
    <xf numFmtId="0" fontId="11" fillId="0" borderId="8" xfId="2" applyFont="1" applyFill="1" applyBorder="1" applyAlignment="1">
      <alignment vertical="center"/>
    </xf>
    <xf numFmtId="0" fontId="16" fillId="2" borderId="21" xfId="2" applyFont="1" applyFill="1" applyBorder="1" applyAlignment="1">
      <alignment horizontal="left" vertical="center"/>
    </xf>
    <xf numFmtId="0" fontId="10" fillId="0" borderId="36" xfId="2" applyFont="1" applyBorder="1" applyAlignment="1">
      <alignment horizontal="center" vertical="center"/>
    </xf>
    <xf numFmtId="0" fontId="16" fillId="2" borderId="5" xfId="2" applyFont="1" applyFill="1" applyBorder="1" applyAlignment="1">
      <alignment horizontal="left" vertical="center"/>
    </xf>
    <xf numFmtId="0" fontId="16" fillId="2" borderId="37" xfId="2" applyFont="1" applyFill="1" applyBorder="1" applyAlignment="1">
      <alignment horizontal="left" vertical="center"/>
    </xf>
    <xf numFmtId="0" fontId="21" fillId="0" borderId="0" xfId="2" applyFont="1" applyAlignment="1">
      <alignment horizontal="center" vertical="center" wrapText="1"/>
    </xf>
    <xf numFmtId="0" fontId="21" fillId="0" borderId="0" xfId="2" applyFont="1" applyAlignment="1">
      <alignment vertical="center" wrapText="1"/>
    </xf>
    <xf numFmtId="3" fontId="46" fillId="0" borderId="15" xfId="3" applyNumberFormat="1" applyFont="1" applyFill="1" applyBorder="1" applyAlignment="1">
      <alignment horizontal="right" vertical="center" indent="1"/>
    </xf>
    <xf numFmtId="3" fontId="46" fillId="0" borderId="11" xfId="3" applyNumberFormat="1" applyFont="1" applyFill="1" applyBorder="1" applyAlignment="1">
      <alignment horizontal="right" vertical="center" indent="1"/>
    </xf>
    <xf numFmtId="0" fontId="45" fillId="0" borderId="0" xfId="0" applyFont="1"/>
    <xf numFmtId="3" fontId="12" fillId="0" borderId="32" xfId="2" applyNumberFormat="1" applyFont="1" applyBorder="1" applyAlignment="1">
      <alignment horizontal="right" vertical="center" indent="5"/>
    </xf>
    <xf numFmtId="3" fontId="11" fillId="2" borderId="35" xfId="2" applyNumberFormat="1" applyFont="1" applyFill="1" applyBorder="1" applyAlignment="1">
      <alignment horizontal="right" vertical="center" indent="5"/>
    </xf>
    <xf numFmtId="3" fontId="12" fillId="0" borderId="43" xfId="2" applyNumberFormat="1" applyFont="1" applyBorder="1" applyAlignment="1">
      <alignment horizontal="right" vertical="center" indent="5"/>
    </xf>
    <xf numFmtId="3" fontId="12" fillId="0" borderId="33" xfId="2" applyNumberFormat="1" applyFont="1" applyBorder="1" applyAlignment="1">
      <alignment horizontal="right" vertical="center" indent="5"/>
    </xf>
    <xf numFmtId="3" fontId="12" fillId="3" borderId="44" xfId="2" applyNumberFormat="1" applyFont="1" applyFill="1" applyBorder="1" applyAlignment="1">
      <alignment horizontal="right" vertical="center" indent="5"/>
    </xf>
    <xf numFmtId="3" fontId="12" fillId="4" borderId="16" xfId="2" applyNumberFormat="1" applyFont="1" applyFill="1" applyBorder="1" applyAlignment="1">
      <alignment horizontal="right" vertical="center" indent="5"/>
    </xf>
    <xf numFmtId="0" fontId="20" fillId="4" borderId="2" xfId="2" applyFont="1" applyFill="1" applyBorder="1" applyAlignment="1">
      <alignment horizontal="left" vertical="center"/>
    </xf>
    <xf numFmtId="3" fontId="12" fillId="4" borderId="43" xfId="2" applyNumberFormat="1" applyFont="1" applyFill="1" applyBorder="1" applyAlignment="1">
      <alignment horizontal="right" vertical="center" indent="5"/>
    </xf>
    <xf numFmtId="3" fontId="12" fillId="4" borderId="32" xfId="2" applyNumberFormat="1" applyFont="1" applyFill="1" applyBorder="1" applyAlignment="1">
      <alignment horizontal="right" vertical="center" indent="5"/>
    </xf>
    <xf numFmtId="3" fontId="12" fillId="0" borderId="45" xfId="2" applyNumberFormat="1" applyFont="1" applyBorder="1" applyAlignment="1">
      <alignment horizontal="right" vertical="center" indent="5"/>
    </xf>
    <xf numFmtId="3" fontId="10" fillId="2" borderId="25" xfId="2" applyNumberFormat="1" applyFont="1" applyFill="1" applyBorder="1" applyAlignment="1">
      <alignment horizontal="right" vertical="center" indent="5"/>
    </xf>
    <xf numFmtId="3" fontId="12" fillId="0" borderId="32" xfId="2" applyNumberFormat="1" applyFont="1" applyBorder="1" applyAlignment="1">
      <alignment horizontal="right" vertical="center" indent="4"/>
    </xf>
    <xf numFmtId="3" fontId="12" fillId="0" borderId="33" xfId="2" applyNumberFormat="1" applyFont="1" applyFill="1" applyBorder="1" applyAlignment="1">
      <alignment horizontal="right" vertical="center" indent="4"/>
    </xf>
    <xf numFmtId="3" fontId="11" fillId="2" borderId="35" xfId="2" applyNumberFormat="1" applyFont="1" applyFill="1" applyBorder="1" applyAlignment="1">
      <alignment horizontal="right" vertical="center" indent="4"/>
    </xf>
    <xf numFmtId="3" fontId="12" fillId="0" borderId="32" xfId="2" applyNumberFormat="1" applyFont="1" applyFill="1" applyBorder="1" applyAlignment="1">
      <alignment horizontal="right" vertical="center" indent="4"/>
    </xf>
    <xf numFmtId="3" fontId="10" fillId="2" borderId="25" xfId="2" applyNumberFormat="1" applyFont="1" applyFill="1" applyBorder="1" applyAlignment="1">
      <alignment horizontal="right" vertical="center" indent="4"/>
    </xf>
    <xf numFmtId="3" fontId="12" fillId="4" borderId="32" xfId="2" applyNumberFormat="1" applyFont="1" applyFill="1" applyBorder="1" applyAlignment="1">
      <alignment horizontal="right" vertical="center" wrapText="1" indent="5"/>
    </xf>
    <xf numFmtId="3" fontId="10" fillId="2" borderId="9" xfId="2" applyNumberFormat="1" applyFont="1" applyFill="1" applyBorder="1" applyAlignment="1">
      <alignment horizontal="right" indent="1"/>
    </xf>
    <xf numFmtId="0" fontId="19" fillId="0" borderId="9" xfId="2" applyFont="1" applyFill="1" applyBorder="1"/>
    <xf numFmtId="0" fontId="19" fillId="3" borderId="9" xfId="2" applyFont="1" applyFill="1" applyBorder="1" applyAlignment="1">
      <alignment horizontal="center" vertical="center"/>
    </xf>
    <xf numFmtId="3" fontId="19" fillId="3" borderId="9" xfId="2" applyNumberFormat="1" applyFont="1" applyFill="1" applyBorder="1" applyAlignment="1">
      <alignment horizontal="right" vertical="center"/>
    </xf>
    <xf numFmtId="0" fontId="19" fillId="3" borderId="9" xfId="2" applyFont="1" applyFill="1" applyBorder="1" applyAlignment="1">
      <alignment vertical="center" wrapText="1"/>
    </xf>
    <xf numFmtId="3" fontId="19" fillId="0" borderId="9" xfId="2" applyNumberFormat="1" applyFont="1" applyBorder="1"/>
    <xf numFmtId="3" fontId="19" fillId="0" borderId="9" xfId="2" applyNumberFormat="1" applyFont="1" applyFill="1" applyBorder="1" applyAlignment="1">
      <alignment horizontal="right" vertical="center" indent="1"/>
    </xf>
    <xf numFmtId="164" fontId="42" fillId="0" borderId="9" xfId="1" applyNumberFormat="1" applyFont="1" applyBorder="1"/>
    <xf numFmtId="164" fontId="42" fillId="0" borderId="40" xfId="1" applyNumberFormat="1" applyFont="1" applyBorder="1"/>
    <xf numFmtId="164" fontId="42" fillId="0" borderId="42" xfId="1" applyNumberFormat="1" applyFont="1" applyBorder="1"/>
    <xf numFmtId="164" fontId="42" fillId="0" borderId="46" xfId="1" applyNumberFormat="1" applyFont="1" applyBorder="1"/>
    <xf numFmtId="0" fontId="43" fillId="0" borderId="13" xfId="0" applyFont="1" applyBorder="1" applyAlignment="1">
      <alignment horizontal="center" vertical="center"/>
    </xf>
    <xf numFmtId="164" fontId="42" fillId="0" borderId="16" xfId="1" applyNumberFormat="1" applyFont="1" applyBorder="1"/>
    <xf numFmtId="164" fontId="42" fillId="0" borderId="32" xfId="1" applyNumberFormat="1" applyFont="1" applyBorder="1"/>
    <xf numFmtId="164" fontId="42" fillId="0" borderId="34" xfId="1" applyNumberFormat="1" applyFont="1" applyBorder="1"/>
    <xf numFmtId="164" fontId="42" fillId="0" borderId="46" xfId="1" applyNumberFormat="1" applyFont="1" applyBorder="1" applyAlignment="1">
      <alignment horizontal="right"/>
    </xf>
    <xf numFmtId="164" fontId="42" fillId="0" borderId="9" xfId="1" applyNumberFormat="1" applyFont="1" applyBorder="1" applyAlignment="1">
      <alignment horizontal="right"/>
    </xf>
    <xf numFmtId="164" fontId="42" fillId="0" borderId="40" xfId="1" applyNumberFormat="1" applyFont="1" applyBorder="1" applyAlignment="1">
      <alignment horizontal="right"/>
    </xf>
    <xf numFmtId="164" fontId="42" fillId="0" borderId="42" xfId="1" applyNumberFormat="1" applyFont="1" applyBorder="1" applyAlignment="1">
      <alignment horizontal="right"/>
    </xf>
    <xf numFmtId="164" fontId="0" fillId="0" borderId="0" xfId="0" applyNumberFormat="1"/>
    <xf numFmtId="164" fontId="42" fillId="0" borderId="46" xfId="1" applyNumberFormat="1" applyFont="1" applyBorder="1" applyAlignment="1">
      <alignment horizontal="left"/>
    </xf>
    <xf numFmtId="164" fontId="42" fillId="0" borderId="46" xfId="1" applyNumberFormat="1" applyFont="1" applyBorder="1" applyAlignment="1">
      <alignment horizontal="left" indent="1"/>
    </xf>
    <xf numFmtId="164" fontId="42" fillId="0" borderId="16" xfId="1" applyNumberFormat="1" applyFont="1" applyBorder="1" applyAlignment="1">
      <alignment horizontal="left" indent="1"/>
    </xf>
    <xf numFmtId="164" fontId="42" fillId="0" borderId="9" xfId="1" applyNumberFormat="1" applyFont="1" applyBorder="1" applyAlignment="1">
      <alignment horizontal="left"/>
    </xf>
    <xf numFmtId="164" fontId="42" fillId="0" borderId="9" xfId="1" applyNumberFormat="1" applyFont="1" applyBorder="1" applyAlignment="1">
      <alignment horizontal="left" indent="1"/>
    </xf>
    <xf numFmtId="164" fontId="42" fillId="0" borderId="32" xfId="1" applyNumberFormat="1" applyFont="1" applyBorder="1" applyAlignment="1">
      <alignment horizontal="left" indent="1"/>
    </xf>
    <xf numFmtId="164" fontId="42" fillId="0" borderId="40" xfId="1" applyNumberFormat="1" applyFont="1" applyBorder="1" applyAlignment="1">
      <alignment horizontal="left"/>
    </xf>
    <xf numFmtId="164" fontId="42" fillId="0" borderId="40" xfId="1" applyNumberFormat="1" applyFont="1" applyBorder="1" applyAlignment="1">
      <alignment horizontal="left" indent="1"/>
    </xf>
    <xf numFmtId="164" fontId="42" fillId="0" borderId="34" xfId="1" applyNumberFormat="1" applyFont="1" applyBorder="1" applyAlignment="1">
      <alignment horizontal="left" indent="1"/>
    </xf>
    <xf numFmtId="164" fontId="42" fillId="0" borderId="42" xfId="1" applyNumberFormat="1" applyFont="1" applyBorder="1" applyAlignment="1">
      <alignment horizontal="left"/>
    </xf>
    <xf numFmtId="164" fontId="42" fillId="0" borderId="42" xfId="1" applyNumberFormat="1" applyFont="1" applyBorder="1" applyAlignment="1">
      <alignment horizontal="left" indent="1"/>
    </xf>
    <xf numFmtId="164" fontId="42" fillId="0" borderId="35" xfId="1" applyNumberFormat="1" applyFont="1" applyBorder="1" applyAlignment="1">
      <alignment horizontal="left" indent="1"/>
    </xf>
    <xf numFmtId="164" fontId="20" fillId="0" borderId="0" xfId="1" applyNumberFormat="1" applyFont="1" applyFill="1"/>
    <xf numFmtId="3" fontId="20" fillId="0" borderId="9" xfId="3" applyNumberFormat="1" applyFont="1" applyFill="1" applyBorder="1" applyAlignment="1">
      <alignment horizontal="right" vertical="center"/>
    </xf>
    <xf numFmtId="3" fontId="16" fillId="0" borderId="9" xfId="3" applyNumberFormat="1" applyFont="1" applyFill="1" applyBorder="1" applyAlignment="1">
      <alignment horizontal="right" vertical="center" indent="1"/>
    </xf>
    <xf numFmtId="3" fontId="16" fillId="0" borderId="9" xfId="3" applyNumberFormat="1" applyFont="1" applyFill="1" applyBorder="1" applyAlignment="1">
      <alignment horizontal="right" vertical="center"/>
    </xf>
    <xf numFmtId="0" fontId="20" fillId="0" borderId="9" xfId="3" applyFont="1" applyFill="1" applyBorder="1" applyAlignment="1">
      <alignment horizontal="right" vertical="center"/>
    </xf>
    <xf numFmtId="3" fontId="19" fillId="0" borderId="13" xfId="2" applyNumberFormat="1" applyFont="1" applyBorder="1" applyAlignment="1">
      <alignment horizontal="right" vertical="center" indent="1"/>
    </xf>
    <xf numFmtId="3" fontId="19" fillId="0" borderId="13" xfId="2" applyNumberFormat="1" applyFont="1" applyBorder="1" applyAlignment="1">
      <alignment horizontal="right" vertical="center" indent="2"/>
    </xf>
    <xf numFmtId="3" fontId="10" fillId="2" borderId="13" xfId="2" applyNumberFormat="1" applyFont="1" applyFill="1" applyBorder="1" applyAlignment="1">
      <alignment horizontal="right" vertical="center" indent="1"/>
    </xf>
    <xf numFmtId="3" fontId="10" fillId="3" borderId="13" xfId="2" applyNumberFormat="1" applyFont="1" applyFill="1" applyBorder="1" applyAlignment="1">
      <alignment horizontal="right" vertical="center" indent="1"/>
    </xf>
    <xf numFmtId="0" fontId="19" fillId="0" borderId="13" xfId="2" applyFont="1" applyBorder="1" applyAlignment="1">
      <alignment horizontal="left" vertical="center"/>
    </xf>
    <xf numFmtId="0" fontId="19" fillId="0" borderId="13" xfId="2" applyFont="1" applyBorder="1" applyAlignment="1">
      <alignment vertical="center"/>
    </xf>
    <xf numFmtId="49" fontId="19" fillId="0" borderId="13" xfId="2" applyNumberFormat="1" applyFont="1" applyBorder="1" applyAlignment="1">
      <alignment vertical="center"/>
    </xf>
    <xf numFmtId="3" fontId="19" fillId="0" borderId="13" xfId="2" applyNumberFormat="1" applyFont="1" applyFill="1" applyBorder="1" applyAlignment="1">
      <alignment horizontal="right" vertical="center" indent="1"/>
    </xf>
    <xf numFmtId="3" fontId="19" fillId="3" borderId="9" xfId="2" applyNumberFormat="1" applyFont="1" applyFill="1" applyBorder="1" applyAlignment="1"/>
    <xf numFmtId="0" fontId="19" fillId="3" borderId="9" xfId="2" applyFont="1" applyFill="1" applyBorder="1"/>
    <xf numFmtId="3" fontId="19" fillId="4" borderId="9" xfId="2" applyNumberFormat="1" applyFont="1" applyFill="1" applyBorder="1" applyAlignment="1">
      <alignment horizontal="right" indent="1"/>
    </xf>
    <xf numFmtId="0" fontId="44" fillId="0" borderId="0" xfId="2" applyFont="1"/>
    <xf numFmtId="0" fontId="41" fillId="0" borderId="0" xfId="2" applyFont="1"/>
    <xf numFmtId="0" fontId="41" fillId="0" borderId="0" xfId="2" applyFont="1" applyAlignment="1">
      <alignment horizontal="center"/>
    </xf>
    <xf numFmtId="0" fontId="32" fillId="0" borderId="0" xfId="2" applyFont="1" applyAlignment="1">
      <alignment vertical="center"/>
    </xf>
    <xf numFmtId="3" fontId="12" fillId="4" borderId="34" xfId="2" applyNumberFormat="1" applyFont="1" applyFill="1" applyBorder="1" applyAlignment="1">
      <alignment horizontal="right" vertical="center" indent="5"/>
    </xf>
    <xf numFmtId="3" fontId="19" fillId="4" borderId="9" xfId="2" applyNumberFormat="1" applyFont="1" applyFill="1" applyBorder="1" applyAlignment="1">
      <alignment horizontal="right" vertical="center"/>
    </xf>
    <xf numFmtId="3" fontId="10" fillId="4" borderId="9" xfId="2" applyNumberFormat="1" applyFont="1" applyFill="1" applyBorder="1" applyAlignment="1">
      <alignment horizontal="right" indent="2"/>
    </xf>
    <xf numFmtId="0" fontId="32" fillId="0" borderId="9" xfId="2" applyFont="1" applyBorder="1"/>
    <xf numFmtId="3" fontId="32" fillId="0" borderId="9" xfId="2" applyNumberFormat="1" applyFont="1" applyBorder="1"/>
    <xf numFmtId="3" fontId="19" fillId="3" borderId="13" xfId="2" applyNumberFormat="1" applyFont="1" applyFill="1" applyBorder="1" applyAlignment="1">
      <alignment horizontal="right" vertical="center" indent="1"/>
    </xf>
    <xf numFmtId="3" fontId="19" fillId="3" borderId="13" xfId="2" applyNumberFormat="1" applyFont="1" applyFill="1" applyBorder="1" applyAlignment="1">
      <alignment horizontal="right" vertical="center" indent="2"/>
    </xf>
    <xf numFmtId="3" fontId="10" fillId="3" borderId="13" xfId="2" applyNumberFormat="1" applyFont="1" applyFill="1" applyBorder="1" applyAlignment="1">
      <alignment horizontal="center" vertical="center"/>
    </xf>
    <xf numFmtId="3" fontId="10" fillId="2" borderId="13" xfId="2" applyNumberFormat="1" applyFont="1" applyFill="1" applyBorder="1" applyAlignment="1">
      <alignment horizontal="center" vertical="center"/>
    </xf>
    <xf numFmtId="3" fontId="19" fillId="0" borderId="13" xfId="2" applyNumberFormat="1" applyFont="1" applyBorder="1" applyAlignment="1">
      <alignment horizontal="center" vertical="center"/>
    </xf>
    <xf numFmtId="3" fontId="19" fillId="0" borderId="13" xfId="2" applyNumberFormat="1" applyFont="1" applyBorder="1" applyAlignment="1">
      <alignment horizontal="center"/>
    </xf>
    <xf numFmtId="0" fontId="47" fillId="0" borderId="0" xfId="2" applyFont="1" applyAlignment="1">
      <alignment vertical="center"/>
    </xf>
    <xf numFmtId="0" fontId="20" fillId="4" borderId="0" xfId="2" applyFont="1" applyFill="1" applyBorder="1" applyAlignment="1">
      <alignment horizontal="right" vertical="center"/>
    </xf>
    <xf numFmtId="0" fontId="35" fillId="0" borderId="0" xfId="2" applyFont="1" applyBorder="1" applyAlignment="1">
      <alignment horizontal="right"/>
    </xf>
    <xf numFmtId="3" fontId="6" fillId="4" borderId="29" xfId="2" applyNumberFormat="1" applyFont="1" applyFill="1" applyBorder="1" applyAlignment="1">
      <alignment horizontal="right" indent="1"/>
    </xf>
    <xf numFmtId="3" fontId="19" fillId="4" borderId="13" xfId="2" applyNumberFormat="1" applyFont="1" applyFill="1" applyBorder="1" applyAlignment="1">
      <alignment horizontal="right" vertical="center" indent="1"/>
    </xf>
    <xf numFmtId="3" fontId="10" fillId="2" borderId="13" xfId="2" applyNumberFormat="1" applyFont="1" applyFill="1" applyBorder="1" applyAlignment="1">
      <alignment horizontal="center"/>
    </xf>
    <xf numFmtId="3" fontId="21" fillId="0" borderId="9" xfId="2" applyNumberFormat="1" applyFont="1" applyBorder="1" applyAlignment="1">
      <alignment vertical="center"/>
    </xf>
    <xf numFmtId="0" fontId="34" fillId="0" borderId="9" xfId="2" applyFont="1" applyBorder="1" applyAlignment="1">
      <alignment vertical="center"/>
    </xf>
    <xf numFmtId="0" fontId="33" fillId="0" borderId="0" xfId="0" applyFont="1" applyAlignment="1"/>
    <xf numFmtId="3" fontId="12" fillId="0" borderId="13" xfId="2" applyNumberFormat="1" applyFont="1" applyFill="1" applyBorder="1" applyAlignment="1">
      <alignment horizontal="center" vertical="center" wrapText="1"/>
    </xf>
    <xf numFmtId="3" fontId="12" fillId="0" borderId="21" xfId="2" applyNumberFormat="1" applyFont="1" applyFill="1" applyBorder="1" applyAlignment="1">
      <alignment horizontal="center" vertical="center" wrapText="1"/>
    </xf>
    <xf numFmtId="3" fontId="15" fillId="0" borderId="38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17" fillId="0" borderId="50" xfId="2" applyNumberFormat="1" applyFont="1" applyBorder="1" applyAlignment="1">
      <alignment horizontal="center" vertical="center" wrapText="1"/>
    </xf>
    <xf numFmtId="3" fontId="48" fillId="0" borderId="13" xfId="2" applyNumberFormat="1" applyFont="1" applyBorder="1" applyAlignment="1">
      <alignment horizontal="right" vertical="center" indent="1"/>
    </xf>
    <xf numFmtId="49" fontId="14" fillId="0" borderId="51" xfId="2" applyNumberFormat="1" applyFont="1" applyBorder="1" applyAlignment="1">
      <alignment vertical="center"/>
    </xf>
    <xf numFmtId="49" fontId="14" fillId="0" borderId="21" xfId="2" applyNumberFormat="1" applyFont="1" applyBorder="1" applyAlignment="1">
      <alignment horizontal="left" vertical="center"/>
    </xf>
    <xf numFmtId="0" fontId="14" fillId="0" borderId="24" xfId="2" applyFont="1" applyBorder="1" applyAlignment="1">
      <alignment vertical="center"/>
    </xf>
    <xf numFmtId="49" fontId="14" fillId="0" borderId="21" xfId="2" applyNumberFormat="1" applyFont="1" applyBorder="1" applyAlignment="1">
      <alignment horizontal="left" vertical="center" wrapText="1"/>
    </xf>
    <xf numFmtId="3" fontId="47" fillId="0" borderId="0" xfId="2" applyNumberFormat="1" applyFont="1" applyAlignment="1">
      <alignment vertical="center"/>
    </xf>
    <xf numFmtId="3" fontId="10" fillId="5" borderId="13" xfId="2" applyNumberFormat="1" applyFont="1" applyFill="1" applyBorder="1" applyAlignment="1">
      <alignment horizontal="right" vertical="center" indent="1"/>
    </xf>
    <xf numFmtId="3" fontId="11" fillId="0" borderId="13" xfId="2" applyNumberFormat="1" applyFont="1" applyFill="1" applyBorder="1" applyAlignment="1">
      <alignment vertical="center" wrapText="1"/>
    </xf>
    <xf numFmtId="3" fontId="12" fillId="0" borderId="13" xfId="2" applyNumberFormat="1" applyFont="1" applyFill="1" applyBorder="1" applyAlignment="1">
      <alignment vertical="center" wrapText="1"/>
    </xf>
    <xf numFmtId="3" fontId="12" fillId="0" borderId="13" xfId="2" applyNumberFormat="1" applyFont="1" applyFill="1" applyBorder="1" applyAlignment="1">
      <alignment vertical="center"/>
    </xf>
    <xf numFmtId="3" fontId="11" fillId="0" borderId="13" xfId="2" applyNumberFormat="1" applyFont="1" applyFill="1" applyBorder="1" applyAlignment="1">
      <alignment vertical="center"/>
    </xf>
    <xf numFmtId="3" fontId="12" fillId="0" borderId="21" xfId="2" applyNumberFormat="1" applyFont="1" applyFill="1" applyBorder="1" applyAlignment="1">
      <alignment vertical="center"/>
    </xf>
    <xf numFmtId="0" fontId="10" fillId="0" borderId="24" xfId="2" applyFont="1" applyFill="1" applyBorder="1" applyAlignment="1">
      <alignment horizontal="center" vertical="center" wrapText="1"/>
    </xf>
    <xf numFmtId="3" fontId="35" fillId="0" borderId="0" xfId="2" applyNumberFormat="1" applyFont="1" applyBorder="1"/>
    <xf numFmtId="0" fontId="20" fillId="0" borderId="18" xfId="2" applyFont="1" applyBorder="1" applyAlignment="1">
      <alignment horizontal="left" vertical="center" wrapText="1"/>
    </xf>
    <xf numFmtId="3" fontId="16" fillId="0" borderId="0" xfId="2" applyNumberFormat="1" applyFont="1" applyFill="1"/>
    <xf numFmtId="3" fontId="21" fillId="0" borderId="20" xfId="2" applyNumberFormat="1" applyFont="1" applyBorder="1" applyAlignment="1">
      <alignment vertical="center"/>
    </xf>
    <xf numFmtId="0" fontId="19" fillId="0" borderId="13" xfId="2" applyFont="1" applyBorder="1" applyAlignment="1">
      <alignment horizontal="center"/>
    </xf>
    <xf numFmtId="3" fontId="21" fillId="0" borderId="41" xfId="2" applyNumberFormat="1" applyFont="1" applyBorder="1" applyAlignment="1">
      <alignment vertical="center"/>
    </xf>
    <xf numFmtId="0" fontId="19" fillId="0" borderId="20" xfId="2" applyFont="1" applyBorder="1"/>
    <xf numFmtId="0" fontId="21" fillId="0" borderId="13" xfId="2" applyFont="1" applyBorder="1" applyAlignment="1">
      <alignment vertical="center"/>
    </xf>
    <xf numFmtId="0" fontId="10" fillId="0" borderId="9" xfId="3" applyFont="1" applyFill="1" applyBorder="1" applyAlignment="1">
      <alignment horizontal="center" vertical="center" wrapText="1"/>
    </xf>
    <xf numFmtId="0" fontId="10" fillId="0" borderId="20" xfId="3" applyFont="1" applyFill="1" applyBorder="1" applyAlignment="1">
      <alignment horizontal="center" vertical="center" wrapText="1"/>
    </xf>
    <xf numFmtId="3" fontId="16" fillId="0" borderId="0" xfId="3" applyNumberFormat="1" applyFont="1" applyFill="1"/>
    <xf numFmtId="0" fontId="27" fillId="0" borderId="49" xfId="0" applyFont="1" applyBorder="1" applyAlignment="1">
      <alignment horizontal="center" vertical="center"/>
    </xf>
    <xf numFmtId="0" fontId="43" fillId="0" borderId="38" xfId="0" applyFont="1" applyBorder="1" applyAlignment="1">
      <alignment horizontal="center" vertical="center"/>
    </xf>
    <xf numFmtId="0" fontId="43" fillId="0" borderId="39" xfId="0" applyFont="1" applyBorder="1" applyAlignment="1">
      <alignment horizontal="center" vertical="center"/>
    </xf>
    <xf numFmtId="3" fontId="16" fillId="0" borderId="13" xfId="2" applyNumberFormat="1" applyFont="1" applyFill="1" applyBorder="1" applyAlignment="1">
      <alignment vertical="center"/>
    </xf>
    <xf numFmtId="3" fontId="20" fillId="0" borderId="13" xfId="2" applyNumberFormat="1" applyFont="1" applyBorder="1" applyAlignment="1">
      <alignment horizontal="center" vertical="center"/>
    </xf>
    <xf numFmtId="3" fontId="20" fillId="0" borderId="13" xfId="2" applyNumberFormat="1" applyFont="1" applyFill="1" applyBorder="1" applyAlignment="1">
      <alignment vertical="center" wrapText="1"/>
    </xf>
    <xf numFmtId="3" fontId="12" fillId="0" borderId="13" xfId="2" applyNumberFormat="1" applyFont="1" applyFill="1" applyBorder="1" applyAlignment="1">
      <alignment horizontal="left" vertical="center"/>
    </xf>
    <xf numFmtId="3" fontId="9" fillId="0" borderId="0" xfId="2" applyNumberFormat="1" applyFont="1"/>
    <xf numFmtId="3" fontId="12" fillId="0" borderId="13" xfId="2" applyNumberFormat="1" applyFont="1" applyBorder="1" applyAlignment="1">
      <alignment vertical="center"/>
    </xf>
    <xf numFmtId="3" fontId="39" fillId="0" borderId="21" xfId="2" applyNumberFormat="1" applyFont="1" applyFill="1" applyBorder="1" applyAlignment="1">
      <alignment vertical="center"/>
    </xf>
    <xf numFmtId="3" fontId="12" fillId="0" borderId="13" xfId="2" applyNumberFormat="1" applyFont="1" applyFill="1" applyBorder="1" applyAlignment="1"/>
    <xf numFmtId="3" fontId="39" fillId="0" borderId="13" xfId="2" applyNumberFormat="1" applyFont="1" applyFill="1" applyBorder="1" applyAlignment="1"/>
    <xf numFmtId="3" fontId="16" fillId="0" borderId="13" xfId="2" applyNumberFormat="1" applyFont="1" applyFill="1" applyBorder="1" applyAlignment="1"/>
    <xf numFmtId="3" fontId="16" fillId="0" borderId="13" xfId="2" applyNumberFormat="1" applyFont="1" applyBorder="1" applyAlignment="1"/>
    <xf numFmtId="3" fontId="11" fillId="0" borderId="13" xfId="2" applyNumberFormat="1" applyFont="1" applyFill="1" applyBorder="1" applyAlignment="1">
      <alignment wrapText="1"/>
    </xf>
    <xf numFmtId="3" fontId="16" fillId="0" borderId="13" xfId="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23" fillId="0" borderId="0" xfId="2" applyFont="1" applyBorder="1" applyAlignment="1">
      <alignment horizontal="center" vertical="center" wrapText="1"/>
    </xf>
    <xf numFmtId="3" fontId="20" fillId="0" borderId="47" xfId="2" applyNumberFormat="1" applyFont="1" applyBorder="1" applyAlignment="1">
      <alignment horizontal="right"/>
    </xf>
    <xf numFmtId="0" fontId="28" fillId="0" borderId="0" xfId="2" applyFont="1" applyAlignment="1">
      <alignment horizontal="center" vertical="center"/>
    </xf>
    <xf numFmtId="3" fontId="19" fillId="0" borderId="47" xfId="2" applyNumberFormat="1" applyFont="1" applyBorder="1" applyAlignment="1">
      <alignment horizontal="right"/>
    </xf>
    <xf numFmtId="0" fontId="7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3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11" fillId="0" borderId="13" xfId="2" applyFont="1" applyFill="1" applyBorder="1" applyAlignment="1">
      <alignment horizontal="left" vertical="center" wrapText="1"/>
    </xf>
    <xf numFmtId="3" fontId="11" fillId="0" borderId="21" xfId="2" applyNumberFormat="1" applyFont="1" applyFill="1" applyBorder="1" applyAlignment="1">
      <alignment horizontal="center" vertical="center" wrapText="1"/>
    </xf>
    <xf numFmtId="3" fontId="11" fillId="0" borderId="24" xfId="2" applyNumberFormat="1" applyFont="1" applyFill="1" applyBorder="1" applyAlignment="1">
      <alignment horizontal="center" vertical="center" wrapText="1"/>
    </xf>
    <xf numFmtId="0" fontId="11" fillId="0" borderId="21" xfId="2" applyFont="1" applyFill="1" applyBorder="1" applyAlignment="1">
      <alignment horizontal="center" vertical="center" wrapText="1"/>
    </xf>
    <xf numFmtId="0" fontId="11" fillId="0" borderId="24" xfId="2" applyFont="1" applyFill="1" applyBorder="1" applyAlignment="1">
      <alignment horizontal="center" vertical="center" wrapText="1"/>
    </xf>
    <xf numFmtId="0" fontId="11" fillId="0" borderId="21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center" vertical="center" wrapText="1"/>
    </xf>
    <xf numFmtId="3" fontId="11" fillId="0" borderId="13" xfId="2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 wrapText="1"/>
    </xf>
    <xf numFmtId="3" fontId="16" fillId="0" borderId="21" xfId="2" applyNumberFormat="1" applyFont="1" applyBorder="1" applyAlignment="1">
      <alignment horizontal="center" vertical="center" wrapText="1"/>
    </xf>
    <xf numFmtId="3" fontId="16" fillId="0" borderId="24" xfId="2" applyNumberFormat="1" applyFont="1" applyBorder="1" applyAlignment="1">
      <alignment horizontal="center" vertical="center" wrapText="1"/>
    </xf>
    <xf numFmtId="0" fontId="11" fillId="0" borderId="50" xfId="2" applyFont="1" applyFill="1" applyBorder="1" applyAlignment="1">
      <alignment horizontal="center" vertical="center"/>
    </xf>
    <xf numFmtId="0" fontId="11" fillId="0" borderId="47" xfId="2" applyFont="1" applyFill="1" applyBorder="1" applyAlignment="1">
      <alignment horizontal="center" vertical="center"/>
    </xf>
    <xf numFmtId="3" fontId="38" fillId="0" borderId="21" xfId="2" applyNumberFormat="1" applyFont="1" applyFill="1" applyBorder="1" applyAlignment="1">
      <alignment horizontal="center" vertical="center" wrapText="1"/>
    </xf>
    <xf numFmtId="3" fontId="38" fillId="0" borderId="24" xfId="2" applyNumberFormat="1" applyFont="1" applyFill="1" applyBorder="1" applyAlignment="1">
      <alignment horizontal="center" vertical="center" wrapText="1"/>
    </xf>
    <xf numFmtId="0" fontId="40" fillId="0" borderId="0" xfId="2" applyFont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 textRotation="90"/>
    </xf>
    <xf numFmtId="0" fontId="17" fillId="0" borderId="23" xfId="2" applyFont="1" applyBorder="1" applyAlignment="1">
      <alignment horizontal="center" vertical="center" textRotation="90"/>
    </xf>
    <xf numFmtId="0" fontId="17" fillId="0" borderId="39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3" fontId="15" fillId="0" borderId="49" xfId="2" applyNumberFormat="1" applyFont="1" applyBorder="1" applyAlignment="1">
      <alignment horizontal="center" vertical="center"/>
    </xf>
    <xf numFmtId="3" fontId="15" fillId="0" borderId="38" xfId="2" applyNumberFormat="1" applyFont="1" applyBorder="1" applyAlignment="1">
      <alignment horizontal="center" vertical="center"/>
    </xf>
    <xf numFmtId="3" fontId="16" fillId="2" borderId="49" xfId="2" applyNumberFormat="1" applyFont="1" applyFill="1" applyBorder="1" applyAlignment="1">
      <alignment horizontal="center" vertical="center" wrapText="1"/>
    </xf>
    <xf numFmtId="3" fontId="16" fillId="2" borderId="50" xfId="2" applyNumberFormat="1" applyFont="1" applyFill="1" applyBorder="1" applyAlignment="1">
      <alignment horizontal="center" vertical="center" wrapText="1"/>
    </xf>
    <xf numFmtId="3" fontId="17" fillId="0" borderId="12" xfId="2" applyNumberFormat="1" applyFont="1" applyBorder="1" applyAlignment="1">
      <alignment horizontal="center" vertical="center" wrapText="1"/>
    </xf>
    <xf numFmtId="3" fontId="17" fillId="0" borderId="23" xfId="2" applyNumberFormat="1" applyFont="1" applyBorder="1" applyAlignment="1">
      <alignment horizontal="center" vertical="center" wrapText="1"/>
    </xf>
    <xf numFmtId="0" fontId="10" fillId="2" borderId="13" xfId="2" applyFont="1" applyFill="1" applyBorder="1" applyAlignment="1">
      <alignment horizontal="left" vertical="center"/>
    </xf>
    <xf numFmtId="3" fontId="16" fillId="2" borderId="12" xfId="2" applyNumberFormat="1" applyFont="1" applyFill="1" applyBorder="1" applyAlignment="1">
      <alignment horizontal="center" vertical="center" wrapText="1"/>
    </xf>
    <xf numFmtId="3" fontId="16" fillId="2" borderId="23" xfId="2" applyNumberFormat="1" applyFont="1" applyFill="1" applyBorder="1" applyAlignment="1">
      <alignment horizontal="center" vertical="center" wrapText="1"/>
    </xf>
    <xf numFmtId="0" fontId="18" fillId="0" borderId="13" xfId="2" applyFont="1" applyBorder="1" applyAlignment="1">
      <alignment horizontal="center" vertical="center"/>
    </xf>
    <xf numFmtId="0" fontId="10" fillId="2" borderId="21" xfId="2" applyFont="1" applyFill="1" applyBorder="1" applyAlignment="1">
      <alignment horizontal="center" vertical="center"/>
    </xf>
    <xf numFmtId="0" fontId="10" fillId="2" borderId="24" xfId="2" applyFont="1" applyFill="1" applyBorder="1" applyAlignment="1">
      <alignment horizontal="center" vertical="center"/>
    </xf>
    <xf numFmtId="0" fontId="18" fillId="3" borderId="12" xfId="2" applyFont="1" applyFill="1" applyBorder="1" applyAlignment="1">
      <alignment horizontal="center" vertical="center"/>
    </xf>
    <xf numFmtId="0" fontId="18" fillId="3" borderId="22" xfId="2" applyFont="1" applyFill="1" applyBorder="1" applyAlignment="1">
      <alignment horizontal="center" vertical="center"/>
    </xf>
    <xf numFmtId="0" fontId="18" fillId="3" borderId="23" xfId="2" applyFont="1" applyFill="1" applyBorder="1" applyAlignment="1">
      <alignment horizontal="center" vertical="center"/>
    </xf>
    <xf numFmtId="49" fontId="10" fillId="2" borderId="21" xfId="2" applyNumberFormat="1" applyFont="1" applyFill="1" applyBorder="1" applyAlignment="1">
      <alignment horizontal="center" vertical="center" wrapText="1"/>
    </xf>
    <xf numFmtId="49" fontId="10" fillId="2" borderId="24" xfId="2" applyNumberFormat="1" applyFont="1" applyFill="1" applyBorder="1" applyAlignment="1">
      <alignment horizontal="center" vertical="center" wrapText="1"/>
    </xf>
    <xf numFmtId="0" fontId="21" fillId="0" borderId="0" xfId="2" applyFont="1" applyFill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28" fillId="0" borderId="0" xfId="2" applyFont="1" applyAlignment="1">
      <alignment horizontal="center"/>
    </xf>
    <xf numFmtId="0" fontId="32" fillId="0" borderId="0" xfId="2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2" fillId="0" borderId="0" xfId="3" applyFont="1" applyFill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10" fillId="0" borderId="11" xfId="3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center" vertical="center"/>
    </xf>
    <xf numFmtId="0" fontId="10" fillId="0" borderId="15" xfId="3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/>
    </xf>
    <xf numFmtId="0" fontId="37" fillId="0" borderId="0" xfId="0" applyFont="1" applyAlignment="1">
      <alignment horizontal="center" wrapText="1"/>
    </xf>
    <xf numFmtId="0" fontId="43" fillId="0" borderId="21" xfId="0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</cellXfs>
  <cellStyles count="5">
    <cellStyle name="Ezres" xfId="1" builtinId="3"/>
    <cellStyle name="Normál" xfId="0" builtinId="0"/>
    <cellStyle name="Normál 2" xfId="2"/>
    <cellStyle name="Normál_Munkafüzet1" xfId="3"/>
    <cellStyle name="Százalék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I514"/>
  <sheetViews>
    <sheetView zoomScale="130" zoomScaleNormal="130" workbookViewId="0">
      <selection activeCell="F5" sqref="F5"/>
    </sheetView>
  </sheetViews>
  <sheetFormatPr defaultColWidth="8.85546875" defaultRowHeight="15"/>
  <cols>
    <col min="1" max="1" width="9" style="71" customWidth="1"/>
    <col min="2" max="2" width="67" style="112" customWidth="1"/>
    <col min="3" max="3" width="22" style="112" customWidth="1"/>
    <col min="4" max="4" width="20.140625" style="122" customWidth="1"/>
    <col min="5" max="16384" width="8.85546875" style="37"/>
  </cols>
  <sheetData>
    <row r="1" spans="1:9" ht="23.25" customHeight="1">
      <c r="A1" s="350" t="s">
        <v>378</v>
      </c>
      <c r="B1" s="350"/>
      <c r="C1" s="350"/>
      <c r="D1" s="350"/>
      <c r="E1" s="157"/>
      <c r="F1" s="157"/>
      <c r="G1" s="157"/>
      <c r="H1" s="111"/>
    </row>
    <row r="2" spans="1:9" ht="42" customHeight="1">
      <c r="A2" s="348" t="s">
        <v>245</v>
      </c>
      <c r="B2" s="348"/>
      <c r="C2" s="348"/>
      <c r="D2" s="348"/>
      <c r="E2" s="113"/>
      <c r="F2" s="113"/>
      <c r="G2" s="113"/>
      <c r="H2" s="142"/>
      <c r="I2" s="113"/>
    </row>
    <row r="3" spans="1:9" ht="16.5" thickBot="1">
      <c r="B3" s="351" t="s">
        <v>211</v>
      </c>
      <c r="C3" s="351"/>
      <c r="D3" s="115"/>
      <c r="E3" s="143"/>
    </row>
    <row r="4" spans="1:9" ht="33" customHeight="1">
      <c r="B4" s="205" t="s">
        <v>94</v>
      </c>
      <c r="C4" s="116" t="s">
        <v>243</v>
      </c>
      <c r="D4" s="116" t="s">
        <v>316</v>
      </c>
      <c r="E4" s="118"/>
    </row>
    <row r="5" spans="1:9">
      <c r="B5" s="140" t="s">
        <v>324</v>
      </c>
      <c r="C5" s="229">
        <v>70715200</v>
      </c>
      <c r="D5" s="229">
        <v>70715200</v>
      </c>
      <c r="E5" s="119"/>
    </row>
    <row r="6" spans="1:9">
      <c r="B6" s="145" t="s">
        <v>326</v>
      </c>
      <c r="C6" s="221">
        <v>9024810</v>
      </c>
      <c r="D6" s="221">
        <v>9024810</v>
      </c>
      <c r="E6" s="119"/>
    </row>
    <row r="7" spans="1:9">
      <c r="B7" s="145" t="s">
        <v>327</v>
      </c>
      <c r="C7" s="221">
        <v>6400000</v>
      </c>
      <c r="D7" s="221">
        <v>6400000</v>
      </c>
      <c r="E7" s="119"/>
    </row>
    <row r="8" spans="1:9">
      <c r="B8" s="145" t="s">
        <v>328</v>
      </c>
      <c r="C8" s="221">
        <v>522123</v>
      </c>
      <c r="D8" s="221">
        <v>522123</v>
      </c>
    </row>
    <row r="9" spans="1:9">
      <c r="B9" s="145" t="s">
        <v>329</v>
      </c>
      <c r="C9" s="221">
        <v>4183610</v>
      </c>
      <c r="D9" s="221">
        <v>4183610</v>
      </c>
    </row>
    <row r="10" spans="1:9">
      <c r="B10" s="145" t="s">
        <v>330</v>
      </c>
      <c r="C10" s="221">
        <v>6725700</v>
      </c>
      <c r="D10" s="221">
        <v>6725700</v>
      </c>
    </row>
    <row r="11" spans="1:9">
      <c r="B11" s="145" t="s">
        <v>331</v>
      </c>
      <c r="C11" s="221">
        <v>19531119</v>
      </c>
      <c r="D11" s="221">
        <v>19531119</v>
      </c>
    </row>
    <row r="12" spans="1:9">
      <c r="B12" s="145" t="s">
        <v>332</v>
      </c>
      <c r="C12" s="221">
        <v>1041000</v>
      </c>
      <c r="D12" s="221">
        <v>1041000</v>
      </c>
    </row>
    <row r="13" spans="1:9">
      <c r="B13" s="145" t="s">
        <v>325</v>
      </c>
      <c r="C13" s="221">
        <v>61640652</v>
      </c>
      <c r="D13" s="221">
        <v>61640652</v>
      </c>
    </row>
    <row r="14" spans="1:9">
      <c r="B14" s="145" t="s">
        <v>334</v>
      </c>
      <c r="C14" s="221">
        <v>21935000</v>
      </c>
      <c r="D14" s="221">
        <v>21935000</v>
      </c>
    </row>
    <row r="15" spans="1:9">
      <c r="B15" s="145" t="s">
        <v>335</v>
      </c>
      <c r="C15" s="221">
        <v>15824400</v>
      </c>
      <c r="D15" s="221">
        <v>15824400</v>
      </c>
    </row>
    <row r="16" spans="1:9">
      <c r="B16" s="145" t="s">
        <v>336</v>
      </c>
      <c r="C16" s="221">
        <v>20178000</v>
      </c>
      <c r="D16" s="221">
        <v>20178000</v>
      </c>
    </row>
    <row r="17" spans="2:5">
      <c r="B17" s="145" t="s">
        <v>337</v>
      </c>
      <c r="C17" s="221">
        <v>21700817</v>
      </c>
      <c r="D17" s="221">
        <v>21700817</v>
      </c>
    </row>
    <row r="18" spans="2:5">
      <c r="B18" s="145" t="s">
        <v>338</v>
      </c>
      <c r="C18" s="221">
        <v>787740</v>
      </c>
      <c r="D18" s="221">
        <v>787740</v>
      </c>
    </row>
    <row r="19" spans="2:5">
      <c r="B19" s="145" t="s">
        <v>339</v>
      </c>
      <c r="C19" s="221">
        <v>3014110</v>
      </c>
      <c r="D19" s="221">
        <v>3014110</v>
      </c>
    </row>
    <row r="20" spans="2:5">
      <c r="B20" s="145" t="s">
        <v>333</v>
      </c>
      <c r="C20" s="221">
        <v>84150</v>
      </c>
      <c r="D20" s="221">
        <v>84150</v>
      </c>
    </row>
    <row r="21" spans="2:5" ht="15.75" thickBot="1">
      <c r="B21" s="159" t="s">
        <v>340</v>
      </c>
      <c r="C21" s="282">
        <v>4742652</v>
      </c>
      <c r="D21" s="282">
        <v>4742652</v>
      </c>
    </row>
    <row r="22" spans="2:5" ht="19.899999999999999" customHeight="1" thickBot="1">
      <c r="B22" s="206" t="s">
        <v>95</v>
      </c>
      <c r="C22" s="214">
        <f>SUM(C5:C21)</f>
        <v>268051083</v>
      </c>
      <c r="D22" s="214">
        <f>SUM(D5:D21)</f>
        <v>268051083</v>
      </c>
    </row>
    <row r="23" spans="2:5">
      <c r="B23" s="120" t="s">
        <v>96</v>
      </c>
      <c r="C23" s="215">
        <v>13848000</v>
      </c>
      <c r="D23" s="215">
        <v>13848000</v>
      </c>
    </row>
    <row r="24" spans="2:5">
      <c r="B24" s="145" t="s">
        <v>97</v>
      </c>
      <c r="C24" s="213">
        <v>0</v>
      </c>
      <c r="D24" s="213">
        <f>17977756+17460646</f>
        <v>35438402</v>
      </c>
    </row>
    <row r="25" spans="2:5">
      <c r="B25" s="145" t="s">
        <v>212</v>
      </c>
      <c r="C25" s="213">
        <v>6245115</v>
      </c>
      <c r="D25" s="213">
        <v>6245115</v>
      </c>
    </row>
    <row r="26" spans="2:5">
      <c r="B26" s="145" t="s">
        <v>255</v>
      </c>
      <c r="C26" s="213">
        <v>954210</v>
      </c>
      <c r="D26" s="213">
        <v>954210</v>
      </c>
    </row>
    <row r="27" spans="2:5">
      <c r="B27" s="144" t="s">
        <v>256</v>
      </c>
      <c r="C27" s="216">
        <v>114000</v>
      </c>
      <c r="D27" s="216">
        <v>114000</v>
      </c>
    </row>
    <row r="28" spans="2:5">
      <c r="B28" s="144" t="s">
        <v>98</v>
      </c>
      <c r="C28" s="216">
        <v>2800000</v>
      </c>
      <c r="D28" s="216">
        <v>2800000</v>
      </c>
    </row>
    <row r="29" spans="2:5">
      <c r="B29" s="144" t="s">
        <v>278</v>
      </c>
      <c r="C29" s="216">
        <v>618400</v>
      </c>
      <c r="D29" s="216">
        <v>618400</v>
      </c>
    </row>
    <row r="30" spans="2:5" ht="15.75" thickBot="1">
      <c r="B30" s="144" t="s">
        <v>342</v>
      </c>
      <c r="C30" s="216">
        <v>0</v>
      </c>
      <c r="D30" s="216">
        <v>1369483</v>
      </c>
    </row>
    <row r="31" spans="2:5" ht="19.899999999999999" customHeight="1" thickBot="1">
      <c r="B31" s="206" t="s">
        <v>341</v>
      </c>
      <c r="C31" s="214">
        <f>SUM(C23:C30)</f>
        <v>24579725</v>
      </c>
      <c r="D31" s="214">
        <f>SUM(D23:D30)</f>
        <v>61387610</v>
      </c>
    </row>
    <row r="32" spans="2:5">
      <c r="B32" s="145" t="s">
        <v>344</v>
      </c>
      <c r="C32" s="213">
        <v>7700000</v>
      </c>
      <c r="D32" s="213">
        <v>7700000</v>
      </c>
      <c r="E32" s="121"/>
    </row>
    <row r="33" spans="2:5">
      <c r="B33" s="145" t="s">
        <v>345</v>
      </c>
      <c r="C33" s="213">
        <v>41500000</v>
      </c>
      <c r="D33" s="213">
        <v>41500000</v>
      </c>
      <c r="E33" s="119"/>
    </row>
    <row r="34" spans="2:5">
      <c r="B34" s="145" t="s">
        <v>347</v>
      </c>
      <c r="C34" s="213">
        <v>1000000</v>
      </c>
      <c r="D34" s="213">
        <v>1000000</v>
      </c>
      <c r="E34" s="119"/>
    </row>
    <row r="35" spans="2:5">
      <c r="B35" s="145" t="s">
        <v>348</v>
      </c>
      <c r="C35" s="213">
        <v>1500000</v>
      </c>
      <c r="D35" s="213">
        <v>1500000</v>
      </c>
      <c r="E35" s="119"/>
    </row>
    <row r="36" spans="2:5">
      <c r="B36" s="145" t="s">
        <v>346</v>
      </c>
      <c r="C36" s="213">
        <v>6000000</v>
      </c>
      <c r="D36" s="213">
        <v>6000000</v>
      </c>
      <c r="E36" s="119"/>
    </row>
    <row r="37" spans="2:5" ht="15.75" thickBot="1">
      <c r="B37" s="144" t="s">
        <v>349</v>
      </c>
      <c r="C37" s="216">
        <v>1570000</v>
      </c>
      <c r="D37" s="216">
        <v>1570000</v>
      </c>
      <c r="E37" s="119"/>
    </row>
    <row r="38" spans="2:5" ht="19.899999999999999" customHeight="1" thickBot="1">
      <c r="B38" s="206" t="s">
        <v>99</v>
      </c>
      <c r="C38" s="214">
        <f>SUM(C32:C37)</f>
        <v>59270000</v>
      </c>
      <c r="D38" s="214">
        <f>SUM(D32:D37)</f>
        <v>59270000</v>
      </c>
      <c r="E38" s="119"/>
    </row>
    <row r="39" spans="2:5">
      <c r="B39" s="145" t="s">
        <v>350</v>
      </c>
      <c r="C39" s="213">
        <v>1300000</v>
      </c>
      <c r="D39" s="213">
        <v>1300000</v>
      </c>
      <c r="E39" s="119"/>
    </row>
    <row r="40" spans="2:5">
      <c r="B40" s="145" t="s">
        <v>353</v>
      </c>
      <c r="C40" s="213">
        <v>310000</v>
      </c>
      <c r="D40" s="213">
        <v>310000</v>
      </c>
      <c r="E40" s="119"/>
    </row>
    <row r="41" spans="2:5">
      <c r="B41" s="145" t="s">
        <v>355</v>
      </c>
      <c r="C41" s="213">
        <v>14000000</v>
      </c>
      <c r="D41" s="213">
        <v>14000000</v>
      </c>
      <c r="E41" s="119"/>
    </row>
    <row r="42" spans="2:5">
      <c r="B42" s="145" t="s">
        <v>359</v>
      </c>
      <c r="C42" s="213">
        <v>590000</v>
      </c>
      <c r="D42" s="213">
        <f>15510795-D50</f>
        <v>15192795</v>
      </c>
      <c r="E42" s="119"/>
    </row>
    <row r="43" spans="2:5">
      <c r="B43" s="120" t="s">
        <v>354</v>
      </c>
      <c r="C43" s="215">
        <v>14930000</v>
      </c>
      <c r="D43" s="215">
        <v>14930000</v>
      </c>
      <c r="E43" s="119"/>
    </row>
    <row r="44" spans="2:5">
      <c r="B44" s="120" t="s">
        <v>352</v>
      </c>
      <c r="C44" s="215">
        <v>5925000</v>
      </c>
      <c r="D44" s="215">
        <v>5925000</v>
      </c>
      <c r="E44" s="119"/>
    </row>
    <row r="45" spans="2:5">
      <c r="B45" s="145" t="s">
        <v>356</v>
      </c>
      <c r="C45" s="213">
        <v>8795000</v>
      </c>
      <c r="D45" s="213">
        <v>8795000</v>
      </c>
      <c r="E45" s="119"/>
    </row>
    <row r="46" spans="2:5">
      <c r="B46" s="145" t="s">
        <v>357</v>
      </c>
      <c r="C46" s="213">
        <v>1174000</v>
      </c>
      <c r="D46" s="213">
        <v>1174000</v>
      </c>
      <c r="E46" s="119"/>
    </row>
    <row r="47" spans="2:5">
      <c r="B47" s="145" t="s">
        <v>358</v>
      </c>
      <c r="C47" s="213">
        <v>7000</v>
      </c>
      <c r="D47" s="213">
        <v>7000</v>
      </c>
      <c r="E47" s="119"/>
    </row>
    <row r="48" spans="2:5" ht="18.75" customHeight="1" thickBot="1">
      <c r="B48" s="144" t="s">
        <v>351</v>
      </c>
      <c r="C48" s="216">
        <v>4860000</v>
      </c>
      <c r="D48" s="216">
        <v>4888350</v>
      </c>
      <c r="E48" s="119"/>
    </row>
    <row r="49" spans="2:9" ht="19.899999999999999" customHeight="1" thickBot="1">
      <c r="B49" s="206" t="s">
        <v>100</v>
      </c>
      <c r="C49" s="214">
        <f>SUM(C39:C48)</f>
        <v>51891000</v>
      </c>
      <c r="D49" s="214">
        <f>SUM(D39:D48)</f>
        <v>66522145</v>
      </c>
      <c r="E49" s="121"/>
    </row>
    <row r="50" spans="2:9" ht="19.899999999999999" customHeight="1" thickBot="1">
      <c r="B50" s="187" t="s">
        <v>361</v>
      </c>
      <c r="C50" s="217">
        <v>318000</v>
      </c>
      <c r="D50" s="217">
        <v>318000</v>
      </c>
      <c r="E50" s="121"/>
    </row>
    <row r="51" spans="2:9" ht="19.899999999999999" customHeight="1" thickBot="1">
      <c r="B51" s="207" t="s">
        <v>143</v>
      </c>
      <c r="C51" s="214">
        <f>SUM(C50)</f>
        <v>318000</v>
      </c>
      <c r="D51" s="214">
        <f>SUM(D50)</f>
        <v>318000</v>
      </c>
      <c r="E51" s="121"/>
    </row>
    <row r="52" spans="2:9" ht="19.899999999999999" customHeight="1" thickBot="1">
      <c r="B52" s="219" t="s">
        <v>277</v>
      </c>
      <c r="C52" s="220">
        <v>153625000</v>
      </c>
      <c r="D52" s="220">
        <v>153625000</v>
      </c>
      <c r="E52" s="121"/>
    </row>
    <row r="53" spans="2:9" ht="19.899999999999999" customHeight="1">
      <c r="B53" s="188" t="s">
        <v>213</v>
      </c>
      <c r="C53" s="218">
        <v>31946110</v>
      </c>
      <c r="D53" s="218">
        <v>31946110</v>
      </c>
      <c r="E53" s="121"/>
    </row>
    <row r="54" spans="2:9" ht="19.899999999999999" customHeight="1">
      <c r="B54" s="219" t="s">
        <v>257</v>
      </c>
      <c r="C54" s="220">
        <v>92900100</v>
      </c>
      <c r="D54" s="220">
        <v>92900100</v>
      </c>
      <c r="E54" s="121"/>
    </row>
    <row r="55" spans="2:9" ht="19.899999999999999" customHeight="1">
      <c r="B55" s="219" t="s">
        <v>258</v>
      </c>
      <c r="C55" s="220">
        <v>812024</v>
      </c>
      <c r="D55" s="220">
        <v>812024</v>
      </c>
      <c r="E55" s="121"/>
    </row>
    <row r="56" spans="2:9" ht="19.899999999999999" customHeight="1">
      <c r="B56" s="189" t="s">
        <v>214</v>
      </c>
      <c r="C56" s="221">
        <v>0</v>
      </c>
      <c r="D56" s="221">
        <v>0</v>
      </c>
      <c r="E56" s="121"/>
    </row>
    <row r="57" spans="2:9" ht="15.75" thickBot="1">
      <c r="B57" s="189" t="s">
        <v>101</v>
      </c>
      <c r="C57" s="221">
        <v>0</v>
      </c>
      <c r="D57" s="221">
        <v>0</v>
      </c>
      <c r="E57" s="121"/>
    </row>
    <row r="58" spans="2:9" ht="19.899999999999999" customHeight="1" thickBot="1">
      <c r="B58" s="206" t="s">
        <v>343</v>
      </c>
      <c r="C58" s="214">
        <f>SUM(C52:C57)</f>
        <v>279283234</v>
      </c>
      <c r="D58" s="214">
        <f>SUM(D52:D57)</f>
        <v>279283234</v>
      </c>
      <c r="E58" s="121"/>
    </row>
    <row r="59" spans="2:9" ht="15.75" thickBot="1">
      <c r="B59" s="123" t="s">
        <v>360</v>
      </c>
      <c r="C59" s="222">
        <v>165502713</v>
      </c>
      <c r="D59" s="222">
        <v>165579828</v>
      </c>
      <c r="E59" s="121"/>
    </row>
    <row r="60" spans="2:9" ht="19.899999999999999" customHeight="1" thickBot="1">
      <c r="B60" s="206" t="s">
        <v>102</v>
      </c>
      <c r="C60" s="214">
        <f>SUM(C59)</f>
        <v>165502713</v>
      </c>
      <c r="D60" s="214">
        <f>SUM(D59)</f>
        <v>165579828</v>
      </c>
      <c r="E60" s="119"/>
    </row>
    <row r="61" spans="2:9" ht="27" customHeight="1" thickBot="1">
      <c r="B61" s="124" t="s">
        <v>103</v>
      </c>
      <c r="C61" s="223">
        <f>SUM(C22,C31,C38,C49,C51,C58,C60)</f>
        <v>848895755</v>
      </c>
      <c r="D61" s="223">
        <f>SUM(D22,D31,D38,D49,D51,D58,D60)</f>
        <v>900411900</v>
      </c>
      <c r="E61" s="121"/>
    </row>
    <row r="62" spans="2:9">
      <c r="B62" s="125"/>
      <c r="C62" s="117"/>
      <c r="E62" s="119"/>
    </row>
    <row r="63" spans="2:9">
      <c r="B63" s="126"/>
      <c r="C63" s="117"/>
      <c r="D63" s="294" t="s">
        <v>286</v>
      </c>
      <c r="E63" s="127"/>
    </row>
    <row r="64" spans="2:9" ht="36.6" customHeight="1">
      <c r="B64" s="348" t="s">
        <v>244</v>
      </c>
      <c r="C64" s="348"/>
      <c r="E64" s="142"/>
      <c r="F64" s="142"/>
      <c r="G64" s="142"/>
      <c r="H64" s="142"/>
      <c r="I64" s="113"/>
    </row>
    <row r="65" spans="1:5" ht="12.75" customHeight="1">
      <c r="A65" s="114"/>
      <c r="B65" s="69"/>
      <c r="C65" s="69"/>
      <c r="E65" s="69"/>
    </row>
    <row r="66" spans="1:5" ht="21.75" customHeight="1" thickBot="1">
      <c r="B66" s="349" t="s">
        <v>211</v>
      </c>
      <c r="C66" s="349"/>
      <c r="E66" s="143"/>
    </row>
    <row r="67" spans="1:5" ht="32.25" customHeight="1">
      <c r="B67" s="205" t="s">
        <v>104</v>
      </c>
      <c r="C67" s="116" t="s">
        <v>243</v>
      </c>
      <c r="D67" s="116" t="s">
        <v>316</v>
      </c>
      <c r="E67" s="128"/>
    </row>
    <row r="68" spans="1:5">
      <c r="B68" s="140" t="s">
        <v>362</v>
      </c>
      <c r="C68" s="224">
        <v>172604200</v>
      </c>
      <c r="D68" s="224">
        <f>184601778+11656101+1121200+3244800+820000+618000+3063700+15388000+114792+5815287</f>
        <v>226443658</v>
      </c>
      <c r="E68" s="119"/>
    </row>
    <row r="69" spans="1:5">
      <c r="B69" s="140" t="s">
        <v>105</v>
      </c>
      <c r="C69" s="224">
        <v>32695500</v>
      </c>
      <c r="D69" s="224">
        <v>40272564</v>
      </c>
      <c r="E69" s="129"/>
    </row>
    <row r="70" spans="1:5" ht="25.5">
      <c r="B70" s="321" t="s">
        <v>363</v>
      </c>
      <c r="C70" s="224">
        <v>135629000</v>
      </c>
      <c r="D70" s="224">
        <f>1135000+40137916+2201300+892000+11895000+23000000+2520000+7670000+6440000+3770000+13730000+987750+26392287+2932000+75090+2065000</f>
        <v>145843343</v>
      </c>
      <c r="E70" s="130"/>
    </row>
    <row r="71" spans="1:5">
      <c r="B71" s="140" t="s">
        <v>364</v>
      </c>
      <c r="C71" s="224">
        <v>3781000</v>
      </c>
      <c r="D71" s="224">
        <f>122265+800000+2867000</f>
        <v>3789265</v>
      </c>
      <c r="E71" s="119"/>
    </row>
    <row r="72" spans="1:5">
      <c r="B72" s="140" t="s">
        <v>371</v>
      </c>
      <c r="C72" s="224">
        <v>9649634</v>
      </c>
      <c r="D72" s="224">
        <v>9649634</v>
      </c>
      <c r="E72" s="119"/>
    </row>
    <row r="73" spans="1:5">
      <c r="B73" s="140" t="s">
        <v>365</v>
      </c>
      <c r="C73" s="224">
        <v>2880000</v>
      </c>
      <c r="D73" s="224">
        <v>2880000</v>
      </c>
      <c r="E73" s="119"/>
    </row>
    <row r="74" spans="1:5" ht="15.75" thickBot="1">
      <c r="B74" s="141" t="s">
        <v>366</v>
      </c>
      <c r="C74" s="225">
        <v>72104709</v>
      </c>
      <c r="D74" s="225">
        <v>85315778</v>
      </c>
      <c r="E74" s="119"/>
    </row>
    <row r="75" spans="1:5" ht="19.899999999999999" customHeight="1" thickBot="1">
      <c r="B75" s="204" t="s">
        <v>107</v>
      </c>
      <c r="C75" s="226">
        <f>SUM(C68:C74)</f>
        <v>429344043</v>
      </c>
      <c r="D75" s="226">
        <f>SUM(D68:D74)</f>
        <v>514194242</v>
      </c>
      <c r="E75" s="121"/>
    </row>
    <row r="76" spans="1:5">
      <c r="B76" s="140" t="s">
        <v>367</v>
      </c>
      <c r="C76" s="227">
        <v>1415952</v>
      </c>
      <c r="D76" s="227">
        <f>22110+77430</f>
        <v>99540</v>
      </c>
      <c r="E76" s="121"/>
    </row>
    <row r="77" spans="1:5" ht="15.75" thickBot="1">
      <c r="B77" s="141" t="s">
        <v>368</v>
      </c>
      <c r="C77" s="225">
        <v>90687347</v>
      </c>
      <c r="D77" s="225">
        <f>27298156+55503410+6007319</f>
        <v>88808885</v>
      </c>
      <c r="E77" s="121"/>
    </row>
    <row r="78" spans="1:5" ht="19.899999999999999" customHeight="1" thickBot="1">
      <c r="B78" s="204" t="s">
        <v>108</v>
      </c>
      <c r="C78" s="226">
        <f>SUM(C76:C77)</f>
        <v>92103299</v>
      </c>
      <c r="D78" s="226">
        <f>SUM(D76:D77)</f>
        <v>88908425</v>
      </c>
      <c r="E78" s="121"/>
    </row>
    <row r="79" spans="1:5">
      <c r="B79" s="140" t="s">
        <v>369</v>
      </c>
      <c r="C79" s="227">
        <v>277013347</v>
      </c>
      <c r="D79" s="227">
        <f>121265000+1544488+64432600+58826184</f>
        <v>246068272</v>
      </c>
      <c r="E79" s="119"/>
    </row>
    <row r="80" spans="1:5">
      <c r="B80" s="141" t="s">
        <v>370</v>
      </c>
      <c r="C80" s="225">
        <v>50435066</v>
      </c>
      <c r="D80" s="225">
        <f>40278108+75954+10886899</f>
        <v>51240961</v>
      </c>
      <c r="E80" s="119"/>
    </row>
    <row r="81" spans="2:5" ht="15.75" thickBot="1">
      <c r="B81" s="141" t="s">
        <v>142</v>
      </c>
      <c r="C81" s="225">
        <v>0</v>
      </c>
      <c r="D81" s="225">
        <v>0</v>
      </c>
      <c r="E81" s="119"/>
    </row>
    <row r="82" spans="2:5" ht="19.899999999999999" customHeight="1" thickBot="1">
      <c r="B82" s="204" t="s">
        <v>109</v>
      </c>
      <c r="C82" s="226">
        <f>SUM(C79:C81)</f>
        <v>327448413</v>
      </c>
      <c r="D82" s="226">
        <f>SUM(D79:D81)</f>
        <v>297309233</v>
      </c>
      <c r="E82" s="119"/>
    </row>
    <row r="83" spans="2:5" ht="24.6" customHeight="1" thickBot="1">
      <c r="B83" s="124" t="s">
        <v>110</v>
      </c>
      <c r="C83" s="228">
        <f>C75+C78+C82</f>
        <v>848895755</v>
      </c>
      <c r="D83" s="228">
        <f>D75+D78+D82</f>
        <v>900411900</v>
      </c>
      <c r="E83" s="131"/>
    </row>
    <row r="84" spans="2:5">
      <c r="B84" s="70"/>
      <c r="C84" s="132"/>
      <c r="E84" s="119"/>
    </row>
    <row r="85" spans="2:5">
      <c r="B85" s="70"/>
      <c r="C85" s="133"/>
      <c r="D85" s="320">
        <f>+D83-900411900</f>
        <v>0</v>
      </c>
      <c r="E85" s="119"/>
    </row>
    <row r="86" spans="2:5">
      <c r="B86" s="70"/>
      <c r="C86" s="70"/>
      <c r="E86" s="119"/>
    </row>
    <row r="87" spans="2:5">
      <c r="B87" s="122"/>
      <c r="C87" s="122"/>
    </row>
    <row r="88" spans="2:5">
      <c r="B88" s="122"/>
      <c r="C88" s="122"/>
    </row>
    <row r="89" spans="2:5">
      <c r="B89" s="122"/>
      <c r="C89" s="122"/>
    </row>
    <row r="90" spans="2:5">
      <c r="B90" s="122"/>
      <c r="C90" s="122"/>
    </row>
    <row r="91" spans="2:5" ht="41.25" customHeight="1">
      <c r="B91" s="122"/>
      <c r="C91" s="122"/>
    </row>
    <row r="92" spans="2:5">
      <c r="B92" s="122"/>
      <c r="C92" s="122"/>
    </row>
    <row r="93" spans="2:5">
      <c r="B93" s="122"/>
      <c r="C93" s="122"/>
    </row>
    <row r="94" spans="2:5">
      <c r="B94" s="122"/>
      <c r="C94" s="122"/>
    </row>
    <row r="95" spans="2:5">
      <c r="B95" s="122"/>
      <c r="C95" s="122"/>
    </row>
    <row r="96" spans="2:5">
      <c r="B96" s="122"/>
      <c r="C96" s="122"/>
    </row>
    <row r="97" spans="2:3">
      <c r="B97" s="122"/>
      <c r="C97" s="122"/>
    </row>
    <row r="98" spans="2:3">
      <c r="B98" s="122"/>
      <c r="C98" s="122"/>
    </row>
    <row r="99" spans="2:3">
      <c r="B99" s="122"/>
      <c r="C99" s="122"/>
    </row>
    <row r="100" spans="2:3">
      <c r="B100" s="122"/>
      <c r="C100" s="122"/>
    </row>
    <row r="101" spans="2:3">
      <c r="B101" s="122"/>
      <c r="C101" s="122"/>
    </row>
    <row r="102" spans="2:3">
      <c r="B102" s="122"/>
      <c r="C102" s="122"/>
    </row>
    <row r="103" spans="2:3">
      <c r="B103" s="122"/>
      <c r="C103" s="122"/>
    </row>
    <row r="104" spans="2:3">
      <c r="B104" s="122"/>
      <c r="C104" s="122"/>
    </row>
    <row r="105" spans="2:3">
      <c r="B105" s="122"/>
      <c r="C105" s="122"/>
    </row>
    <row r="106" spans="2:3">
      <c r="B106" s="122"/>
      <c r="C106" s="122"/>
    </row>
    <row r="107" spans="2:3">
      <c r="B107" s="122"/>
      <c r="C107" s="122"/>
    </row>
    <row r="108" spans="2:3">
      <c r="B108" s="122"/>
      <c r="C108" s="122"/>
    </row>
    <row r="109" spans="2:3">
      <c r="B109" s="122"/>
      <c r="C109" s="122"/>
    </row>
    <row r="110" spans="2:3">
      <c r="B110" s="122"/>
      <c r="C110" s="122"/>
    </row>
    <row r="111" spans="2:3">
      <c r="B111" s="122"/>
      <c r="C111" s="122"/>
    </row>
    <row r="112" spans="2:3">
      <c r="B112" s="122"/>
      <c r="C112" s="122"/>
    </row>
    <row r="113" spans="2:4">
      <c r="B113" s="122"/>
      <c r="C113" s="122"/>
    </row>
    <row r="114" spans="2:4">
      <c r="B114" s="122"/>
      <c r="C114" s="122"/>
    </row>
    <row r="115" spans="2:4">
      <c r="B115" s="122"/>
      <c r="C115" s="122"/>
      <c r="D115" s="295" t="s">
        <v>287</v>
      </c>
    </row>
    <row r="116" spans="2:4">
      <c r="B116" s="122"/>
      <c r="C116" s="122"/>
    </row>
    <row r="117" spans="2:4">
      <c r="B117" s="122"/>
      <c r="C117" s="122"/>
    </row>
    <row r="118" spans="2:4">
      <c r="B118" s="122"/>
      <c r="C118" s="122"/>
    </row>
    <row r="119" spans="2:4">
      <c r="B119" s="122"/>
      <c r="C119" s="122"/>
    </row>
    <row r="120" spans="2:4">
      <c r="B120" s="122"/>
      <c r="C120" s="122"/>
    </row>
    <row r="121" spans="2:4">
      <c r="B121" s="122"/>
      <c r="C121" s="122"/>
    </row>
    <row r="122" spans="2:4">
      <c r="B122" s="122"/>
      <c r="C122" s="122"/>
    </row>
    <row r="123" spans="2:4">
      <c r="B123" s="122"/>
      <c r="C123" s="122"/>
    </row>
    <row r="124" spans="2:4">
      <c r="B124" s="122"/>
      <c r="C124" s="122"/>
    </row>
    <row r="125" spans="2:4">
      <c r="B125" s="122"/>
      <c r="C125" s="122"/>
    </row>
    <row r="126" spans="2:4">
      <c r="B126" s="122"/>
      <c r="C126" s="122"/>
    </row>
    <row r="127" spans="2:4">
      <c r="B127" s="122"/>
      <c r="C127" s="122"/>
    </row>
    <row r="128" spans="2:4">
      <c r="B128" s="122"/>
      <c r="C128" s="122"/>
    </row>
    <row r="129" spans="2:3">
      <c r="B129" s="122"/>
      <c r="C129" s="122"/>
    </row>
    <row r="130" spans="2:3">
      <c r="B130" s="122"/>
      <c r="C130" s="122"/>
    </row>
    <row r="131" spans="2:3">
      <c r="B131" s="122"/>
      <c r="C131" s="122"/>
    </row>
    <row r="132" spans="2:3">
      <c r="B132" s="122"/>
      <c r="C132" s="122"/>
    </row>
    <row r="133" spans="2:3">
      <c r="B133" s="122"/>
      <c r="C133" s="122"/>
    </row>
    <row r="134" spans="2:3">
      <c r="B134" s="122"/>
      <c r="C134" s="122"/>
    </row>
    <row r="135" spans="2:3">
      <c r="B135" s="122"/>
      <c r="C135" s="122"/>
    </row>
    <row r="136" spans="2:3">
      <c r="B136" s="122"/>
      <c r="C136" s="122"/>
    </row>
    <row r="137" spans="2:3">
      <c r="B137" s="122"/>
      <c r="C137" s="122"/>
    </row>
    <row r="138" spans="2:3">
      <c r="B138" s="122"/>
      <c r="C138" s="122"/>
    </row>
    <row r="139" spans="2:3">
      <c r="B139" s="122"/>
      <c r="C139" s="122"/>
    </row>
    <row r="140" spans="2:3">
      <c r="B140" s="122"/>
      <c r="C140" s="122"/>
    </row>
    <row r="141" spans="2:3">
      <c r="B141" s="122"/>
      <c r="C141" s="122"/>
    </row>
    <row r="142" spans="2:3">
      <c r="B142" s="122"/>
      <c r="C142" s="122"/>
    </row>
    <row r="143" spans="2:3">
      <c r="B143" s="122"/>
      <c r="C143" s="122"/>
    </row>
    <row r="144" spans="2:3">
      <c r="B144" s="122"/>
      <c r="C144" s="122"/>
    </row>
    <row r="145" spans="2:3">
      <c r="B145" s="122"/>
      <c r="C145" s="122"/>
    </row>
    <row r="146" spans="2:3">
      <c r="B146" s="122"/>
      <c r="C146" s="122"/>
    </row>
    <row r="147" spans="2:3">
      <c r="B147" s="122"/>
      <c r="C147" s="122"/>
    </row>
    <row r="148" spans="2:3">
      <c r="B148" s="122"/>
      <c r="C148" s="122"/>
    </row>
    <row r="149" spans="2:3">
      <c r="B149" s="122"/>
      <c r="C149" s="122"/>
    </row>
    <row r="150" spans="2:3">
      <c r="B150" s="122"/>
      <c r="C150" s="122"/>
    </row>
    <row r="151" spans="2:3">
      <c r="B151" s="122"/>
      <c r="C151" s="122"/>
    </row>
    <row r="152" spans="2:3">
      <c r="B152" s="122"/>
      <c r="C152" s="122"/>
    </row>
    <row r="153" spans="2:3">
      <c r="B153" s="122"/>
      <c r="C153" s="122"/>
    </row>
    <row r="154" spans="2:3">
      <c r="B154" s="122"/>
      <c r="C154" s="122"/>
    </row>
    <row r="155" spans="2:3">
      <c r="B155" s="122"/>
      <c r="C155" s="122"/>
    </row>
    <row r="156" spans="2:3">
      <c r="B156" s="122"/>
      <c r="C156" s="122"/>
    </row>
    <row r="157" spans="2:3">
      <c r="B157" s="122"/>
      <c r="C157" s="122"/>
    </row>
    <row r="158" spans="2:3">
      <c r="B158" s="122"/>
      <c r="C158" s="122"/>
    </row>
    <row r="159" spans="2:3">
      <c r="B159" s="122"/>
      <c r="C159" s="122"/>
    </row>
    <row r="160" spans="2:3">
      <c r="B160" s="122"/>
      <c r="C160" s="122"/>
    </row>
    <row r="161" spans="2:3">
      <c r="B161" s="122"/>
      <c r="C161" s="122"/>
    </row>
    <row r="162" spans="2:3">
      <c r="B162" s="122"/>
      <c r="C162" s="122"/>
    </row>
    <row r="163" spans="2:3">
      <c r="B163" s="122"/>
      <c r="C163" s="122"/>
    </row>
    <row r="164" spans="2:3">
      <c r="B164" s="122"/>
      <c r="C164" s="122"/>
    </row>
    <row r="165" spans="2:3">
      <c r="B165" s="122"/>
      <c r="C165" s="122"/>
    </row>
    <row r="166" spans="2:3">
      <c r="B166" s="122"/>
      <c r="C166" s="122"/>
    </row>
    <row r="167" spans="2:3">
      <c r="B167" s="122"/>
      <c r="C167" s="122"/>
    </row>
    <row r="168" spans="2:3">
      <c r="B168" s="122"/>
      <c r="C168" s="122"/>
    </row>
    <row r="169" spans="2:3">
      <c r="B169" s="122"/>
      <c r="C169" s="122"/>
    </row>
    <row r="170" spans="2:3">
      <c r="B170" s="122"/>
      <c r="C170" s="122"/>
    </row>
    <row r="171" spans="2:3">
      <c r="B171" s="122"/>
      <c r="C171" s="122"/>
    </row>
    <row r="172" spans="2:3">
      <c r="B172" s="122"/>
      <c r="C172" s="122"/>
    </row>
    <row r="173" spans="2:3">
      <c r="B173" s="122"/>
      <c r="C173" s="122"/>
    </row>
    <row r="174" spans="2:3">
      <c r="B174" s="122"/>
      <c r="C174" s="122"/>
    </row>
    <row r="175" spans="2:3">
      <c r="B175" s="122"/>
      <c r="C175" s="122"/>
    </row>
    <row r="176" spans="2:3">
      <c r="B176" s="122"/>
      <c r="C176" s="122"/>
    </row>
    <row r="177" spans="2:3">
      <c r="B177" s="122"/>
      <c r="C177" s="122"/>
    </row>
    <row r="178" spans="2:3">
      <c r="B178" s="122"/>
      <c r="C178" s="122"/>
    </row>
    <row r="179" spans="2:3">
      <c r="B179" s="122"/>
      <c r="C179" s="122"/>
    </row>
    <row r="180" spans="2:3">
      <c r="B180" s="122"/>
      <c r="C180" s="122"/>
    </row>
    <row r="181" spans="2:3">
      <c r="B181" s="122"/>
      <c r="C181" s="122"/>
    </row>
    <row r="182" spans="2:3">
      <c r="B182" s="122"/>
      <c r="C182" s="122"/>
    </row>
    <row r="183" spans="2:3">
      <c r="B183" s="122"/>
      <c r="C183" s="122"/>
    </row>
    <row r="184" spans="2:3">
      <c r="B184" s="122"/>
      <c r="C184" s="122"/>
    </row>
    <row r="185" spans="2:3">
      <c r="B185" s="122"/>
      <c r="C185" s="122"/>
    </row>
    <row r="186" spans="2:3">
      <c r="B186" s="122"/>
      <c r="C186" s="122"/>
    </row>
    <row r="187" spans="2:3">
      <c r="B187" s="122"/>
      <c r="C187" s="122"/>
    </row>
    <row r="188" spans="2:3">
      <c r="B188" s="122"/>
      <c r="C188" s="122"/>
    </row>
    <row r="189" spans="2:3">
      <c r="B189" s="122"/>
      <c r="C189" s="122"/>
    </row>
    <row r="190" spans="2:3">
      <c r="B190" s="122"/>
      <c r="C190" s="122"/>
    </row>
    <row r="191" spans="2:3">
      <c r="B191" s="122"/>
      <c r="C191" s="122"/>
    </row>
    <row r="192" spans="2:3">
      <c r="B192" s="122"/>
      <c r="C192" s="122"/>
    </row>
    <row r="193" spans="2:3">
      <c r="B193" s="122"/>
      <c r="C193" s="122"/>
    </row>
    <row r="194" spans="2:3">
      <c r="B194" s="122"/>
      <c r="C194" s="122"/>
    </row>
    <row r="195" spans="2:3">
      <c r="B195" s="122"/>
      <c r="C195" s="122"/>
    </row>
    <row r="196" spans="2:3">
      <c r="B196" s="122"/>
      <c r="C196" s="122"/>
    </row>
    <row r="197" spans="2:3">
      <c r="B197" s="122"/>
      <c r="C197" s="122"/>
    </row>
    <row r="198" spans="2:3">
      <c r="B198" s="122"/>
      <c r="C198" s="122"/>
    </row>
    <row r="199" spans="2:3">
      <c r="B199" s="122"/>
      <c r="C199" s="122"/>
    </row>
    <row r="200" spans="2:3">
      <c r="B200" s="122"/>
      <c r="C200" s="122"/>
    </row>
    <row r="201" spans="2:3">
      <c r="B201" s="122"/>
      <c r="C201" s="122"/>
    </row>
    <row r="202" spans="2:3">
      <c r="B202" s="122"/>
      <c r="C202" s="122"/>
    </row>
    <row r="203" spans="2:3">
      <c r="B203" s="122"/>
      <c r="C203" s="122"/>
    </row>
    <row r="204" spans="2:3">
      <c r="B204" s="122"/>
      <c r="C204" s="122"/>
    </row>
    <row r="205" spans="2:3">
      <c r="B205" s="122"/>
      <c r="C205" s="122"/>
    </row>
    <row r="206" spans="2:3">
      <c r="B206" s="122"/>
      <c r="C206" s="122"/>
    </row>
    <row r="207" spans="2:3">
      <c r="B207" s="122"/>
      <c r="C207" s="122"/>
    </row>
    <row r="208" spans="2:3">
      <c r="B208" s="122"/>
      <c r="C208" s="122"/>
    </row>
    <row r="209" spans="2:3">
      <c r="B209" s="122"/>
      <c r="C209" s="122"/>
    </row>
    <row r="210" spans="2:3">
      <c r="B210" s="122"/>
      <c r="C210" s="122"/>
    </row>
    <row r="211" spans="2:3">
      <c r="B211" s="122"/>
      <c r="C211" s="122"/>
    </row>
    <row r="212" spans="2:3">
      <c r="B212" s="122"/>
      <c r="C212" s="122"/>
    </row>
    <row r="213" spans="2:3">
      <c r="B213" s="122"/>
      <c r="C213" s="122"/>
    </row>
    <row r="214" spans="2:3">
      <c r="B214" s="122"/>
      <c r="C214" s="122"/>
    </row>
    <row r="215" spans="2:3">
      <c r="B215" s="122"/>
      <c r="C215" s="122"/>
    </row>
    <row r="216" spans="2:3">
      <c r="B216" s="122"/>
      <c r="C216" s="122"/>
    </row>
    <row r="217" spans="2:3">
      <c r="B217" s="122"/>
      <c r="C217" s="122"/>
    </row>
    <row r="218" spans="2:3">
      <c r="B218" s="122"/>
      <c r="C218" s="122"/>
    </row>
    <row r="219" spans="2:3">
      <c r="B219" s="122"/>
      <c r="C219" s="122"/>
    </row>
    <row r="220" spans="2:3">
      <c r="B220" s="122"/>
      <c r="C220" s="122"/>
    </row>
    <row r="221" spans="2:3">
      <c r="B221" s="122"/>
      <c r="C221" s="122"/>
    </row>
    <row r="222" spans="2:3">
      <c r="B222" s="122"/>
      <c r="C222" s="122"/>
    </row>
    <row r="223" spans="2:3">
      <c r="B223" s="122"/>
      <c r="C223" s="122"/>
    </row>
    <row r="224" spans="2:3">
      <c r="B224" s="122"/>
      <c r="C224" s="122"/>
    </row>
    <row r="225" spans="2:3">
      <c r="B225" s="122"/>
      <c r="C225" s="122"/>
    </row>
    <row r="226" spans="2:3">
      <c r="B226" s="122"/>
      <c r="C226" s="122"/>
    </row>
    <row r="227" spans="2:3">
      <c r="B227" s="122"/>
      <c r="C227" s="122"/>
    </row>
    <row r="228" spans="2:3">
      <c r="B228" s="122"/>
      <c r="C228" s="122"/>
    </row>
    <row r="229" spans="2:3">
      <c r="B229" s="122"/>
      <c r="C229" s="122"/>
    </row>
    <row r="230" spans="2:3">
      <c r="B230" s="122"/>
      <c r="C230" s="122"/>
    </row>
    <row r="231" spans="2:3">
      <c r="B231" s="122"/>
      <c r="C231" s="122"/>
    </row>
    <row r="232" spans="2:3">
      <c r="B232" s="122"/>
      <c r="C232" s="122"/>
    </row>
    <row r="233" spans="2:3">
      <c r="B233" s="122"/>
      <c r="C233" s="122"/>
    </row>
    <row r="234" spans="2:3">
      <c r="B234" s="122"/>
      <c r="C234" s="122"/>
    </row>
    <row r="235" spans="2:3">
      <c r="B235" s="122"/>
      <c r="C235" s="122"/>
    </row>
    <row r="236" spans="2:3">
      <c r="B236" s="122"/>
      <c r="C236" s="122"/>
    </row>
    <row r="237" spans="2:3">
      <c r="B237" s="122"/>
      <c r="C237" s="122"/>
    </row>
    <row r="238" spans="2:3">
      <c r="B238" s="122"/>
      <c r="C238" s="122"/>
    </row>
    <row r="239" spans="2:3">
      <c r="B239" s="122"/>
      <c r="C239" s="122"/>
    </row>
    <row r="240" spans="2:3">
      <c r="B240" s="122"/>
      <c r="C240" s="122"/>
    </row>
    <row r="241" spans="2:3">
      <c r="B241" s="122"/>
      <c r="C241" s="122"/>
    </row>
    <row r="242" spans="2:3">
      <c r="B242" s="122"/>
      <c r="C242" s="122"/>
    </row>
    <row r="243" spans="2:3">
      <c r="B243" s="122"/>
      <c r="C243" s="122"/>
    </row>
    <row r="244" spans="2:3">
      <c r="B244" s="122"/>
      <c r="C244" s="122"/>
    </row>
    <row r="245" spans="2:3">
      <c r="B245" s="122"/>
      <c r="C245" s="122"/>
    </row>
    <row r="246" spans="2:3">
      <c r="B246" s="122"/>
      <c r="C246" s="122"/>
    </row>
    <row r="247" spans="2:3">
      <c r="B247" s="122"/>
      <c r="C247" s="122"/>
    </row>
    <row r="248" spans="2:3">
      <c r="B248" s="122"/>
      <c r="C248" s="122"/>
    </row>
    <row r="249" spans="2:3">
      <c r="B249" s="122"/>
      <c r="C249" s="122"/>
    </row>
    <row r="250" spans="2:3">
      <c r="B250" s="122"/>
      <c r="C250" s="122"/>
    </row>
    <row r="251" spans="2:3">
      <c r="B251" s="122"/>
      <c r="C251" s="122"/>
    </row>
    <row r="252" spans="2:3">
      <c r="B252" s="122"/>
      <c r="C252" s="122"/>
    </row>
    <row r="253" spans="2:3">
      <c r="B253" s="122"/>
      <c r="C253" s="122"/>
    </row>
    <row r="254" spans="2:3">
      <c r="B254" s="122"/>
      <c r="C254" s="122"/>
    </row>
    <row r="255" spans="2:3">
      <c r="B255" s="122"/>
      <c r="C255" s="122"/>
    </row>
    <row r="256" spans="2:3">
      <c r="B256" s="122"/>
      <c r="C256" s="122"/>
    </row>
    <row r="257" spans="2:3">
      <c r="B257" s="122"/>
      <c r="C257" s="122"/>
    </row>
    <row r="258" spans="2:3">
      <c r="B258" s="122"/>
      <c r="C258" s="122"/>
    </row>
    <row r="259" spans="2:3">
      <c r="B259" s="122"/>
      <c r="C259" s="122"/>
    </row>
    <row r="260" spans="2:3">
      <c r="B260" s="122"/>
      <c r="C260" s="122"/>
    </row>
    <row r="261" spans="2:3">
      <c r="B261" s="122"/>
      <c r="C261" s="122"/>
    </row>
    <row r="262" spans="2:3">
      <c r="B262" s="122"/>
      <c r="C262" s="122"/>
    </row>
    <row r="263" spans="2:3">
      <c r="B263" s="122"/>
      <c r="C263" s="122"/>
    </row>
    <row r="264" spans="2:3">
      <c r="B264" s="122"/>
      <c r="C264" s="122"/>
    </row>
    <row r="265" spans="2:3">
      <c r="B265" s="122"/>
      <c r="C265" s="122"/>
    </row>
    <row r="266" spans="2:3">
      <c r="B266" s="122"/>
      <c r="C266" s="122"/>
    </row>
    <row r="267" spans="2:3">
      <c r="B267" s="122"/>
      <c r="C267" s="122"/>
    </row>
    <row r="268" spans="2:3">
      <c r="B268" s="122"/>
      <c r="C268" s="122"/>
    </row>
    <row r="269" spans="2:3">
      <c r="B269" s="122"/>
      <c r="C269" s="122"/>
    </row>
    <row r="270" spans="2:3">
      <c r="B270" s="122"/>
      <c r="C270" s="122"/>
    </row>
    <row r="271" spans="2:3">
      <c r="B271" s="122"/>
      <c r="C271" s="122"/>
    </row>
    <row r="272" spans="2:3">
      <c r="B272" s="122"/>
      <c r="C272" s="122"/>
    </row>
    <row r="273" spans="2:3">
      <c r="B273" s="122"/>
      <c r="C273" s="122"/>
    </row>
    <row r="274" spans="2:3">
      <c r="B274" s="122"/>
      <c r="C274" s="122"/>
    </row>
    <row r="275" spans="2:3">
      <c r="B275" s="122"/>
      <c r="C275" s="122"/>
    </row>
    <row r="276" spans="2:3">
      <c r="B276" s="122"/>
      <c r="C276" s="122"/>
    </row>
    <row r="277" spans="2:3">
      <c r="B277" s="122"/>
      <c r="C277" s="122"/>
    </row>
    <row r="278" spans="2:3">
      <c r="B278" s="122"/>
      <c r="C278" s="122"/>
    </row>
    <row r="279" spans="2:3">
      <c r="B279" s="122"/>
      <c r="C279" s="122"/>
    </row>
    <row r="280" spans="2:3">
      <c r="B280" s="122"/>
      <c r="C280" s="122"/>
    </row>
    <row r="281" spans="2:3">
      <c r="B281" s="122"/>
      <c r="C281" s="122"/>
    </row>
    <row r="282" spans="2:3">
      <c r="B282" s="122"/>
      <c r="C282" s="122"/>
    </row>
    <row r="283" spans="2:3">
      <c r="B283" s="122"/>
      <c r="C283" s="122"/>
    </row>
    <row r="284" spans="2:3">
      <c r="B284" s="122"/>
      <c r="C284" s="122"/>
    </row>
    <row r="285" spans="2:3">
      <c r="B285" s="122"/>
      <c r="C285" s="122"/>
    </row>
    <row r="286" spans="2:3">
      <c r="B286" s="122"/>
      <c r="C286" s="122"/>
    </row>
    <row r="287" spans="2:3">
      <c r="B287" s="122"/>
      <c r="C287" s="122"/>
    </row>
    <row r="288" spans="2:3">
      <c r="B288" s="122"/>
      <c r="C288" s="122"/>
    </row>
    <row r="289" spans="2:3">
      <c r="B289" s="122"/>
      <c r="C289" s="122"/>
    </row>
    <row r="290" spans="2:3">
      <c r="B290" s="122"/>
      <c r="C290" s="122"/>
    </row>
    <row r="291" spans="2:3">
      <c r="B291" s="122"/>
      <c r="C291" s="122"/>
    </row>
    <row r="292" spans="2:3">
      <c r="B292" s="122"/>
      <c r="C292" s="122"/>
    </row>
    <row r="293" spans="2:3">
      <c r="B293" s="122"/>
      <c r="C293" s="122"/>
    </row>
    <row r="294" spans="2:3">
      <c r="B294" s="122"/>
      <c r="C294" s="122"/>
    </row>
    <row r="295" spans="2:3">
      <c r="B295" s="122"/>
      <c r="C295" s="122"/>
    </row>
    <row r="296" spans="2:3">
      <c r="B296" s="122"/>
      <c r="C296" s="122"/>
    </row>
    <row r="297" spans="2:3">
      <c r="B297" s="122"/>
      <c r="C297" s="122"/>
    </row>
    <row r="298" spans="2:3">
      <c r="B298" s="122"/>
      <c r="C298" s="122"/>
    </row>
    <row r="299" spans="2:3">
      <c r="B299" s="122"/>
      <c r="C299" s="122"/>
    </row>
    <row r="300" spans="2:3">
      <c r="B300" s="122"/>
      <c r="C300" s="122"/>
    </row>
    <row r="301" spans="2:3">
      <c r="B301" s="122"/>
      <c r="C301" s="122"/>
    </row>
    <row r="302" spans="2:3">
      <c r="B302" s="122"/>
      <c r="C302" s="122"/>
    </row>
    <row r="303" spans="2:3">
      <c r="B303" s="122"/>
      <c r="C303" s="122"/>
    </row>
    <row r="304" spans="2:3">
      <c r="B304" s="122"/>
      <c r="C304" s="122"/>
    </row>
    <row r="305" spans="2:3">
      <c r="B305" s="122"/>
      <c r="C305" s="122"/>
    </row>
    <row r="306" spans="2:3">
      <c r="B306" s="122"/>
      <c r="C306" s="122"/>
    </row>
    <row r="307" spans="2:3">
      <c r="B307" s="122"/>
      <c r="C307" s="122"/>
    </row>
    <row r="308" spans="2:3">
      <c r="B308" s="122"/>
      <c r="C308" s="122"/>
    </row>
    <row r="309" spans="2:3">
      <c r="B309" s="122"/>
      <c r="C309" s="122"/>
    </row>
    <row r="310" spans="2:3">
      <c r="B310" s="122"/>
      <c r="C310" s="122"/>
    </row>
    <row r="311" spans="2:3">
      <c r="B311" s="122"/>
      <c r="C311" s="122"/>
    </row>
    <row r="312" spans="2:3">
      <c r="B312" s="122"/>
      <c r="C312" s="122"/>
    </row>
    <row r="313" spans="2:3">
      <c r="B313" s="122"/>
      <c r="C313" s="122"/>
    </row>
    <row r="314" spans="2:3">
      <c r="B314" s="122"/>
      <c r="C314" s="122"/>
    </row>
    <row r="315" spans="2:3">
      <c r="B315" s="122"/>
      <c r="C315" s="122"/>
    </row>
    <row r="316" spans="2:3">
      <c r="B316" s="122"/>
      <c r="C316" s="122"/>
    </row>
    <row r="317" spans="2:3">
      <c r="B317" s="122"/>
      <c r="C317" s="122"/>
    </row>
    <row r="318" spans="2:3">
      <c r="B318" s="122"/>
      <c r="C318" s="122"/>
    </row>
    <row r="319" spans="2:3">
      <c r="B319" s="122"/>
      <c r="C319" s="122"/>
    </row>
    <row r="320" spans="2:3">
      <c r="B320" s="122"/>
      <c r="C320" s="122"/>
    </row>
    <row r="321" spans="2:3">
      <c r="B321" s="122"/>
      <c r="C321" s="122"/>
    </row>
    <row r="322" spans="2:3">
      <c r="B322" s="122"/>
      <c r="C322" s="122"/>
    </row>
    <row r="323" spans="2:3">
      <c r="B323" s="122"/>
      <c r="C323" s="122"/>
    </row>
    <row r="324" spans="2:3">
      <c r="B324" s="122"/>
      <c r="C324" s="122"/>
    </row>
    <row r="325" spans="2:3">
      <c r="B325" s="122"/>
      <c r="C325" s="122"/>
    </row>
    <row r="326" spans="2:3">
      <c r="B326" s="122"/>
      <c r="C326" s="122"/>
    </row>
    <row r="327" spans="2:3">
      <c r="B327" s="122"/>
      <c r="C327" s="122"/>
    </row>
    <row r="328" spans="2:3">
      <c r="B328" s="122"/>
      <c r="C328" s="122"/>
    </row>
    <row r="329" spans="2:3">
      <c r="B329" s="122"/>
      <c r="C329" s="122"/>
    </row>
    <row r="330" spans="2:3">
      <c r="B330" s="122"/>
      <c r="C330" s="122"/>
    </row>
    <row r="331" spans="2:3">
      <c r="B331" s="122"/>
      <c r="C331" s="122"/>
    </row>
    <row r="332" spans="2:3">
      <c r="B332" s="122"/>
      <c r="C332" s="122"/>
    </row>
    <row r="333" spans="2:3">
      <c r="B333" s="122"/>
      <c r="C333" s="122"/>
    </row>
    <row r="334" spans="2:3">
      <c r="B334" s="122"/>
      <c r="C334" s="122"/>
    </row>
    <row r="335" spans="2:3">
      <c r="B335" s="122"/>
      <c r="C335" s="122"/>
    </row>
    <row r="336" spans="2:3">
      <c r="B336" s="122"/>
      <c r="C336" s="122"/>
    </row>
    <row r="337" spans="2:3">
      <c r="B337" s="122"/>
      <c r="C337" s="122"/>
    </row>
    <row r="338" spans="2:3">
      <c r="B338" s="122"/>
      <c r="C338" s="122"/>
    </row>
    <row r="339" spans="2:3">
      <c r="B339" s="122"/>
      <c r="C339" s="122"/>
    </row>
    <row r="340" spans="2:3">
      <c r="B340" s="122"/>
      <c r="C340" s="122"/>
    </row>
    <row r="341" spans="2:3">
      <c r="B341" s="122"/>
      <c r="C341" s="122"/>
    </row>
    <row r="342" spans="2:3">
      <c r="B342" s="122"/>
      <c r="C342" s="122"/>
    </row>
    <row r="343" spans="2:3">
      <c r="B343" s="122"/>
      <c r="C343" s="122"/>
    </row>
    <row r="344" spans="2:3">
      <c r="B344" s="122"/>
      <c r="C344" s="122"/>
    </row>
    <row r="345" spans="2:3">
      <c r="B345" s="122"/>
      <c r="C345" s="122"/>
    </row>
    <row r="346" spans="2:3">
      <c r="B346" s="122"/>
      <c r="C346" s="122"/>
    </row>
    <row r="347" spans="2:3">
      <c r="B347" s="122"/>
      <c r="C347" s="122"/>
    </row>
    <row r="348" spans="2:3">
      <c r="B348" s="122"/>
      <c r="C348" s="122"/>
    </row>
    <row r="349" spans="2:3">
      <c r="B349" s="122"/>
      <c r="C349" s="122"/>
    </row>
    <row r="350" spans="2:3">
      <c r="B350" s="122"/>
      <c r="C350" s="122"/>
    </row>
    <row r="351" spans="2:3">
      <c r="B351" s="122"/>
      <c r="C351" s="122"/>
    </row>
    <row r="352" spans="2:3">
      <c r="B352" s="122"/>
      <c r="C352" s="122"/>
    </row>
    <row r="353" spans="2:3">
      <c r="B353" s="122"/>
      <c r="C353" s="122"/>
    </row>
    <row r="354" spans="2:3">
      <c r="B354" s="122"/>
      <c r="C354" s="122"/>
    </row>
    <row r="355" spans="2:3">
      <c r="B355" s="122"/>
      <c r="C355" s="122"/>
    </row>
    <row r="356" spans="2:3">
      <c r="B356" s="122"/>
      <c r="C356" s="122"/>
    </row>
    <row r="357" spans="2:3">
      <c r="B357" s="122"/>
      <c r="C357" s="122"/>
    </row>
    <row r="358" spans="2:3">
      <c r="B358" s="122"/>
      <c r="C358" s="122"/>
    </row>
    <row r="359" spans="2:3">
      <c r="B359" s="122"/>
      <c r="C359" s="122"/>
    </row>
    <row r="360" spans="2:3">
      <c r="B360" s="122"/>
      <c r="C360" s="122"/>
    </row>
    <row r="361" spans="2:3">
      <c r="B361" s="122"/>
      <c r="C361" s="122"/>
    </row>
    <row r="362" spans="2:3">
      <c r="B362" s="122"/>
      <c r="C362" s="122"/>
    </row>
    <row r="363" spans="2:3">
      <c r="B363" s="122"/>
      <c r="C363" s="122"/>
    </row>
    <row r="364" spans="2:3">
      <c r="B364" s="122"/>
      <c r="C364" s="122"/>
    </row>
    <row r="365" spans="2:3">
      <c r="B365" s="122"/>
      <c r="C365" s="122"/>
    </row>
    <row r="366" spans="2:3">
      <c r="B366" s="122"/>
      <c r="C366" s="122"/>
    </row>
    <row r="367" spans="2:3">
      <c r="B367" s="122"/>
      <c r="C367" s="122"/>
    </row>
    <row r="368" spans="2:3">
      <c r="B368" s="122"/>
      <c r="C368" s="122"/>
    </row>
    <row r="369" spans="2:3">
      <c r="B369" s="122"/>
      <c r="C369" s="122"/>
    </row>
    <row r="370" spans="2:3">
      <c r="B370" s="122"/>
      <c r="C370" s="122"/>
    </row>
    <row r="371" spans="2:3">
      <c r="B371" s="122"/>
      <c r="C371" s="122"/>
    </row>
    <row r="372" spans="2:3">
      <c r="B372" s="122"/>
      <c r="C372" s="122"/>
    </row>
    <row r="373" spans="2:3">
      <c r="B373" s="122"/>
      <c r="C373" s="122"/>
    </row>
    <row r="374" spans="2:3">
      <c r="B374" s="122"/>
      <c r="C374" s="122"/>
    </row>
    <row r="375" spans="2:3">
      <c r="B375" s="122"/>
      <c r="C375" s="122"/>
    </row>
    <row r="376" spans="2:3">
      <c r="B376" s="122"/>
      <c r="C376" s="122"/>
    </row>
    <row r="377" spans="2:3">
      <c r="B377" s="122"/>
      <c r="C377" s="122"/>
    </row>
    <row r="378" spans="2:3">
      <c r="B378" s="122"/>
      <c r="C378" s="122"/>
    </row>
    <row r="379" spans="2:3">
      <c r="B379" s="122"/>
      <c r="C379" s="122"/>
    </row>
    <row r="380" spans="2:3">
      <c r="B380" s="122"/>
      <c r="C380" s="122"/>
    </row>
    <row r="381" spans="2:3">
      <c r="B381" s="122"/>
      <c r="C381" s="122"/>
    </row>
    <row r="382" spans="2:3">
      <c r="B382" s="122"/>
      <c r="C382" s="122"/>
    </row>
    <row r="383" spans="2:3">
      <c r="B383" s="122"/>
      <c r="C383" s="122"/>
    </row>
    <row r="384" spans="2:3">
      <c r="B384" s="122"/>
      <c r="C384" s="122"/>
    </row>
    <row r="385" spans="2:3">
      <c r="B385" s="122"/>
      <c r="C385" s="122"/>
    </row>
    <row r="386" spans="2:3">
      <c r="B386" s="122"/>
      <c r="C386" s="122"/>
    </row>
    <row r="387" spans="2:3">
      <c r="B387" s="122"/>
      <c r="C387" s="122"/>
    </row>
    <row r="388" spans="2:3">
      <c r="B388" s="122"/>
      <c r="C388" s="122"/>
    </row>
    <row r="389" spans="2:3">
      <c r="B389" s="122"/>
      <c r="C389" s="122"/>
    </row>
    <row r="390" spans="2:3">
      <c r="B390" s="122"/>
      <c r="C390" s="122"/>
    </row>
    <row r="391" spans="2:3">
      <c r="B391" s="122"/>
      <c r="C391" s="122"/>
    </row>
    <row r="392" spans="2:3">
      <c r="B392" s="122"/>
      <c r="C392" s="122"/>
    </row>
    <row r="393" spans="2:3">
      <c r="B393" s="122"/>
      <c r="C393" s="122"/>
    </row>
    <row r="394" spans="2:3">
      <c r="B394" s="122"/>
      <c r="C394" s="122"/>
    </row>
    <row r="395" spans="2:3">
      <c r="B395" s="122"/>
      <c r="C395" s="122"/>
    </row>
    <row r="396" spans="2:3">
      <c r="B396" s="122"/>
      <c r="C396" s="122"/>
    </row>
    <row r="397" spans="2:3">
      <c r="B397" s="122"/>
      <c r="C397" s="122"/>
    </row>
    <row r="398" spans="2:3">
      <c r="B398" s="122"/>
      <c r="C398" s="122"/>
    </row>
    <row r="399" spans="2:3">
      <c r="B399" s="122"/>
      <c r="C399" s="122"/>
    </row>
    <row r="400" spans="2:3">
      <c r="B400" s="122"/>
      <c r="C400" s="122"/>
    </row>
    <row r="401" spans="2:3">
      <c r="B401" s="122"/>
      <c r="C401" s="122"/>
    </row>
    <row r="402" spans="2:3">
      <c r="B402" s="122"/>
      <c r="C402" s="122"/>
    </row>
    <row r="403" spans="2:3">
      <c r="B403" s="122"/>
      <c r="C403" s="122"/>
    </row>
    <row r="404" spans="2:3">
      <c r="B404" s="122"/>
      <c r="C404" s="122"/>
    </row>
    <row r="405" spans="2:3">
      <c r="B405" s="122"/>
      <c r="C405" s="122"/>
    </row>
    <row r="406" spans="2:3">
      <c r="B406" s="122"/>
      <c r="C406" s="122"/>
    </row>
    <row r="407" spans="2:3">
      <c r="B407" s="122"/>
      <c r="C407" s="122"/>
    </row>
    <row r="408" spans="2:3">
      <c r="B408" s="122"/>
      <c r="C408" s="122"/>
    </row>
    <row r="409" spans="2:3">
      <c r="B409" s="122"/>
      <c r="C409" s="122"/>
    </row>
    <row r="410" spans="2:3">
      <c r="B410" s="122"/>
      <c r="C410" s="122"/>
    </row>
    <row r="411" spans="2:3">
      <c r="B411" s="122"/>
      <c r="C411" s="122"/>
    </row>
    <row r="412" spans="2:3">
      <c r="B412" s="122"/>
      <c r="C412" s="122"/>
    </row>
    <row r="413" spans="2:3">
      <c r="B413" s="122"/>
      <c r="C413" s="122"/>
    </row>
    <row r="414" spans="2:3">
      <c r="B414" s="122"/>
      <c r="C414" s="122"/>
    </row>
    <row r="415" spans="2:3">
      <c r="B415" s="122"/>
      <c r="C415" s="122"/>
    </row>
    <row r="416" spans="2:3">
      <c r="B416" s="122"/>
      <c r="C416" s="122"/>
    </row>
    <row r="417" spans="2:3">
      <c r="B417" s="122"/>
      <c r="C417" s="122"/>
    </row>
    <row r="418" spans="2:3">
      <c r="B418" s="122"/>
      <c r="C418" s="122"/>
    </row>
    <row r="419" spans="2:3">
      <c r="B419" s="122"/>
      <c r="C419" s="122"/>
    </row>
    <row r="420" spans="2:3">
      <c r="B420" s="122"/>
      <c r="C420" s="122"/>
    </row>
    <row r="421" spans="2:3">
      <c r="B421" s="122"/>
      <c r="C421" s="122"/>
    </row>
    <row r="422" spans="2:3">
      <c r="B422" s="122"/>
      <c r="C422" s="122"/>
    </row>
    <row r="423" spans="2:3">
      <c r="B423" s="122"/>
      <c r="C423" s="122"/>
    </row>
    <row r="424" spans="2:3">
      <c r="B424" s="122"/>
      <c r="C424" s="122"/>
    </row>
    <row r="425" spans="2:3">
      <c r="B425" s="122"/>
      <c r="C425" s="122"/>
    </row>
    <row r="426" spans="2:3">
      <c r="B426" s="122"/>
      <c r="C426" s="122"/>
    </row>
    <row r="427" spans="2:3">
      <c r="B427" s="122"/>
      <c r="C427" s="122"/>
    </row>
    <row r="428" spans="2:3">
      <c r="B428" s="122"/>
      <c r="C428" s="122"/>
    </row>
    <row r="429" spans="2:3">
      <c r="B429" s="122"/>
      <c r="C429" s="122"/>
    </row>
    <row r="430" spans="2:3">
      <c r="B430" s="122"/>
      <c r="C430" s="122"/>
    </row>
    <row r="431" spans="2:3">
      <c r="B431" s="122"/>
      <c r="C431" s="122"/>
    </row>
    <row r="432" spans="2:3">
      <c r="B432" s="122"/>
      <c r="C432" s="122"/>
    </row>
    <row r="433" spans="2:3">
      <c r="B433" s="122"/>
      <c r="C433" s="122"/>
    </row>
    <row r="434" spans="2:3">
      <c r="B434" s="122"/>
      <c r="C434" s="122"/>
    </row>
    <row r="435" spans="2:3">
      <c r="B435" s="122"/>
      <c r="C435" s="122"/>
    </row>
    <row r="436" spans="2:3">
      <c r="B436" s="122"/>
      <c r="C436" s="122"/>
    </row>
    <row r="437" spans="2:3">
      <c r="B437" s="122"/>
      <c r="C437" s="122"/>
    </row>
    <row r="438" spans="2:3">
      <c r="B438" s="122"/>
      <c r="C438" s="122"/>
    </row>
    <row r="439" spans="2:3">
      <c r="B439" s="122"/>
      <c r="C439" s="122"/>
    </row>
    <row r="440" spans="2:3">
      <c r="B440" s="122"/>
      <c r="C440" s="122"/>
    </row>
    <row r="441" spans="2:3">
      <c r="B441" s="122"/>
      <c r="C441" s="122"/>
    </row>
    <row r="442" spans="2:3">
      <c r="B442" s="122"/>
      <c r="C442" s="122"/>
    </row>
    <row r="443" spans="2:3">
      <c r="B443" s="122"/>
      <c r="C443" s="122"/>
    </row>
    <row r="444" spans="2:3">
      <c r="B444" s="122"/>
      <c r="C444" s="122"/>
    </row>
    <row r="445" spans="2:3">
      <c r="B445" s="122"/>
      <c r="C445" s="122"/>
    </row>
    <row r="446" spans="2:3">
      <c r="B446" s="122"/>
      <c r="C446" s="122"/>
    </row>
    <row r="447" spans="2:3">
      <c r="B447" s="122"/>
      <c r="C447" s="122"/>
    </row>
    <row r="448" spans="2:3">
      <c r="B448" s="122"/>
      <c r="C448" s="122"/>
    </row>
    <row r="449" spans="2:3">
      <c r="B449" s="122"/>
      <c r="C449" s="122"/>
    </row>
    <row r="450" spans="2:3">
      <c r="B450" s="122"/>
      <c r="C450" s="122"/>
    </row>
    <row r="451" spans="2:3">
      <c r="B451" s="122"/>
      <c r="C451" s="122"/>
    </row>
    <row r="452" spans="2:3">
      <c r="B452" s="122"/>
      <c r="C452" s="122"/>
    </row>
    <row r="453" spans="2:3">
      <c r="B453" s="122"/>
      <c r="C453" s="122"/>
    </row>
    <row r="454" spans="2:3">
      <c r="B454" s="122"/>
      <c r="C454" s="122"/>
    </row>
    <row r="455" spans="2:3">
      <c r="B455" s="122"/>
      <c r="C455" s="122"/>
    </row>
    <row r="456" spans="2:3">
      <c r="B456" s="122"/>
      <c r="C456" s="122"/>
    </row>
    <row r="457" spans="2:3">
      <c r="B457" s="122"/>
      <c r="C457" s="122"/>
    </row>
    <row r="458" spans="2:3">
      <c r="B458" s="122"/>
      <c r="C458" s="122"/>
    </row>
    <row r="459" spans="2:3">
      <c r="B459" s="122"/>
      <c r="C459" s="122"/>
    </row>
    <row r="460" spans="2:3">
      <c r="B460" s="122"/>
      <c r="C460" s="122"/>
    </row>
    <row r="461" spans="2:3">
      <c r="B461" s="122"/>
      <c r="C461" s="122"/>
    </row>
    <row r="462" spans="2:3">
      <c r="B462" s="122"/>
      <c r="C462" s="122"/>
    </row>
    <row r="463" spans="2:3">
      <c r="B463" s="122"/>
      <c r="C463" s="122"/>
    </row>
    <row r="464" spans="2:3">
      <c r="B464" s="122"/>
      <c r="C464" s="122"/>
    </row>
    <row r="465" spans="2:3">
      <c r="B465" s="122"/>
      <c r="C465" s="122"/>
    </row>
    <row r="466" spans="2:3">
      <c r="B466" s="122"/>
      <c r="C466" s="122"/>
    </row>
    <row r="467" spans="2:3">
      <c r="B467" s="122"/>
      <c r="C467" s="122"/>
    </row>
    <row r="468" spans="2:3">
      <c r="B468" s="122"/>
      <c r="C468" s="122"/>
    </row>
    <row r="469" spans="2:3">
      <c r="B469" s="122"/>
      <c r="C469" s="122"/>
    </row>
    <row r="470" spans="2:3">
      <c r="B470" s="122"/>
      <c r="C470" s="122"/>
    </row>
    <row r="471" spans="2:3">
      <c r="B471" s="122"/>
      <c r="C471" s="122"/>
    </row>
    <row r="472" spans="2:3">
      <c r="B472" s="122"/>
      <c r="C472" s="122"/>
    </row>
    <row r="473" spans="2:3">
      <c r="B473" s="122"/>
      <c r="C473" s="122"/>
    </row>
    <row r="474" spans="2:3">
      <c r="B474" s="122"/>
      <c r="C474" s="122"/>
    </row>
    <row r="475" spans="2:3">
      <c r="B475" s="122"/>
      <c r="C475" s="122"/>
    </row>
    <row r="476" spans="2:3">
      <c r="B476" s="122"/>
      <c r="C476" s="122"/>
    </row>
    <row r="477" spans="2:3">
      <c r="B477" s="122"/>
      <c r="C477" s="122"/>
    </row>
    <row r="478" spans="2:3">
      <c r="B478" s="122"/>
      <c r="C478" s="122"/>
    </row>
    <row r="479" spans="2:3">
      <c r="B479" s="122"/>
      <c r="C479" s="122"/>
    </row>
    <row r="480" spans="2:3">
      <c r="B480" s="122"/>
      <c r="C480" s="122"/>
    </row>
    <row r="481" spans="2:3">
      <c r="B481" s="122"/>
      <c r="C481" s="122"/>
    </row>
    <row r="482" spans="2:3">
      <c r="B482" s="122"/>
      <c r="C482" s="122"/>
    </row>
    <row r="483" spans="2:3">
      <c r="B483" s="122"/>
      <c r="C483" s="122"/>
    </row>
    <row r="484" spans="2:3">
      <c r="B484" s="122"/>
      <c r="C484" s="122"/>
    </row>
    <row r="485" spans="2:3">
      <c r="B485" s="122"/>
      <c r="C485" s="122"/>
    </row>
    <row r="486" spans="2:3">
      <c r="B486" s="122"/>
      <c r="C486" s="122"/>
    </row>
    <row r="487" spans="2:3">
      <c r="B487" s="122"/>
      <c r="C487" s="122"/>
    </row>
    <row r="488" spans="2:3">
      <c r="B488" s="122"/>
      <c r="C488" s="122"/>
    </row>
    <row r="489" spans="2:3">
      <c r="B489" s="122"/>
      <c r="C489" s="122"/>
    </row>
    <row r="490" spans="2:3">
      <c r="B490" s="122"/>
      <c r="C490" s="122"/>
    </row>
    <row r="491" spans="2:3">
      <c r="B491" s="122"/>
      <c r="C491" s="122"/>
    </row>
    <row r="492" spans="2:3">
      <c r="B492" s="122"/>
      <c r="C492" s="122"/>
    </row>
    <row r="493" spans="2:3">
      <c r="B493" s="122"/>
      <c r="C493" s="122"/>
    </row>
    <row r="494" spans="2:3">
      <c r="B494" s="122"/>
      <c r="C494" s="122"/>
    </row>
    <row r="495" spans="2:3">
      <c r="B495" s="122"/>
      <c r="C495" s="122"/>
    </row>
    <row r="496" spans="2:3">
      <c r="B496" s="122"/>
      <c r="C496" s="122"/>
    </row>
    <row r="497" spans="2:3">
      <c r="B497" s="122"/>
      <c r="C497" s="122"/>
    </row>
    <row r="498" spans="2:3">
      <c r="B498" s="122"/>
      <c r="C498" s="122"/>
    </row>
    <row r="499" spans="2:3">
      <c r="B499" s="122"/>
      <c r="C499" s="122"/>
    </row>
    <row r="500" spans="2:3">
      <c r="B500" s="122"/>
      <c r="C500" s="122"/>
    </row>
    <row r="501" spans="2:3">
      <c r="B501" s="122"/>
      <c r="C501" s="122"/>
    </row>
    <row r="502" spans="2:3">
      <c r="B502" s="122"/>
      <c r="C502" s="122"/>
    </row>
    <row r="503" spans="2:3">
      <c r="B503" s="122"/>
      <c r="C503" s="122"/>
    </row>
    <row r="504" spans="2:3">
      <c r="B504" s="122"/>
      <c r="C504" s="122"/>
    </row>
    <row r="505" spans="2:3">
      <c r="B505" s="122"/>
      <c r="C505" s="122"/>
    </row>
    <row r="506" spans="2:3">
      <c r="B506" s="122"/>
      <c r="C506" s="122"/>
    </row>
    <row r="507" spans="2:3">
      <c r="B507" s="122"/>
      <c r="C507" s="122"/>
    </row>
    <row r="508" spans="2:3">
      <c r="B508" s="122"/>
      <c r="C508" s="122"/>
    </row>
    <row r="509" spans="2:3">
      <c r="B509" s="122"/>
      <c r="C509" s="122"/>
    </row>
    <row r="510" spans="2:3">
      <c r="B510" s="122"/>
      <c r="C510" s="122"/>
    </row>
    <row r="511" spans="2:3">
      <c r="B511" s="122"/>
      <c r="C511" s="122"/>
    </row>
    <row r="512" spans="2:3">
      <c r="B512" s="122"/>
      <c r="C512" s="122"/>
    </row>
    <row r="513" spans="2:3">
      <c r="B513" s="122"/>
      <c r="C513" s="122"/>
    </row>
    <row r="514" spans="2:3">
      <c r="B514" s="122"/>
      <c r="C514" s="122"/>
    </row>
  </sheetData>
  <mergeCells count="5">
    <mergeCell ref="B64:C64"/>
    <mergeCell ref="B66:C66"/>
    <mergeCell ref="A2:D2"/>
    <mergeCell ref="A1:D1"/>
    <mergeCell ref="B3:C3"/>
  </mergeCells>
  <phoneticPr fontId="0" type="noConversion"/>
  <printOptions horizontalCentered="1"/>
  <pageMargins left="0.70866141732283472" right="0.70866141732283472" top="0.11811023622047245" bottom="0.15748031496062992" header="0.31496062992125984" footer="0.15748031496062992"/>
  <pageSetup paperSize="8" fitToHeight="2" orientation="portrait" r:id="rId1"/>
  <rowBreaks count="1" manualBreakCount="1">
    <brk id="63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I27"/>
  <sheetViews>
    <sheetView tabSelected="1" view="pageBreakPreview" zoomScale="60" workbookViewId="0">
      <selection activeCell="L51" sqref="L51"/>
    </sheetView>
  </sheetViews>
  <sheetFormatPr defaultRowHeight="15"/>
  <cols>
    <col min="1" max="1" width="36" customWidth="1"/>
    <col min="2" max="2" width="17.28515625" bestFit="1" customWidth="1"/>
    <col min="3" max="3" width="17.28515625" customWidth="1"/>
    <col min="4" max="4" width="17.28515625" bestFit="1" customWidth="1"/>
    <col min="5" max="5" width="19" customWidth="1"/>
    <col min="6" max="6" width="18.28515625" customWidth="1"/>
  </cols>
  <sheetData>
    <row r="1" spans="1:9" ht="15.75">
      <c r="A1" s="403" t="s">
        <v>387</v>
      </c>
      <c r="B1" s="403"/>
      <c r="C1" s="403"/>
      <c r="D1" s="403"/>
      <c r="E1" s="403"/>
      <c r="F1" s="403"/>
      <c r="G1" s="134"/>
      <c r="H1" s="134"/>
      <c r="I1" s="134"/>
    </row>
    <row r="2" spans="1:9" ht="15.75">
      <c r="A2" s="100"/>
      <c r="B2" s="100"/>
      <c r="C2" s="100"/>
      <c r="D2" s="100"/>
      <c r="E2" s="100"/>
      <c r="F2" s="100"/>
      <c r="G2" s="134"/>
      <c r="H2" s="134"/>
      <c r="I2" s="134"/>
    </row>
    <row r="3" spans="1:9" ht="30" customHeight="1">
      <c r="A3" s="411" t="s">
        <v>119</v>
      </c>
      <c r="B3" s="411"/>
      <c r="C3" s="411"/>
      <c r="D3" s="411"/>
      <c r="E3" s="411"/>
      <c r="F3" s="411"/>
      <c r="G3" s="148"/>
      <c r="H3" s="148"/>
      <c r="I3" s="148"/>
    </row>
    <row r="4" spans="1:9" ht="30" customHeight="1">
      <c r="A4" s="148"/>
      <c r="B4" s="148"/>
      <c r="C4" s="305"/>
      <c r="D4" s="148"/>
      <c r="E4" s="148"/>
      <c r="F4" s="148"/>
      <c r="G4" s="148"/>
      <c r="H4" s="148"/>
      <c r="I4" s="148"/>
    </row>
    <row r="5" spans="1:9" ht="30" customHeight="1" thickBot="1">
      <c r="F5" s="99" t="s">
        <v>211</v>
      </c>
    </row>
    <row r="6" spans="1:9" ht="30" customHeight="1" thickBot="1">
      <c r="A6" s="183" t="s">
        <v>60</v>
      </c>
      <c r="B6" s="412">
        <v>2018</v>
      </c>
      <c r="C6" s="413"/>
      <c r="D6" s="241">
        <v>2019</v>
      </c>
      <c r="E6" s="241">
        <v>2020</v>
      </c>
      <c r="F6" s="241">
        <v>2021</v>
      </c>
    </row>
    <row r="7" spans="1:9" ht="30" customHeight="1" thickBot="1">
      <c r="A7" s="331"/>
      <c r="B7" s="332" t="s">
        <v>309</v>
      </c>
      <c r="C7" s="332" t="s">
        <v>376</v>
      </c>
      <c r="D7" s="332"/>
      <c r="E7" s="332"/>
      <c r="F7" s="333"/>
    </row>
    <row r="8" spans="1:9" ht="15" customHeight="1">
      <c r="A8" s="135" t="s">
        <v>112</v>
      </c>
      <c r="B8" s="240">
        <v>268051083</v>
      </c>
      <c r="C8" s="240">
        <v>268051083</v>
      </c>
      <c r="D8" s="240">
        <v>310000000</v>
      </c>
      <c r="E8" s="240">
        <v>315000000</v>
      </c>
      <c r="F8" s="242">
        <v>320000000</v>
      </c>
    </row>
    <row r="9" spans="1:9" ht="30" customHeight="1">
      <c r="A9" s="136" t="s">
        <v>113</v>
      </c>
      <c r="B9" s="237">
        <v>24579725</v>
      </c>
      <c r="C9" s="237">
        <v>61387610</v>
      </c>
      <c r="D9" s="237">
        <v>34000000</v>
      </c>
      <c r="E9" s="237">
        <v>38000000</v>
      </c>
      <c r="F9" s="243">
        <v>42000000</v>
      </c>
    </row>
    <row r="10" spans="1:9" ht="15" customHeight="1">
      <c r="A10" s="137" t="s">
        <v>75</v>
      </c>
      <c r="B10" s="237">
        <v>59270000</v>
      </c>
      <c r="C10" s="237">
        <v>59270000</v>
      </c>
      <c r="D10" s="237">
        <v>53000000</v>
      </c>
      <c r="E10" s="237">
        <v>55000000</v>
      </c>
      <c r="F10" s="243">
        <v>57000000</v>
      </c>
    </row>
    <row r="11" spans="1:9" ht="15" customHeight="1">
      <c r="A11" s="137" t="s">
        <v>76</v>
      </c>
      <c r="B11" s="237">
        <v>51891000</v>
      </c>
      <c r="C11" s="237">
        <v>66522145</v>
      </c>
      <c r="D11" s="237">
        <v>48000000</v>
      </c>
      <c r="E11" s="237">
        <v>46000000</v>
      </c>
      <c r="F11" s="243">
        <v>45000000</v>
      </c>
    </row>
    <row r="12" spans="1:9" ht="15" customHeight="1">
      <c r="A12" s="137" t="s">
        <v>114</v>
      </c>
      <c r="B12" s="237">
        <v>318000</v>
      </c>
      <c r="C12" s="237">
        <v>318000</v>
      </c>
      <c r="D12" s="237">
        <v>0</v>
      </c>
      <c r="E12" s="237">
        <v>0</v>
      </c>
      <c r="F12" s="243">
        <v>0</v>
      </c>
    </row>
    <row r="13" spans="1:9" ht="15" customHeight="1">
      <c r="A13" s="137" t="s">
        <v>7</v>
      </c>
      <c r="B13" s="237">
        <v>0</v>
      </c>
      <c r="C13" s="237">
        <v>0</v>
      </c>
      <c r="D13" s="237">
        <v>0</v>
      </c>
      <c r="E13" s="237">
        <v>0</v>
      </c>
      <c r="F13" s="243">
        <v>0</v>
      </c>
    </row>
    <row r="14" spans="1:9" ht="15" customHeight="1">
      <c r="A14" s="137" t="s">
        <v>115</v>
      </c>
      <c r="B14" s="237">
        <v>279283234</v>
      </c>
      <c r="C14" s="237">
        <v>279283234</v>
      </c>
      <c r="D14" s="237">
        <v>500000</v>
      </c>
      <c r="E14" s="237">
        <v>200000</v>
      </c>
      <c r="F14" s="243">
        <v>0</v>
      </c>
    </row>
    <row r="15" spans="1:9" ht="15" customHeight="1" thickBot="1">
      <c r="A15" s="138" t="s">
        <v>116</v>
      </c>
      <c r="B15" s="238">
        <v>165502713</v>
      </c>
      <c r="C15" s="238">
        <v>165579828</v>
      </c>
      <c r="D15" s="238">
        <v>120000000</v>
      </c>
      <c r="E15" s="238">
        <v>80000000</v>
      </c>
      <c r="F15" s="244">
        <v>75000000</v>
      </c>
    </row>
    <row r="16" spans="1:9" ht="15" customHeight="1" thickBot="1">
      <c r="A16" s="139" t="s">
        <v>103</v>
      </c>
      <c r="B16" s="239">
        <f>SUM(B8:B15)</f>
        <v>848895755</v>
      </c>
      <c r="C16" s="239">
        <f>SUM(C8:C15)</f>
        <v>900411900</v>
      </c>
      <c r="D16" s="239">
        <f>SUM(D8:D15)</f>
        <v>565500000</v>
      </c>
      <c r="E16" s="239">
        <f>SUM(E8:E15)</f>
        <v>534200000</v>
      </c>
      <c r="F16" s="239">
        <f>SUM(F8:F15)</f>
        <v>539000000</v>
      </c>
    </row>
    <row r="17" spans="1:6" ht="30" customHeight="1" thickBot="1">
      <c r="B17" s="212"/>
      <c r="C17" s="212"/>
      <c r="D17" s="212"/>
      <c r="E17" s="212"/>
      <c r="F17" s="212"/>
    </row>
    <row r="18" spans="1:6" ht="15" customHeight="1">
      <c r="A18" s="135" t="s">
        <v>17</v>
      </c>
      <c r="B18" s="245">
        <v>172604200</v>
      </c>
      <c r="C18" s="245">
        <v>226443658</v>
      </c>
      <c r="D18" s="250">
        <v>176000000</v>
      </c>
      <c r="E18" s="251">
        <v>179000000</v>
      </c>
      <c r="F18" s="252">
        <v>181000000</v>
      </c>
    </row>
    <row r="19" spans="1:6" ht="15" customHeight="1">
      <c r="A19" s="137" t="s">
        <v>117</v>
      </c>
      <c r="B19" s="246">
        <v>32695500</v>
      </c>
      <c r="C19" s="246">
        <v>40272564</v>
      </c>
      <c r="D19" s="253">
        <v>35000000</v>
      </c>
      <c r="E19" s="254">
        <v>37000000</v>
      </c>
      <c r="F19" s="255">
        <v>39000000</v>
      </c>
    </row>
    <row r="20" spans="1:6" ht="15" customHeight="1">
      <c r="A20" s="137" t="s">
        <v>19</v>
      </c>
      <c r="B20" s="246">
        <v>135629000</v>
      </c>
      <c r="C20" s="246">
        <v>145843343</v>
      </c>
      <c r="D20" s="253">
        <f>16000000+137000000</f>
        <v>153000000</v>
      </c>
      <c r="E20" s="254">
        <f>13000000+140000000</f>
        <v>153000000</v>
      </c>
      <c r="F20" s="255">
        <v>150000000</v>
      </c>
    </row>
    <row r="21" spans="1:6" ht="15" customHeight="1">
      <c r="A21" s="137" t="s">
        <v>106</v>
      </c>
      <c r="B21" s="246">
        <v>3781000</v>
      </c>
      <c r="C21" s="246">
        <v>3789265</v>
      </c>
      <c r="D21" s="253">
        <v>4000000</v>
      </c>
      <c r="E21" s="254">
        <v>5000000</v>
      </c>
      <c r="F21" s="255">
        <v>6000000</v>
      </c>
    </row>
    <row r="22" spans="1:6" ht="15" customHeight="1">
      <c r="A22" s="137" t="s">
        <v>81</v>
      </c>
      <c r="B22" s="246">
        <f>72104709+2880000</f>
        <v>74984709</v>
      </c>
      <c r="C22" s="246">
        <f>85315778+2880000</f>
        <v>88195778</v>
      </c>
      <c r="D22" s="253">
        <v>76000000</v>
      </c>
      <c r="E22" s="254">
        <v>78000000</v>
      </c>
      <c r="F22" s="255">
        <v>82000000</v>
      </c>
    </row>
    <row r="23" spans="1:6" ht="15" customHeight="1">
      <c r="A23" s="137" t="s">
        <v>230</v>
      </c>
      <c r="B23" s="246">
        <v>9649634</v>
      </c>
      <c r="C23" s="246">
        <v>9649634</v>
      </c>
      <c r="D23" s="253">
        <v>0</v>
      </c>
      <c r="E23" s="254">
        <v>0</v>
      </c>
      <c r="F23" s="255">
        <v>0</v>
      </c>
    </row>
    <row r="24" spans="1:6" ht="15" customHeight="1">
      <c r="A24" s="137" t="s">
        <v>82</v>
      </c>
      <c r="B24" s="246">
        <v>92103299</v>
      </c>
      <c r="C24" s="246">
        <v>88908425</v>
      </c>
      <c r="D24" s="253">
        <v>5000000</v>
      </c>
      <c r="E24" s="254">
        <v>5000000</v>
      </c>
      <c r="F24" s="255">
        <v>5000000</v>
      </c>
    </row>
    <row r="25" spans="1:6" ht="15" customHeight="1" thickBot="1">
      <c r="A25" s="138" t="s">
        <v>57</v>
      </c>
      <c r="B25" s="247">
        <v>327448413</v>
      </c>
      <c r="C25" s="247">
        <v>297309233</v>
      </c>
      <c r="D25" s="256">
        <v>116500000</v>
      </c>
      <c r="E25" s="257">
        <v>77200000</v>
      </c>
      <c r="F25" s="258">
        <v>76000000</v>
      </c>
    </row>
    <row r="26" spans="1:6" ht="15" customHeight="1" thickBot="1">
      <c r="A26" s="139" t="s">
        <v>110</v>
      </c>
      <c r="B26" s="248">
        <f>SUM(B18:B25)</f>
        <v>848895755</v>
      </c>
      <c r="C26" s="248">
        <f>SUM(C18:C25)</f>
        <v>900411900</v>
      </c>
      <c r="D26" s="259">
        <f>SUM(D18:D25)</f>
        <v>565500000</v>
      </c>
      <c r="E26" s="260">
        <f>SUM(E18:E25)</f>
        <v>534200000</v>
      </c>
      <c r="F26" s="261">
        <f>SUM(F18:F25)</f>
        <v>539000000</v>
      </c>
    </row>
    <row r="27" spans="1:6" ht="30" customHeight="1">
      <c r="D27" s="249"/>
      <c r="E27" s="249"/>
      <c r="F27" s="249"/>
    </row>
  </sheetData>
  <mergeCells count="3">
    <mergeCell ref="A1:F1"/>
    <mergeCell ref="A3:F3"/>
    <mergeCell ref="B6:C6"/>
  </mergeCells>
  <phoneticPr fontId="0" type="noConversion"/>
  <pageMargins left="0.7" right="0.7" top="0.75" bottom="0.75" header="0.3" footer="0.3"/>
  <pageSetup paperSize="9"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Q44"/>
  <sheetViews>
    <sheetView view="pageBreakPreview" topLeftCell="D1" zoomScale="140" zoomScaleNormal="140" zoomScaleSheetLayoutView="140" workbookViewId="0">
      <selection sqref="A1:E1"/>
    </sheetView>
  </sheetViews>
  <sheetFormatPr defaultRowHeight="15.75"/>
  <cols>
    <col min="1" max="1" width="1" style="2" customWidth="1"/>
    <col min="2" max="2" width="42.5703125" style="2" customWidth="1"/>
    <col min="3" max="3" width="12.85546875" style="2" customWidth="1"/>
    <col min="4" max="5" width="13.5703125" style="2" customWidth="1"/>
    <col min="6" max="6" width="13" style="2" customWidth="1"/>
    <col min="7" max="16384" width="9.140625" style="2"/>
  </cols>
  <sheetData>
    <row r="1" spans="1:17" ht="22.5" customHeight="1">
      <c r="A1" s="347" t="s">
        <v>379</v>
      </c>
      <c r="B1" s="347"/>
      <c r="C1" s="347"/>
      <c r="D1" s="347"/>
      <c r="E1" s="347"/>
      <c r="F1" s="1"/>
      <c r="G1" s="1"/>
    </row>
    <row r="2" spans="1:17">
      <c r="B2" s="3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32.25" customHeight="1">
      <c r="A3" s="355" t="s">
        <v>246</v>
      </c>
      <c r="B3" s="355"/>
      <c r="C3" s="355"/>
      <c r="D3" s="355"/>
      <c r="E3" s="355"/>
      <c r="F3" s="184"/>
      <c r="G3" s="146"/>
    </row>
    <row r="4" spans="1:17">
      <c r="B4" s="353"/>
      <c r="C4" s="353"/>
      <c r="D4" s="353"/>
      <c r="E4" s="353"/>
    </row>
    <row r="5" spans="1:17">
      <c r="C5" s="354" t="s">
        <v>211</v>
      </c>
      <c r="D5" s="354"/>
      <c r="E5" s="354"/>
    </row>
    <row r="6" spans="1:17" s="4" customFormat="1" ht="21" customHeight="1">
      <c r="B6" s="352" t="s">
        <v>0</v>
      </c>
      <c r="C6" s="352"/>
      <c r="D6" s="352"/>
      <c r="E6" s="352"/>
      <c r="F6" s="352"/>
      <c r="G6" s="5"/>
    </row>
    <row r="7" spans="1:17" s="4" customFormat="1" ht="42" customHeight="1" thickBot="1">
      <c r="B7" s="180" t="s">
        <v>1</v>
      </c>
      <c r="C7" s="182" t="s">
        <v>135</v>
      </c>
      <c r="D7" s="181" t="s">
        <v>215</v>
      </c>
      <c r="E7" s="181" t="s">
        <v>247</v>
      </c>
      <c r="F7" s="181" t="s">
        <v>317</v>
      </c>
    </row>
    <row r="8" spans="1:17" s="5" customFormat="1" ht="15" customHeight="1">
      <c r="B8" s="6" t="s">
        <v>2</v>
      </c>
      <c r="C8" s="190">
        <v>45765000</v>
      </c>
      <c r="D8" s="190">
        <v>37599000</v>
      </c>
      <c r="E8" s="190">
        <v>51891000</v>
      </c>
      <c r="F8" s="190">
        <v>66522145</v>
      </c>
    </row>
    <row r="9" spans="1:17" s="5" customFormat="1" ht="15" customHeight="1">
      <c r="B9" s="7" t="s">
        <v>218</v>
      </c>
      <c r="C9" s="191">
        <v>30400000</v>
      </c>
      <c r="D9" s="191">
        <v>42850000</v>
      </c>
      <c r="E9" s="191">
        <v>59270000</v>
      </c>
      <c r="F9" s="191">
        <v>59270000</v>
      </c>
    </row>
    <row r="10" spans="1:17" s="5" customFormat="1" ht="15" customHeight="1">
      <c r="B10" s="8" t="s">
        <v>210</v>
      </c>
      <c r="C10" s="192">
        <v>282130000</v>
      </c>
      <c r="D10" s="192">
        <v>277309685</v>
      </c>
      <c r="E10" s="296">
        <f>268051083+318000</f>
        <v>268369083</v>
      </c>
      <c r="F10" s="296">
        <f>268051083+318000</f>
        <v>268369083</v>
      </c>
    </row>
    <row r="11" spans="1:17" s="5" customFormat="1" ht="15" customHeight="1">
      <c r="B11" s="8" t="s">
        <v>220</v>
      </c>
      <c r="C11" s="192">
        <v>47369000</v>
      </c>
      <c r="D11" s="192">
        <v>33400115</v>
      </c>
      <c r="E11" s="296">
        <f>24579725</f>
        <v>24579725</v>
      </c>
      <c r="F11" s="296">
        <v>61387610</v>
      </c>
    </row>
    <row r="12" spans="1:17" s="5" customFormat="1" ht="15" customHeight="1">
      <c r="B12" s="8" t="s">
        <v>3</v>
      </c>
      <c r="C12" s="192">
        <v>11819000</v>
      </c>
      <c r="D12" s="192">
        <v>12600000</v>
      </c>
      <c r="E12" s="192">
        <v>13848000</v>
      </c>
      <c r="F12" s="192">
        <v>13848000</v>
      </c>
    </row>
    <row r="13" spans="1:17" s="5" customFormat="1" ht="15" customHeight="1">
      <c r="B13" s="9" t="s">
        <v>4</v>
      </c>
      <c r="C13" s="193">
        <v>34310000</v>
      </c>
      <c r="D13" s="193">
        <v>47523000</v>
      </c>
      <c r="E13" s="193">
        <v>81549342</v>
      </c>
      <c r="F13" s="193">
        <f>165579828-F23</f>
        <v>81626457</v>
      </c>
    </row>
    <row r="14" spans="1:17" s="5" customFormat="1" ht="15" customHeight="1">
      <c r="B14" s="16" t="s">
        <v>238</v>
      </c>
      <c r="C14" s="193">
        <v>0</v>
      </c>
      <c r="D14" s="193">
        <v>0</v>
      </c>
      <c r="E14" s="193">
        <v>0</v>
      </c>
      <c r="F14" s="193">
        <v>0</v>
      </c>
    </row>
    <row r="15" spans="1:17" s="5" customFormat="1" ht="15" customHeight="1" thickBot="1">
      <c r="B15" s="9" t="s">
        <v>5</v>
      </c>
      <c r="C15" s="193">
        <v>0</v>
      </c>
      <c r="D15" s="193">
        <v>0</v>
      </c>
      <c r="E15" s="193">
        <v>0</v>
      </c>
      <c r="F15" s="193">
        <v>0</v>
      </c>
    </row>
    <row r="16" spans="1:17" s="10" customFormat="1" ht="15" customHeight="1" thickBot="1">
      <c r="B16" s="11" t="s">
        <v>6</v>
      </c>
      <c r="C16" s="194">
        <f>C8+C9+C10+C11+C13+C15</f>
        <v>439974000</v>
      </c>
      <c r="D16" s="194">
        <f>D8+D9+D10+D11+D13+D15</f>
        <v>438681800</v>
      </c>
      <c r="E16" s="194">
        <f>E8+E9+E10+E11+E13+E15</f>
        <v>485659150</v>
      </c>
      <c r="F16" s="194">
        <f>F8+F9+F10+F11+F13+F15</f>
        <v>537175295</v>
      </c>
    </row>
    <row r="17" spans="2:6" s="5" customFormat="1" ht="15" customHeight="1">
      <c r="B17" s="12" t="s">
        <v>7</v>
      </c>
      <c r="C17" s="190">
        <v>0</v>
      </c>
      <c r="D17" s="190">
        <v>1500000</v>
      </c>
      <c r="E17" s="190">
        <v>0</v>
      </c>
      <c r="F17" s="190">
        <v>0</v>
      </c>
    </row>
    <row r="18" spans="2:6" s="5" customFormat="1" ht="15" customHeight="1">
      <c r="B18" s="8" t="s">
        <v>8</v>
      </c>
      <c r="C18" s="191">
        <v>0</v>
      </c>
      <c r="D18" s="191">
        <v>0</v>
      </c>
      <c r="E18" s="191">
        <v>0</v>
      </c>
      <c r="F18" s="191">
        <v>0</v>
      </c>
    </row>
    <row r="19" spans="2:6" s="5" customFormat="1" ht="15" customHeight="1">
      <c r="B19" s="8" t="s">
        <v>9</v>
      </c>
      <c r="C19" s="192">
        <v>0</v>
      </c>
      <c r="D19" s="192">
        <v>60200000</v>
      </c>
      <c r="E19" s="192"/>
      <c r="F19" s="192"/>
    </row>
    <row r="20" spans="2:6" s="5" customFormat="1" ht="15" customHeight="1">
      <c r="B20" s="8" t="s">
        <v>10</v>
      </c>
      <c r="C20" s="192">
        <v>0</v>
      </c>
      <c r="D20" s="192">
        <v>0</v>
      </c>
      <c r="E20" s="192">
        <f>246525100+32758134</f>
        <v>279283234</v>
      </c>
      <c r="F20" s="192">
        <f>246525100+32758134</f>
        <v>279283234</v>
      </c>
    </row>
    <row r="21" spans="2:6" s="5" customFormat="1" ht="15" customHeight="1">
      <c r="B21" s="8" t="s">
        <v>11</v>
      </c>
      <c r="C21" s="192">
        <v>700000</v>
      </c>
      <c r="D21" s="192">
        <v>200000</v>
      </c>
      <c r="E21" s="192">
        <v>0</v>
      </c>
      <c r="F21" s="192">
        <v>0</v>
      </c>
    </row>
    <row r="22" spans="2:6" s="5" customFormat="1" ht="15" customHeight="1">
      <c r="B22" s="8" t="s">
        <v>12</v>
      </c>
      <c r="C22" s="192">
        <v>0</v>
      </c>
      <c r="D22" s="192">
        <v>0</v>
      </c>
      <c r="E22" s="192">
        <v>0</v>
      </c>
      <c r="F22" s="192">
        <v>0</v>
      </c>
    </row>
    <row r="23" spans="2:6" s="5" customFormat="1" ht="15" customHeight="1" thickBot="1">
      <c r="B23" s="9" t="s">
        <v>13</v>
      </c>
      <c r="C23" s="193">
        <v>91476000</v>
      </c>
      <c r="D23" s="193">
        <v>23480000</v>
      </c>
      <c r="E23" s="193">
        <v>83953371</v>
      </c>
      <c r="F23" s="193">
        <v>83953371</v>
      </c>
    </row>
    <row r="24" spans="2:6" s="10" customFormat="1" ht="15" customHeight="1" thickBot="1">
      <c r="B24" s="11" t="s">
        <v>14</v>
      </c>
      <c r="C24" s="195">
        <f>SUM(C17:C23)</f>
        <v>92176000</v>
      </c>
      <c r="D24" s="194">
        <f>SUM(D17:D23)</f>
        <v>85380000</v>
      </c>
      <c r="E24" s="194">
        <f>SUM(E17:E23)</f>
        <v>363236605</v>
      </c>
      <c r="F24" s="194">
        <f>SUM(F17:F23)</f>
        <v>363236605</v>
      </c>
    </row>
    <row r="25" spans="2:6" s="10" customFormat="1" ht="15" customHeight="1" thickBot="1">
      <c r="B25" s="13" t="s">
        <v>15</v>
      </c>
      <c r="C25" s="196">
        <f>SUM(C16,C24)</f>
        <v>532150000</v>
      </c>
      <c r="D25" s="196">
        <f>SUM(D16,D24)</f>
        <v>524061800</v>
      </c>
      <c r="E25" s="196">
        <f>+E24+E16</f>
        <v>848895755</v>
      </c>
      <c r="F25" s="196">
        <f>+F24+F16</f>
        <v>900411900</v>
      </c>
    </row>
    <row r="26" spans="2:6" s="10" customFormat="1" ht="15" customHeight="1">
      <c r="B26" s="178"/>
      <c r="C26" s="179"/>
      <c r="D26" s="179"/>
      <c r="E26" s="179"/>
    </row>
    <row r="27" spans="2:6" s="4" customFormat="1" ht="15" customHeight="1"/>
    <row r="28" spans="2:6" s="4" customFormat="1" ht="15" customHeight="1">
      <c r="C28" s="354" t="s">
        <v>219</v>
      </c>
      <c r="D28" s="354"/>
      <c r="E28" s="354"/>
    </row>
    <row r="29" spans="2:6" s="4" customFormat="1" ht="21" customHeight="1">
      <c r="B29" s="352" t="s">
        <v>16</v>
      </c>
      <c r="C29" s="352"/>
      <c r="D29" s="352"/>
      <c r="E29" s="352"/>
      <c r="F29" s="352"/>
    </row>
    <row r="30" spans="2:6" s="4" customFormat="1" ht="39" thickBot="1">
      <c r="B30" s="180" t="s">
        <v>1</v>
      </c>
      <c r="C30" s="182" t="s">
        <v>135</v>
      </c>
      <c r="D30" s="181" t="s">
        <v>215</v>
      </c>
      <c r="E30" s="181" t="s">
        <v>247</v>
      </c>
      <c r="F30" s="181" t="s">
        <v>318</v>
      </c>
    </row>
    <row r="31" spans="2:6" s="4" customFormat="1" ht="15" customHeight="1">
      <c r="B31" s="14" t="s">
        <v>17</v>
      </c>
      <c r="C31" s="197">
        <v>174534000</v>
      </c>
      <c r="D31" s="197">
        <v>168006000</v>
      </c>
      <c r="E31" s="197">
        <v>172604200</v>
      </c>
      <c r="F31" s="197">
        <v>226443658</v>
      </c>
    </row>
    <row r="32" spans="2:6" s="4" customFormat="1" ht="15" customHeight="1">
      <c r="B32" s="15" t="s">
        <v>18</v>
      </c>
      <c r="C32" s="198">
        <v>41100000</v>
      </c>
      <c r="D32" s="198">
        <v>35676000</v>
      </c>
      <c r="E32" s="198">
        <v>32695500</v>
      </c>
      <c r="F32" s="198">
        <v>40272564</v>
      </c>
    </row>
    <row r="33" spans="2:6" s="4" customFormat="1" ht="15" customHeight="1">
      <c r="B33" s="15" t="s">
        <v>19</v>
      </c>
      <c r="C33" s="198">
        <v>136780000</v>
      </c>
      <c r="D33" s="198">
        <v>135888000</v>
      </c>
      <c r="E33" s="198">
        <v>135629000</v>
      </c>
      <c r="F33" s="198">
        <v>145843343</v>
      </c>
    </row>
    <row r="34" spans="2:6" s="4" customFormat="1" ht="15" customHeight="1">
      <c r="B34" s="15" t="s">
        <v>20</v>
      </c>
      <c r="C34" s="198">
        <v>75660000</v>
      </c>
      <c r="D34" s="198">
        <v>74910000</v>
      </c>
      <c r="E34" s="198">
        <f>72104709+2880000</f>
        <v>74984709</v>
      </c>
      <c r="F34" s="198">
        <f>2880000+85315778</f>
        <v>88195778</v>
      </c>
    </row>
    <row r="35" spans="2:6" s="4" customFormat="1" ht="15" customHeight="1">
      <c r="B35" s="16" t="s">
        <v>216</v>
      </c>
      <c r="C35" s="198">
        <v>6900000</v>
      </c>
      <c r="D35" s="198">
        <v>3000000</v>
      </c>
      <c r="E35" s="198">
        <v>3781000</v>
      </c>
      <c r="F35" s="198">
        <v>3789265</v>
      </c>
    </row>
    <row r="36" spans="2:6" s="4" customFormat="1" ht="15" customHeight="1">
      <c r="B36" s="16" t="s">
        <v>217</v>
      </c>
      <c r="C36" s="199">
        <v>0</v>
      </c>
      <c r="D36" s="199">
        <v>9097933</v>
      </c>
      <c r="E36" s="199">
        <v>9649634</v>
      </c>
      <c r="F36" s="199">
        <v>9649634</v>
      </c>
    </row>
    <row r="37" spans="2:6" s="4" customFormat="1" ht="15" customHeight="1">
      <c r="B37" s="16" t="s">
        <v>21</v>
      </c>
      <c r="C37" s="199">
        <v>2500000</v>
      </c>
      <c r="D37" s="199">
        <v>2000000</v>
      </c>
      <c r="E37" s="199">
        <v>1415952</v>
      </c>
      <c r="F37" s="199">
        <v>99540</v>
      </c>
    </row>
    <row r="38" spans="2:6" s="4" customFormat="1" ht="15" customHeight="1" thickBot="1">
      <c r="B38" s="16" t="s">
        <v>22</v>
      </c>
      <c r="C38" s="200">
        <v>2500000</v>
      </c>
      <c r="D38" s="200">
        <v>1000867</v>
      </c>
      <c r="E38" s="200">
        <v>90687347</v>
      </c>
      <c r="F38" s="200">
        <v>88808885</v>
      </c>
    </row>
    <row r="39" spans="2:6" s="4" customFormat="1" ht="15" customHeight="1" thickBot="1">
      <c r="B39" s="17" t="s">
        <v>23</v>
      </c>
      <c r="C39" s="201">
        <f>SUM(C31:C38)</f>
        <v>439974000</v>
      </c>
      <c r="D39" s="201">
        <f>SUM(D31:D38)</f>
        <v>429578800</v>
      </c>
      <c r="E39" s="201">
        <f>SUM(E31:E38)</f>
        <v>521447342</v>
      </c>
      <c r="F39" s="201">
        <f>SUM(F31:F38)</f>
        <v>603102667</v>
      </c>
    </row>
    <row r="40" spans="2:6" s="4" customFormat="1" ht="15" customHeight="1">
      <c r="B40" s="14" t="s">
        <v>24</v>
      </c>
      <c r="C40" s="197">
        <v>41974000</v>
      </c>
      <c r="D40" s="197">
        <v>86864000</v>
      </c>
      <c r="E40" s="197">
        <v>50435066</v>
      </c>
      <c r="F40" s="197">
        <v>51240961</v>
      </c>
    </row>
    <row r="41" spans="2:6" s="4" customFormat="1" ht="15" customHeight="1">
      <c r="B41" s="15" t="s">
        <v>198</v>
      </c>
      <c r="C41" s="198">
        <v>4186000</v>
      </c>
      <c r="D41" s="198">
        <v>7619000</v>
      </c>
      <c r="E41" s="198">
        <v>277013347</v>
      </c>
      <c r="F41" s="198">
        <v>246068272</v>
      </c>
    </row>
    <row r="42" spans="2:6" s="4" customFormat="1" ht="15" customHeight="1" thickBot="1">
      <c r="B42" s="16" t="s">
        <v>197</v>
      </c>
      <c r="C42" s="199">
        <v>46016000</v>
      </c>
      <c r="D42" s="199">
        <v>0</v>
      </c>
      <c r="E42" s="199">
        <v>0</v>
      </c>
      <c r="F42" s="199">
        <v>0</v>
      </c>
    </row>
    <row r="43" spans="2:6" s="4" customFormat="1" ht="15" customHeight="1" thickBot="1">
      <c r="B43" s="17" t="s">
        <v>25</v>
      </c>
      <c r="C43" s="201">
        <f>SUM(C40:C42)</f>
        <v>92176000</v>
      </c>
      <c r="D43" s="201">
        <f>SUM(D40:D42)</f>
        <v>94483000</v>
      </c>
      <c r="E43" s="201">
        <f>SUM(E40:E42)</f>
        <v>327448413</v>
      </c>
      <c r="F43" s="201">
        <f>SUM(F40:F42)</f>
        <v>297309233</v>
      </c>
    </row>
    <row r="44" spans="2:6" s="19" customFormat="1" ht="18.75" customHeight="1" thickBot="1">
      <c r="B44" s="18" t="s">
        <v>26</v>
      </c>
      <c r="C44" s="202">
        <f>SUM(C39,C43)</f>
        <v>532150000</v>
      </c>
      <c r="D44" s="202">
        <f>SUM(D39,D43)</f>
        <v>524061800</v>
      </c>
      <c r="E44" s="202">
        <f>SUM(E39,E43)</f>
        <v>848895755</v>
      </c>
      <c r="F44" s="202">
        <f>SUM(F39,F43)</f>
        <v>900411900</v>
      </c>
    </row>
  </sheetData>
  <mergeCells count="7">
    <mergeCell ref="B29:F29"/>
    <mergeCell ref="B6:F6"/>
    <mergeCell ref="A1:E1"/>
    <mergeCell ref="B4:E4"/>
    <mergeCell ref="C5:E5"/>
    <mergeCell ref="C28:E28"/>
    <mergeCell ref="A3:E3"/>
  </mergeCells>
  <phoneticPr fontId="0" type="noConversion"/>
  <printOptions horizontalCentered="1"/>
  <pageMargins left="0.43307086614173229" right="0.15748031496062992" top="0.51181102362204722" bottom="0.39370078740157483" header="0.55118110236220474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AS28"/>
  <sheetViews>
    <sheetView view="pageBreakPreview" zoomScaleSheetLayoutView="100" workbookViewId="0">
      <selection activeCell="A2" sqref="A2:P2"/>
    </sheetView>
  </sheetViews>
  <sheetFormatPr defaultRowHeight="15"/>
  <cols>
    <col min="1" max="1" width="4.140625" style="34" bestFit="1" customWidth="1"/>
    <col min="2" max="2" width="40" style="34" customWidth="1"/>
    <col min="3" max="4" width="12.42578125" style="27" bestFit="1" customWidth="1"/>
    <col min="5" max="5" width="11.28515625" style="27" bestFit="1" customWidth="1"/>
    <col min="6" max="8" width="12.42578125" style="27" bestFit="1" customWidth="1"/>
    <col min="9" max="9" width="11.28515625" style="27" bestFit="1" customWidth="1"/>
    <col min="10" max="11" width="12.42578125" style="27" bestFit="1" customWidth="1"/>
    <col min="12" max="12" width="14" style="27" bestFit="1" customWidth="1"/>
    <col min="13" max="13" width="12.42578125" style="27" bestFit="1" customWidth="1"/>
    <col min="14" max="14" width="14" style="27" bestFit="1" customWidth="1"/>
    <col min="15" max="15" width="10.85546875" style="27" bestFit="1" customWidth="1"/>
    <col min="16" max="16" width="14" style="27" bestFit="1" customWidth="1"/>
    <col min="17" max="17" width="10.85546875" style="27" bestFit="1" customWidth="1"/>
    <col min="18" max="18" width="13.140625" style="27" bestFit="1" customWidth="1"/>
    <col min="19" max="20" width="19.140625" style="27" customWidth="1"/>
    <col min="21" max="22" width="10.42578125" style="27" bestFit="1" customWidth="1"/>
    <col min="23" max="23" width="8.42578125" style="27" bestFit="1" customWidth="1"/>
    <col min="24" max="25" width="8.42578125" style="27" customWidth="1"/>
    <col min="26" max="26" width="8.85546875" style="27" bestFit="1" customWidth="1"/>
    <col min="27" max="28" width="8.42578125" style="27" customWidth="1"/>
    <col min="29" max="29" width="8.85546875" style="27" bestFit="1" customWidth="1"/>
    <col min="30" max="31" width="8.42578125" style="27" customWidth="1"/>
    <col min="32" max="32" width="8.42578125" style="27" bestFit="1" customWidth="1"/>
    <col min="33" max="34" width="8.42578125" style="27" customWidth="1"/>
    <col min="35" max="35" width="8.42578125" style="27" bestFit="1" customWidth="1"/>
    <col min="36" max="37" width="8.42578125" style="27" customWidth="1"/>
    <col min="38" max="38" width="8.85546875" style="27" bestFit="1" customWidth="1"/>
    <col min="39" max="16384" width="9.140625" style="21"/>
  </cols>
  <sheetData>
    <row r="1" spans="1:45" ht="15" customHeight="1">
      <c r="A1" s="347" t="s">
        <v>381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66"/>
      <c r="Q1" s="35"/>
      <c r="R1" s="35"/>
      <c r="S1" s="35"/>
      <c r="T1" s="35"/>
      <c r="U1" s="35"/>
      <c r="V1" s="35"/>
      <c r="W1" s="35"/>
      <c r="X1" s="35"/>
      <c r="Y1" s="35"/>
      <c r="Z1" s="35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45" ht="30.75" customHeight="1">
      <c r="A2" s="367" t="s">
        <v>248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103"/>
      <c r="R2" s="103"/>
      <c r="S2" s="103"/>
      <c r="T2" s="22"/>
      <c r="U2" s="22"/>
      <c r="V2" s="22"/>
      <c r="W2" s="22"/>
      <c r="X2" s="22"/>
      <c r="Y2" s="22"/>
      <c r="Z2" s="22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5" ht="15.75" thickBot="1">
      <c r="A3" s="24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185" t="s">
        <v>211</v>
      </c>
      <c r="O3" s="26"/>
      <c r="P3" s="26"/>
      <c r="R3" s="26"/>
      <c r="S3" s="26"/>
      <c r="T3" s="26"/>
      <c r="U3" s="26"/>
      <c r="V3" s="26"/>
      <c r="W3" s="26"/>
      <c r="X3" s="26"/>
      <c r="AM3" s="27"/>
      <c r="AN3" s="27"/>
      <c r="AO3" s="27"/>
      <c r="AP3" s="27"/>
      <c r="AQ3" s="27"/>
    </row>
    <row r="4" spans="1:45" ht="24.6" customHeight="1" thickBot="1">
      <c r="A4" s="361" t="s">
        <v>27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3"/>
      <c r="O4" s="203"/>
      <c r="U4" s="28"/>
      <c r="V4" s="28"/>
      <c r="W4" s="28"/>
      <c r="X4" s="28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</row>
    <row r="5" spans="1:45" ht="103.15" customHeight="1" thickBot="1">
      <c r="A5" s="368" t="s">
        <v>29</v>
      </c>
      <c r="B5" s="368"/>
      <c r="C5" s="357" t="s">
        <v>30</v>
      </c>
      <c r="D5" s="358"/>
      <c r="E5" s="357" t="s">
        <v>31</v>
      </c>
      <c r="F5" s="358"/>
      <c r="G5" s="357" t="s">
        <v>32</v>
      </c>
      <c r="H5" s="358"/>
      <c r="I5" s="357" t="s">
        <v>33</v>
      </c>
      <c r="J5" s="358"/>
      <c r="K5" s="373" t="s">
        <v>136</v>
      </c>
      <c r="L5" s="374"/>
      <c r="M5" s="357" t="s">
        <v>124</v>
      </c>
      <c r="N5" s="358"/>
      <c r="O5" s="357" t="s">
        <v>320</v>
      </c>
      <c r="P5" s="358"/>
      <c r="Q5" s="357" t="s">
        <v>139</v>
      </c>
      <c r="R5" s="358"/>
      <c r="X5" s="29"/>
      <c r="Y5" s="29"/>
      <c r="Z5" s="29"/>
      <c r="AA5" s="29"/>
      <c r="AB5" s="29"/>
      <c r="AC5" s="29"/>
      <c r="AD5" s="29"/>
      <c r="AE5" s="29"/>
      <c r="AF5" s="29"/>
      <c r="AG5" s="364"/>
      <c r="AH5" s="364"/>
      <c r="AI5" s="364"/>
      <c r="AJ5" s="30"/>
      <c r="AK5" s="30"/>
      <c r="AL5" s="30"/>
    </row>
    <row r="6" spans="1:45" ht="36" customHeight="1" thickBot="1">
      <c r="A6" s="149" t="s">
        <v>37</v>
      </c>
      <c r="B6" s="150"/>
      <c r="C6" s="315" t="s">
        <v>38</v>
      </c>
      <c r="D6" s="315" t="s">
        <v>319</v>
      </c>
      <c r="E6" s="315" t="s">
        <v>38</v>
      </c>
      <c r="F6" s="315" t="s">
        <v>319</v>
      </c>
      <c r="G6" s="315" t="s">
        <v>38</v>
      </c>
      <c r="H6" s="315" t="s">
        <v>319</v>
      </c>
      <c r="I6" s="303" t="s">
        <v>38</v>
      </c>
      <c r="J6" s="315" t="s">
        <v>319</v>
      </c>
      <c r="K6" s="160" t="s">
        <v>138</v>
      </c>
      <c r="L6" s="160" t="s">
        <v>319</v>
      </c>
      <c r="M6" s="315" t="s">
        <v>38</v>
      </c>
      <c r="N6" s="160" t="s">
        <v>319</v>
      </c>
      <c r="O6" s="315" t="s">
        <v>38</v>
      </c>
      <c r="P6" s="160" t="s">
        <v>319</v>
      </c>
      <c r="Q6" s="158" t="s">
        <v>140</v>
      </c>
      <c r="R6" s="158" t="s">
        <v>319</v>
      </c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1"/>
    </row>
    <row r="7" spans="1:45" s="338" customFormat="1" ht="30" customHeight="1" thickBot="1">
      <c r="A7" s="317" t="s">
        <v>39</v>
      </c>
      <c r="B7" s="337" t="s">
        <v>111</v>
      </c>
      <c r="C7" s="316">
        <v>31495000</v>
      </c>
      <c r="D7" s="316">
        <v>31495000</v>
      </c>
      <c r="E7" s="316">
        <v>59200000</v>
      </c>
      <c r="F7" s="316">
        <v>59200000</v>
      </c>
      <c r="G7" s="316">
        <v>323301598</v>
      </c>
      <c r="H7" s="316">
        <f>268051083+61387610-H8-H10</f>
        <v>324315000</v>
      </c>
      <c r="I7" s="318">
        <v>0</v>
      </c>
      <c r="J7" s="318">
        <v>0</v>
      </c>
      <c r="K7" s="340">
        <v>0</v>
      </c>
      <c r="L7" s="340">
        <v>0</v>
      </c>
      <c r="M7" s="316">
        <v>163821551</v>
      </c>
      <c r="N7" s="316">
        <v>163927016</v>
      </c>
      <c r="O7" s="334">
        <f>+C7+E7+G7+I7+K7+M7</f>
        <v>577818149</v>
      </c>
      <c r="P7" s="334">
        <f>+N7+L7+J7+H7+F7+D7</f>
        <v>578937016</v>
      </c>
      <c r="Q7" s="346">
        <f>+O7-K7</f>
        <v>577818149</v>
      </c>
      <c r="R7" s="346">
        <f>+P7-L7</f>
        <v>578937016</v>
      </c>
      <c r="S7" s="27"/>
      <c r="T7" s="27"/>
      <c r="U7" s="27"/>
      <c r="V7" s="27"/>
      <c r="W7" s="27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31"/>
      <c r="AJ7" s="31"/>
      <c r="AK7" s="31"/>
    </row>
    <row r="8" spans="1:45" s="338" customFormat="1" ht="30" customHeight="1" thickBot="1">
      <c r="A8" s="317" t="s">
        <v>40</v>
      </c>
      <c r="B8" s="337" t="s">
        <v>41</v>
      </c>
      <c r="C8" s="316">
        <v>1000000</v>
      </c>
      <c r="D8" s="316">
        <v>15631145</v>
      </c>
      <c r="E8" s="316">
        <v>70000</v>
      </c>
      <c r="F8" s="316">
        <v>70000</v>
      </c>
      <c r="G8" s="316">
        <v>954210</v>
      </c>
      <c r="H8" s="316">
        <f>1369483+954210</f>
        <v>2323693</v>
      </c>
      <c r="I8" s="318">
        <v>0</v>
      </c>
      <c r="J8" s="318">
        <v>0</v>
      </c>
      <c r="K8" s="340">
        <v>81780606</v>
      </c>
      <c r="L8" s="340">
        <v>83431606</v>
      </c>
      <c r="M8" s="316">
        <v>210184</v>
      </c>
      <c r="N8" s="316">
        <v>181834</v>
      </c>
      <c r="O8" s="334">
        <f t="shared" ref="O8:O11" si="0">+C8+E8+G8+I8+K8+M8</f>
        <v>84015000</v>
      </c>
      <c r="P8" s="334">
        <f>+N8+L8+J8+H8+F8+D8</f>
        <v>101638278</v>
      </c>
      <c r="Q8" s="346">
        <f t="shared" ref="Q8:Q11" si="1">+O8-K8</f>
        <v>2234394</v>
      </c>
      <c r="R8" s="346">
        <f t="shared" ref="R8:R11" si="2">+P8-L8</f>
        <v>18206672</v>
      </c>
      <c r="S8" s="27"/>
      <c r="T8" s="27"/>
      <c r="U8" s="27"/>
      <c r="V8" s="27"/>
      <c r="W8" s="27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31"/>
      <c r="AJ8" s="31"/>
      <c r="AK8" s="31"/>
    </row>
    <row r="9" spans="1:45" s="338" customFormat="1" ht="30" customHeight="1" thickBot="1">
      <c r="A9" s="317" t="s">
        <v>42</v>
      </c>
      <c r="B9" s="337" t="s">
        <v>120</v>
      </c>
      <c r="C9" s="316">
        <v>280000</v>
      </c>
      <c r="D9" s="316">
        <v>280000</v>
      </c>
      <c r="E9" s="316">
        <v>0</v>
      </c>
      <c r="F9" s="316">
        <v>0</v>
      </c>
      <c r="G9" s="316">
        <v>0</v>
      </c>
      <c r="H9" s="316">
        <v>0</v>
      </c>
      <c r="I9" s="318">
        <v>0</v>
      </c>
      <c r="J9" s="318">
        <v>0</v>
      </c>
      <c r="K9" s="340">
        <v>14388813</v>
      </c>
      <c r="L9" s="340">
        <v>14388813</v>
      </c>
      <c r="M9" s="316">
        <v>126187</v>
      </c>
      <c r="N9" s="316">
        <v>126187</v>
      </c>
      <c r="O9" s="334">
        <f t="shared" si="0"/>
        <v>14795000</v>
      </c>
      <c r="P9" s="334">
        <f t="shared" ref="P9:P11" si="3">+N9+L9+J9+H9+F9+D9</f>
        <v>14795000</v>
      </c>
      <c r="Q9" s="346">
        <f t="shared" si="1"/>
        <v>406187</v>
      </c>
      <c r="R9" s="346">
        <f t="shared" si="2"/>
        <v>406187</v>
      </c>
      <c r="S9" s="27"/>
      <c r="T9" s="27"/>
      <c r="U9" s="27"/>
      <c r="V9" s="27"/>
      <c r="W9" s="27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1"/>
      <c r="AJ9" s="31"/>
      <c r="AK9" s="31"/>
    </row>
    <row r="10" spans="1:45" s="338" customFormat="1" ht="30" customHeight="1" thickBot="1">
      <c r="A10" s="317" t="s">
        <v>44</v>
      </c>
      <c r="B10" s="337" t="s">
        <v>121</v>
      </c>
      <c r="C10" s="316">
        <v>140000</v>
      </c>
      <c r="D10" s="316">
        <v>140000</v>
      </c>
      <c r="E10" s="316">
        <v>0</v>
      </c>
      <c r="F10" s="316">
        <v>0</v>
      </c>
      <c r="G10" s="316">
        <v>2800000</v>
      </c>
      <c r="H10" s="316">
        <v>2800000</v>
      </c>
      <c r="I10" s="318">
        <v>0</v>
      </c>
      <c r="J10" s="318">
        <v>0</v>
      </c>
      <c r="K10" s="340">
        <v>3125119</v>
      </c>
      <c r="L10" s="340">
        <v>3125119</v>
      </c>
      <c r="M10" s="316">
        <v>775581</v>
      </c>
      <c r="N10" s="316">
        <v>775581</v>
      </c>
      <c r="O10" s="334">
        <f t="shared" si="0"/>
        <v>6840700</v>
      </c>
      <c r="P10" s="334">
        <f t="shared" si="3"/>
        <v>6840700</v>
      </c>
      <c r="Q10" s="346">
        <f t="shared" si="1"/>
        <v>3715581</v>
      </c>
      <c r="R10" s="346">
        <f t="shared" si="2"/>
        <v>3715581</v>
      </c>
      <c r="S10" s="27"/>
      <c r="T10" s="27"/>
      <c r="U10" s="27"/>
      <c r="V10" s="27"/>
      <c r="W10" s="27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1"/>
      <c r="AJ10" s="31"/>
      <c r="AK10" s="31"/>
    </row>
    <row r="11" spans="1:45" s="338" customFormat="1" ht="30" customHeight="1" thickBot="1">
      <c r="A11" s="317" t="s">
        <v>118</v>
      </c>
      <c r="B11" s="339" t="s">
        <v>125</v>
      </c>
      <c r="C11" s="316">
        <v>19294000</v>
      </c>
      <c r="D11" s="316">
        <v>19294000</v>
      </c>
      <c r="E11" s="316">
        <v>0</v>
      </c>
      <c r="F11" s="316">
        <v>0</v>
      </c>
      <c r="G11" s="316">
        <v>0</v>
      </c>
      <c r="H11" s="316">
        <v>0</v>
      </c>
      <c r="I11" s="318">
        <v>0</v>
      </c>
      <c r="J11" s="318">
        <v>0</v>
      </c>
      <c r="K11" s="340">
        <v>91610790</v>
      </c>
      <c r="L11" s="340">
        <v>93209223</v>
      </c>
      <c r="M11" s="316">
        <v>569210</v>
      </c>
      <c r="N11" s="316">
        <v>569210</v>
      </c>
      <c r="O11" s="334">
        <f t="shared" si="0"/>
        <v>111474000</v>
      </c>
      <c r="P11" s="334">
        <f t="shared" si="3"/>
        <v>113072433</v>
      </c>
      <c r="Q11" s="346">
        <f t="shared" si="1"/>
        <v>19863210</v>
      </c>
      <c r="R11" s="346">
        <f t="shared" si="2"/>
        <v>19863210</v>
      </c>
      <c r="S11" s="27"/>
      <c r="T11" s="27"/>
      <c r="U11" s="27"/>
      <c r="V11" s="27"/>
      <c r="W11" s="27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1"/>
      <c r="AJ11" s="31"/>
      <c r="AK11" s="31"/>
    </row>
    <row r="12" spans="1:45" s="338" customFormat="1" ht="36.75" customHeight="1" thickBot="1">
      <c r="A12" s="365" t="s">
        <v>45</v>
      </c>
      <c r="B12" s="365"/>
      <c r="C12" s="314">
        <f>SUM(C7:C11)</f>
        <v>52209000</v>
      </c>
      <c r="D12" s="314">
        <f t="shared" ref="D12:M12" si="4">SUM(D7:D11)</f>
        <v>66840145</v>
      </c>
      <c r="E12" s="314">
        <f t="shared" si="4"/>
        <v>59270000</v>
      </c>
      <c r="F12" s="314">
        <f t="shared" si="4"/>
        <v>59270000</v>
      </c>
      <c r="G12" s="314">
        <f t="shared" si="4"/>
        <v>327055808</v>
      </c>
      <c r="H12" s="314">
        <f t="shared" si="4"/>
        <v>329438693</v>
      </c>
      <c r="I12" s="314">
        <f t="shared" si="4"/>
        <v>0</v>
      </c>
      <c r="J12" s="314">
        <f t="shared" si="4"/>
        <v>0</v>
      </c>
      <c r="K12" s="314">
        <f>SUM(K7:K11)</f>
        <v>190905328</v>
      </c>
      <c r="L12" s="314">
        <f t="shared" si="4"/>
        <v>194154761</v>
      </c>
      <c r="M12" s="314">
        <f t="shared" si="4"/>
        <v>165502713</v>
      </c>
      <c r="N12" s="314">
        <f>SUM(N7:N11)</f>
        <v>165579828</v>
      </c>
      <c r="O12" s="334">
        <f>SUM(O7:O11)</f>
        <v>794942849</v>
      </c>
      <c r="P12" s="334">
        <f>SUM(P7:P11)</f>
        <v>815283427</v>
      </c>
      <c r="Q12" s="346">
        <f>SUM(Q7:Q11)</f>
        <v>604037521</v>
      </c>
      <c r="R12" s="346">
        <f>SUM(R7:R11)</f>
        <v>621128666</v>
      </c>
      <c r="S12" s="27"/>
      <c r="T12" s="27"/>
      <c r="U12" s="27"/>
      <c r="V12" s="27"/>
      <c r="W12" s="27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45">
      <c r="AM13" s="27"/>
      <c r="AN13" s="27"/>
      <c r="AO13" s="27"/>
      <c r="AP13" s="27"/>
      <c r="AQ13" s="27"/>
    </row>
    <row r="14" spans="1:45">
      <c r="AM14" s="27"/>
      <c r="AN14" s="27"/>
      <c r="AO14" s="27"/>
      <c r="AP14" s="27"/>
      <c r="AQ14" s="27"/>
    </row>
    <row r="15" spans="1:45">
      <c r="AM15" s="27"/>
      <c r="AN15" s="27"/>
      <c r="AO15" s="27"/>
      <c r="AP15" s="27"/>
      <c r="AQ15" s="27"/>
    </row>
    <row r="16" spans="1:45">
      <c r="AM16" s="27"/>
      <c r="AN16" s="27"/>
      <c r="AO16" s="27"/>
      <c r="AP16" s="27"/>
      <c r="AQ16" s="27"/>
    </row>
    <row r="17" spans="1:45" ht="15.75" customHeight="1" thickBot="1">
      <c r="A17" s="371" t="s">
        <v>28</v>
      </c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72"/>
      <c r="S17" s="372"/>
      <c r="T17" s="372"/>
      <c r="AM17" s="27"/>
      <c r="AN17" s="27"/>
      <c r="AO17" s="27"/>
      <c r="AP17" s="27"/>
      <c r="AQ17" s="27"/>
    </row>
    <row r="18" spans="1:45" ht="99.95" customHeight="1" thickBot="1">
      <c r="A18" s="359" t="s">
        <v>29</v>
      </c>
      <c r="B18" s="360"/>
      <c r="C18" s="357" t="s">
        <v>179</v>
      </c>
      <c r="D18" s="358"/>
      <c r="E18" s="357" t="s">
        <v>122</v>
      </c>
      <c r="F18" s="358"/>
      <c r="G18" s="357" t="s">
        <v>123</v>
      </c>
      <c r="H18" s="358"/>
      <c r="I18" s="357" t="s">
        <v>34</v>
      </c>
      <c r="J18" s="358"/>
      <c r="K18" s="373" t="s">
        <v>137</v>
      </c>
      <c r="L18" s="374"/>
      <c r="M18" s="357" t="s">
        <v>35</v>
      </c>
      <c r="N18" s="358"/>
      <c r="O18" s="357" t="s">
        <v>217</v>
      </c>
      <c r="P18" s="358"/>
      <c r="Q18" s="357" t="s">
        <v>36</v>
      </c>
      <c r="R18" s="358"/>
      <c r="S18" s="369" t="s">
        <v>141</v>
      </c>
      <c r="T18" s="370"/>
      <c r="AM18" s="27"/>
      <c r="AN18" s="27"/>
      <c r="AO18" s="27"/>
      <c r="AP18" s="27"/>
      <c r="AQ18" s="27"/>
      <c r="AR18" s="27"/>
      <c r="AS18" s="27"/>
    </row>
    <row r="19" spans="1:45" ht="26.25" thickBot="1">
      <c r="A19" s="149" t="s">
        <v>37</v>
      </c>
      <c r="B19" s="150"/>
      <c r="C19" s="315" t="s">
        <v>38</v>
      </c>
      <c r="D19" s="315" t="s">
        <v>319</v>
      </c>
      <c r="E19" s="315" t="s">
        <v>38</v>
      </c>
      <c r="F19" s="315" t="s">
        <v>319</v>
      </c>
      <c r="G19" s="315" t="s">
        <v>38</v>
      </c>
      <c r="H19" s="315" t="s">
        <v>319</v>
      </c>
      <c r="I19" s="302" t="s">
        <v>38</v>
      </c>
      <c r="J19" s="315" t="s">
        <v>319</v>
      </c>
      <c r="K19" s="160" t="s">
        <v>138</v>
      </c>
      <c r="L19" s="315" t="s">
        <v>319</v>
      </c>
      <c r="M19" s="315" t="s">
        <v>38</v>
      </c>
      <c r="N19" s="315" t="s">
        <v>319</v>
      </c>
      <c r="O19" s="302" t="s">
        <v>138</v>
      </c>
      <c r="P19" s="315" t="s">
        <v>319</v>
      </c>
      <c r="Q19" s="315" t="s">
        <v>38</v>
      </c>
      <c r="R19" s="315" t="s">
        <v>319</v>
      </c>
      <c r="S19" s="335" t="s">
        <v>138</v>
      </c>
      <c r="T19" s="336" t="s">
        <v>319</v>
      </c>
      <c r="AM19" s="27"/>
      <c r="AN19" s="27"/>
      <c r="AO19" s="27"/>
      <c r="AP19" s="27"/>
      <c r="AQ19" s="27"/>
      <c r="AR19" s="27"/>
      <c r="AS19" s="27"/>
    </row>
    <row r="20" spans="1:45" ht="30" customHeight="1" thickBot="1">
      <c r="A20" s="151" t="s">
        <v>39</v>
      </c>
      <c r="B20" s="152" t="s">
        <v>111</v>
      </c>
      <c r="C20" s="316">
        <v>64952000</v>
      </c>
      <c r="D20" s="316">
        <v>104428578</v>
      </c>
      <c r="E20" s="316">
        <v>11769000</v>
      </c>
      <c r="F20" s="341">
        <v>15128521</v>
      </c>
      <c r="G20" s="341">
        <v>47579000</v>
      </c>
      <c r="H20" s="341">
        <v>57814073</v>
      </c>
      <c r="I20" s="341">
        <f>72104709+2860000</f>
        <v>74964709</v>
      </c>
      <c r="J20" s="341">
        <v>88108193</v>
      </c>
      <c r="K20" s="342">
        <f>+K12</f>
        <v>190905328</v>
      </c>
      <c r="L20" s="342">
        <v>194154761</v>
      </c>
      <c r="M20" s="341">
        <v>3781000</v>
      </c>
      <c r="N20" s="341">
        <v>3789265</v>
      </c>
      <c r="O20" s="341">
        <v>9649634</v>
      </c>
      <c r="P20" s="341">
        <v>9649634</v>
      </c>
      <c r="Q20" s="343">
        <f>+O20+M20+K20+I20+G20+E20+C20</f>
        <v>403600671</v>
      </c>
      <c r="R20" s="343">
        <f>+P20+N20+L20+J20+H20+F20+D20</f>
        <v>473073025</v>
      </c>
      <c r="S20" s="344">
        <f>Q20-K20</f>
        <v>212695343</v>
      </c>
      <c r="T20" s="344">
        <f>+R20-L20</f>
        <v>278918264</v>
      </c>
      <c r="AM20" s="27"/>
      <c r="AN20" s="27"/>
      <c r="AO20" s="27"/>
      <c r="AP20" s="27"/>
      <c r="AQ20" s="27"/>
      <c r="AR20" s="27"/>
      <c r="AS20" s="27"/>
    </row>
    <row r="21" spans="1:45" ht="30" customHeight="1" thickBot="1">
      <c r="A21" s="151" t="s">
        <v>40</v>
      </c>
      <c r="B21" s="152" t="s">
        <v>41</v>
      </c>
      <c r="C21" s="316">
        <v>60095000</v>
      </c>
      <c r="D21" s="316">
        <v>73469180</v>
      </c>
      <c r="E21" s="316">
        <v>11710000</v>
      </c>
      <c r="F21" s="341">
        <v>14172543</v>
      </c>
      <c r="G21" s="341">
        <v>12210000</v>
      </c>
      <c r="H21" s="341">
        <v>12277970</v>
      </c>
      <c r="I21" s="341">
        <v>0</v>
      </c>
      <c r="J21" s="341">
        <v>67585</v>
      </c>
      <c r="K21" s="342">
        <v>0</v>
      </c>
      <c r="L21" s="342"/>
      <c r="M21" s="341">
        <v>0</v>
      </c>
      <c r="N21" s="341">
        <v>0</v>
      </c>
      <c r="O21" s="341">
        <v>0</v>
      </c>
      <c r="P21" s="341">
        <v>0</v>
      </c>
      <c r="Q21" s="343">
        <f t="shared" ref="Q21:Q24" si="5">+O21+M21+K21+I21+G21+E21+C21</f>
        <v>84015000</v>
      </c>
      <c r="R21" s="343">
        <f t="shared" ref="R21:R24" si="6">+P21+N21+L21+J21+H21+F21+D21</f>
        <v>99987278</v>
      </c>
      <c r="S21" s="344">
        <f>SUM(C21:I21,M21:O21)</f>
        <v>183934693</v>
      </c>
      <c r="T21" s="344">
        <f t="shared" ref="T21:T24" si="7">+R21-L21</f>
        <v>99987278</v>
      </c>
      <c r="AM21" s="27"/>
      <c r="AN21" s="27"/>
      <c r="AO21" s="27"/>
      <c r="AP21" s="27"/>
      <c r="AQ21" s="27"/>
      <c r="AR21" s="27"/>
      <c r="AS21" s="27"/>
    </row>
    <row r="22" spans="1:45" ht="30" customHeight="1" thickBot="1">
      <c r="A22" s="151" t="s">
        <v>42</v>
      </c>
      <c r="B22" s="152" t="s">
        <v>43</v>
      </c>
      <c r="C22" s="316">
        <v>6001000</v>
      </c>
      <c r="D22" s="316">
        <v>6001000</v>
      </c>
      <c r="E22" s="316">
        <v>1180000</v>
      </c>
      <c r="F22" s="341">
        <v>1180000</v>
      </c>
      <c r="G22" s="341">
        <v>7340000</v>
      </c>
      <c r="H22" s="341">
        <v>7340000</v>
      </c>
      <c r="I22" s="341">
        <v>20000</v>
      </c>
      <c r="J22" s="341">
        <v>20000</v>
      </c>
      <c r="K22" s="342">
        <v>0</v>
      </c>
      <c r="L22" s="342"/>
      <c r="M22" s="341">
        <v>0</v>
      </c>
      <c r="N22" s="341">
        <v>0</v>
      </c>
      <c r="O22" s="341">
        <v>0</v>
      </c>
      <c r="P22" s="341">
        <v>0</v>
      </c>
      <c r="Q22" s="343">
        <f t="shared" si="5"/>
        <v>14541000</v>
      </c>
      <c r="R22" s="343">
        <f t="shared" si="6"/>
        <v>14541000</v>
      </c>
      <c r="S22" s="344">
        <f>SUM(C22:I22,M22:O22)</f>
        <v>29062000</v>
      </c>
      <c r="T22" s="344">
        <f t="shared" si="7"/>
        <v>14541000</v>
      </c>
      <c r="AM22" s="27"/>
      <c r="AN22" s="27"/>
      <c r="AO22" s="27"/>
      <c r="AP22" s="27"/>
      <c r="AQ22" s="27"/>
      <c r="AR22" s="27"/>
      <c r="AS22" s="27"/>
    </row>
    <row r="23" spans="1:45" ht="30" customHeight="1" thickBot="1">
      <c r="A23" s="151" t="s">
        <v>44</v>
      </c>
      <c r="B23" s="152" t="s">
        <v>121</v>
      </c>
      <c r="C23" s="316">
        <v>3725200</v>
      </c>
      <c r="D23" s="316">
        <v>3725200</v>
      </c>
      <c r="E23" s="316">
        <v>733500</v>
      </c>
      <c r="F23" s="341">
        <v>733500</v>
      </c>
      <c r="G23" s="341">
        <v>2160000</v>
      </c>
      <c r="H23" s="341">
        <v>2160000</v>
      </c>
      <c r="I23" s="341">
        <v>0</v>
      </c>
      <c r="J23" s="341">
        <v>0</v>
      </c>
      <c r="K23" s="342">
        <v>0</v>
      </c>
      <c r="L23" s="342"/>
      <c r="M23" s="341">
        <v>0</v>
      </c>
      <c r="N23" s="341">
        <v>0</v>
      </c>
      <c r="O23" s="341">
        <v>0</v>
      </c>
      <c r="P23" s="341">
        <v>0</v>
      </c>
      <c r="Q23" s="343">
        <f t="shared" si="5"/>
        <v>6618700</v>
      </c>
      <c r="R23" s="343">
        <f t="shared" si="6"/>
        <v>6618700</v>
      </c>
      <c r="S23" s="344">
        <f>SUM(C23:I23,M23:O23)</f>
        <v>13237400</v>
      </c>
      <c r="T23" s="344">
        <f t="shared" si="7"/>
        <v>6618700</v>
      </c>
      <c r="AM23" s="27"/>
      <c r="AN23" s="27"/>
      <c r="AO23" s="27"/>
      <c r="AP23" s="27"/>
      <c r="AQ23" s="27"/>
      <c r="AR23" s="27"/>
      <c r="AS23" s="27"/>
    </row>
    <row r="24" spans="1:45" ht="30" customHeight="1" thickBot="1">
      <c r="A24" s="151" t="s">
        <v>118</v>
      </c>
      <c r="B24" s="153" t="s">
        <v>125</v>
      </c>
      <c r="C24" s="316">
        <v>37831000</v>
      </c>
      <c r="D24" s="316">
        <v>37831000</v>
      </c>
      <c r="E24" s="316">
        <v>7303000</v>
      </c>
      <c r="F24" s="341">
        <v>7303000</v>
      </c>
      <c r="G24" s="341">
        <v>66340000</v>
      </c>
      <c r="H24" s="341">
        <v>66340000</v>
      </c>
      <c r="I24" s="341">
        <v>0</v>
      </c>
      <c r="J24" s="341">
        <v>0</v>
      </c>
      <c r="K24" s="342">
        <v>0</v>
      </c>
      <c r="L24" s="342"/>
      <c r="M24" s="341">
        <v>0</v>
      </c>
      <c r="N24" s="341">
        <v>0</v>
      </c>
      <c r="O24" s="341">
        <v>0</v>
      </c>
      <c r="P24" s="341">
        <v>0</v>
      </c>
      <c r="Q24" s="343">
        <f t="shared" si="5"/>
        <v>111474000</v>
      </c>
      <c r="R24" s="343">
        <f t="shared" si="6"/>
        <v>111474000</v>
      </c>
      <c r="S24" s="344">
        <f>SUM(C24:I24,M24:O24)</f>
        <v>222948000</v>
      </c>
      <c r="T24" s="344">
        <f t="shared" si="7"/>
        <v>111474000</v>
      </c>
      <c r="AM24" s="27"/>
      <c r="AN24" s="27"/>
      <c r="AO24" s="27"/>
      <c r="AP24" s="27"/>
      <c r="AQ24" s="27"/>
      <c r="AR24" s="27"/>
      <c r="AS24" s="27"/>
    </row>
    <row r="25" spans="1:45" ht="15.75" thickBot="1">
      <c r="A25" s="356" t="s">
        <v>45</v>
      </c>
      <c r="B25" s="356"/>
      <c r="C25" s="314">
        <f>SUM(C20:C24)</f>
        <v>172604200</v>
      </c>
      <c r="D25" s="314">
        <f t="shared" ref="D25:G25" si="8">SUM(D20:D24)</f>
        <v>225454958</v>
      </c>
      <c r="E25" s="314">
        <f t="shared" si="8"/>
        <v>32695500</v>
      </c>
      <c r="F25" s="345">
        <f t="shared" si="8"/>
        <v>38517564</v>
      </c>
      <c r="G25" s="345">
        <f t="shared" si="8"/>
        <v>135629000</v>
      </c>
      <c r="H25" s="345">
        <f t="shared" ref="H25" si="9">SUM(H20:H24)</f>
        <v>145932043</v>
      </c>
      <c r="I25" s="345">
        <f t="shared" ref="I25" si="10">SUM(I20:I24)</f>
        <v>74984709</v>
      </c>
      <c r="J25" s="345">
        <f t="shared" ref="J25" si="11">SUM(J20:J24)</f>
        <v>88195778</v>
      </c>
      <c r="K25" s="345">
        <f t="shared" ref="K25" si="12">SUM(K20:K24)</f>
        <v>190905328</v>
      </c>
      <c r="L25" s="345">
        <f t="shared" ref="L25" si="13">SUM(L20:L24)</f>
        <v>194154761</v>
      </c>
      <c r="M25" s="345">
        <f>SUM(M20:M24)</f>
        <v>3781000</v>
      </c>
      <c r="N25" s="345">
        <f>SUM(N20:N24)</f>
        <v>3789265</v>
      </c>
      <c r="O25" s="345">
        <f>SUM(O20:O24)</f>
        <v>9649634</v>
      </c>
      <c r="P25" s="345">
        <f>SUM(P20:P24)</f>
        <v>9649634</v>
      </c>
      <c r="Q25" s="343">
        <f>+O25+M25+K25+I25+G25+E25+C25</f>
        <v>620249371</v>
      </c>
      <c r="R25" s="343">
        <f>+R24+R23+R22+R21+R20</f>
        <v>705694003</v>
      </c>
      <c r="S25" s="344">
        <f>+Q25-K25</f>
        <v>429344043</v>
      </c>
      <c r="T25" s="344">
        <f>+R25-L25</f>
        <v>511539242</v>
      </c>
      <c r="AM25" s="27"/>
      <c r="AN25" s="27"/>
      <c r="AO25" s="27"/>
      <c r="AP25" s="27"/>
      <c r="AQ25" s="27"/>
      <c r="AR25" s="27"/>
      <c r="AS25" s="27"/>
    </row>
    <row r="26" spans="1:45">
      <c r="AM26" s="27"/>
      <c r="AN26" s="27"/>
      <c r="AO26" s="27"/>
      <c r="AP26" s="27"/>
      <c r="AQ26" s="27"/>
    </row>
    <row r="27" spans="1:45">
      <c r="AM27" s="27"/>
      <c r="AN27" s="27"/>
      <c r="AO27" s="27"/>
      <c r="AP27" s="27"/>
      <c r="AQ27" s="27"/>
    </row>
    <row r="28" spans="1:45">
      <c r="AM28" s="27"/>
      <c r="AN28" s="27"/>
      <c r="AO28" s="27"/>
      <c r="AP28" s="27"/>
      <c r="AQ28" s="27"/>
    </row>
  </sheetData>
  <mergeCells count="26">
    <mergeCell ref="S18:T18"/>
    <mergeCell ref="A17:T17"/>
    <mergeCell ref="K5:L5"/>
    <mergeCell ref="Q5:R5"/>
    <mergeCell ref="I18:J18"/>
    <mergeCell ref="K18:L18"/>
    <mergeCell ref="O18:P18"/>
    <mergeCell ref="A4:N4"/>
    <mergeCell ref="AG5:AI5"/>
    <mergeCell ref="E5:F5"/>
    <mergeCell ref="A12:B12"/>
    <mergeCell ref="A1:P1"/>
    <mergeCell ref="O5:P5"/>
    <mergeCell ref="A2:P2"/>
    <mergeCell ref="A5:B5"/>
    <mergeCell ref="C5:D5"/>
    <mergeCell ref="G5:H5"/>
    <mergeCell ref="M5:N5"/>
    <mergeCell ref="I5:J5"/>
    <mergeCell ref="A25:B25"/>
    <mergeCell ref="Q18:R18"/>
    <mergeCell ref="M18:N18"/>
    <mergeCell ref="A18:B18"/>
    <mergeCell ref="C18:D18"/>
    <mergeCell ref="E18:F18"/>
    <mergeCell ref="G18:H18"/>
  </mergeCells>
  <phoneticPr fontId="0" type="noConversion"/>
  <printOptions horizontalCentered="1"/>
  <pageMargins left="0.11811023622047245" right="0.15748031496062992" top="0.74803149606299213" bottom="0.74803149606299213" header="0.31496062992125984" footer="0.31496062992125984"/>
  <pageSetup paperSize="8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AO62"/>
  <sheetViews>
    <sheetView zoomScale="115" zoomScaleNormal="115" workbookViewId="0">
      <selection sqref="A1:X1"/>
    </sheetView>
  </sheetViews>
  <sheetFormatPr defaultColWidth="8.85546875" defaultRowHeight="12.75"/>
  <cols>
    <col min="1" max="1" width="8.28515625" style="39" customWidth="1"/>
    <col min="2" max="2" width="9" style="39" customWidth="1"/>
    <col min="3" max="3" width="45.28515625" style="39" customWidth="1"/>
    <col min="4" max="5" width="16" style="39" customWidth="1"/>
    <col min="6" max="7" width="14.42578125" style="39" customWidth="1"/>
    <col min="8" max="9" width="15.28515625" style="39" customWidth="1"/>
    <col min="10" max="11" width="14.85546875" style="39" customWidth="1"/>
    <col min="12" max="13" width="16.85546875" style="39" customWidth="1"/>
    <col min="14" max="14" width="16.28515625" style="39" customWidth="1"/>
    <col min="15" max="15" width="13" style="39" customWidth="1"/>
    <col min="16" max="17" width="18.28515625" style="39" customWidth="1"/>
    <col min="18" max="19" width="14.140625" style="39" customWidth="1"/>
    <col min="20" max="21" width="16" style="39" customWidth="1"/>
    <col min="22" max="23" width="18" style="39" customWidth="1"/>
    <col min="24" max="25" width="9.85546875" style="39" customWidth="1"/>
    <col min="26" max="26" width="15.85546875" style="39" customWidth="1"/>
    <col min="27" max="27" width="7.42578125" style="39" bestFit="1" customWidth="1"/>
    <col min="28" max="30" width="10.5703125" style="39" bestFit="1" customWidth="1"/>
    <col min="31" max="31" width="5.140625" style="45" bestFit="1" customWidth="1"/>
    <col min="32" max="32" width="7.140625" style="39" bestFit="1" customWidth="1"/>
    <col min="33" max="16384" width="8.85546875" style="37"/>
  </cols>
  <sheetData>
    <row r="1" spans="1:41" ht="15.75">
      <c r="A1" s="347" t="s">
        <v>382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5"/>
      <c r="Z1" s="35"/>
      <c r="AA1" s="35"/>
      <c r="AB1" s="35"/>
      <c r="AC1" s="35"/>
      <c r="AD1" s="35"/>
      <c r="AE1" s="35"/>
      <c r="AF1" s="36"/>
      <c r="AG1" s="35" t="s">
        <v>46</v>
      </c>
      <c r="AH1" s="36"/>
    </row>
    <row r="2" spans="1:41" ht="33.75" customHeight="1">
      <c r="A2" s="375" t="s">
        <v>249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38"/>
    </row>
    <row r="3" spans="1:41" ht="16.5" thickBot="1">
      <c r="B3" s="40"/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 t="s">
        <v>211</v>
      </c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2"/>
      <c r="AJ3" s="42"/>
      <c r="AK3" s="42"/>
      <c r="AL3" s="43"/>
      <c r="AM3" s="39"/>
    </row>
    <row r="4" spans="1:41" ht="21" customHeight="1" thickBot="1">
      <c r="A4" s="376" t="s">
        <v>47</v>
      </c>
      <c r="B4" s="378" t="s">
        <v>209</v>
      </c>
      <c r="C4" s="380" t="s">
        <v>48</v>
      </c>
      <c r="D4" s="382" t="s">
        <v>195</v>
      </c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04"/>
      <c r="V4" s="384" t="s">
        <v>308</v>
      </c>
      <c r="W4" s="389" t="s">
        <v>310</v>
      </c>
      <c r="X4" s="386" t="s">
        <v>311</v>
      </c>
      <c r="Y4" s="386" t="s">
        <v>312</v>
      </c>
      <c r="Z4" s="37"/>
      <c r="AA4" s="37"/>
      <c r="AB4" s="37"/>
      <c r="AC4" s="37"/>
      <c r="AD4" s="37"/>
      <c r="AE4" s="37"/>
      <c r="AF4" s="37"/>
    </row>
    <row r="5" spans="1:41" ht="114" customHeight="1" thickBot="1">
      <c r="A5" s="377"/>
      <c r="B5" s="379"/>
      <c r="C5" s="381"/>
      <c r="D5" s="161" t="s">
        <v>290</v>
      </c>
      <c r="E5" s="161" t="s">
        <v>291</v>
      </c>
      <c r="F5" s="161" t="s">
        <v>292</v>
      </c>
      <c r="G5" s="161" t="s">
        <v>293</v>
      </c>
      <c r="H5" s="161" t="s">
        <v>294</v>
      </c>
      <c r="I5" s="161" t="s">
        <v>296</v>
      </c>
      <c r="J5" s="161" t="s">
        <v>295</v>
      </c>
      <c r="K5" s="161" t="s">
        <v>297</v>
      </c>
      <c r="L5" s="161" t="s">
        <v>302</v>
      </c>
      <c r="M5" s="161" t="s">
        <v>303</v>
      </c>
      <c r="N5" s="161" t="s">
        <v>298</v>
      </c>
      <c r="O5" s="161" t="s">
        <v>304</v>
      </c>
      <c r="P5" s="161" t="s">
        <v>299</v>
      </c>
      <c r="Q5" s="161" t="s">
        <v>305</v>
      </c>
      <c r="R5" s="161" t="s">
        <v>300</v>
      </c>
      <c r="S5" s="161" t="s">
        <v>306</v>
      </c>
      <c r="T5" s="161" t="s">
        <v>301</v>
      </c>
      <c r="U5" s="306" t="s">
        <v>307</v>
      </c>
      <c r="V5" s="385"/>
      <c r="W5" s="390"/>
      <c r="X5" s="387"/>
      <c r="Y5" s="387"/>
      <c r="Z5" s="37"/>
      <c r="AA5" s="37"/>
      <c r="AB5" s="37"/>
      <c r="AC5" s="37"/>
      <c r="AD5" s="37"/>
      <c r="AE5" s="37"/>
      <c r="AF5" s="37"/>
    </row>
    <row r="6" spans="1:41" ht="16.5" thickBot="1">
      <c r="A6" s="391" t="s">
        <v>39</v>
      </c>
      <c r="B6" s="162" t="s">
        <v>126</v>
      </c>
      <c r="C6" s="154" t="s">
        <v>163</v>
      </c>
      <c r="D6" s="267">
        <v>15388000</v>
      </c>
      <c r="E6" s="267">
        <v>15388000</v>
      </c>
      <c r="F6" s="267">
        <v>3352000</v>
      </c>
      <c r="G6" s="267">
        <v>3352000</v>
      </c>
      <c r="H6" s="267">
        <v>102000</v>
      </c>
      <c r="I6" s="267">
        <v>102000</v>
      </c>
      <c r="J6" s="267">
        <v>0</v>
      </c>
      <c r="K6" s="267">
        <v>0</v>
      </c>
      <c r="L6" s="268">
        <v>0</v>
      </c>
      <c r="M6" s="297">
        <v>0</v>
      </c>
      <c r="N6" s="267">
        <v>92103299</v>
      </c>
      <c r="O6" s="307">
        <v>22110</v>
      </c>
      <c r="P6" s="268">
        <v>0</v>
      </c>
      <c r="Q6" s="297">
        <v>0</v>
      </c>
      <c r="R6" s="297">
        <v>0</v>
      </c>
      <c r="S6" s="297"/>
      <c r="T6" s="297">
        <v>0</v>
      </c>
      <c r="U6" s="297">
        <v>0</v>
      </c>
      <c r="V6" s="269">
        <f>+D6+F6+H6+J6+L6+N6+P6+R6+T6</f>
        <v>110945299</v>
      </c>
      <c r="W6" s="313">
        <f>+E6+G6+I6+K6+M6+O6+Q6+S6+U6</f>
        <v>18864110</v>
      </c>
      <c r="X6" s="292">
        <v>1</v>
      </c>
      <c r="Y6" s="292">
        <v>1</v>
      </c>
      <c r="Z6" s="110"/>
      <c r="AA6" s="37"/>
      <c r="AB6" s="37"/>
      <c r="AC6" s="37"/>
      <c r="AD6" s="37"/>
      <c r="AE6" s="37"/>
      <c r="AF6" s="37"/>
    </row>
    <row r="7" spans="1:41" ht="16.5" thickBot="1">
      <c r="A7" s="391"/>
      <c r="B7" s="162" t="s">
        <v>144</v>
      </c>
      <c r="C7" s="154" t="s">
        <v>225</v>
      </c>
      <c r="D7" s="267">
        <v>0</v>
      </c>
      <c r="E7" s="267">
        <v>0</v>
      </c>
      <c r="F7" s="267">
        <v>0</v>
      </c>
      <c r="G7" s="267">
        <v>0</v>
      </c>
      <c r="H7" s="267">
        <v>533000</v>
      </c>
      <c r="I7" s="267">
        <v>533000</v>
      </c>
      <c r="J7" s="267">
        <v>0</v>
      </c>
      <c r="K7" s="267">
        <v>0</v>
      </c>
      <c r="L7" s="268">
        <v>0</v>
      </c>
      <c r="M7" s="297">
        <v>0</v>
      </c>
      <c r="N7" s="274">
        <v>0</v>
      </c>
      <c r="O7" s="274">
        <v>0</v>
      </c>
      <c r="P7" s="268">
        <v>0</v>
      </c>
      <c r="Q7" s="297">
        <v>0</v>
      </c>
      <c r="R7" s="297">
        <v>0</v>
      </c>
      <c r="S7" s="297">
        <v>0</v>
      </c>
      <c r="T7" s="297">
        <v>0</v>
      </c>
      <c r="U7" s="297">
        <v>0</v>
      </c>
      <c r="V7" s="269">
        <f t="shared" ref="V7:V30" si="0">+D7+F7+H7+J7+L7+N7+P7+R7+T7</f>
        <v>533000</v>
      </c>
      <c r="W7" s="313">
        <f t="shared" ref="W7:W30" si="1">+E7+G7+I7+K7+M7+O7+Q7+S7+U7</f>
        <v>533000</v>
      </c>
      <c r="X7" s="292">
        <v>0</v>
      </c>
      <c r="Y7" s="292">
        <v>0</v>
      </c>
      <c r="Z7" s="110"/>
      <c r="AA7" s="37"/>
      <c r="AB7" s="37"/>
      <c r="AC7" s="37"/>
      <c r="AD7" s="37"/>
      <c r="AE7" s="37"/>
      <c r="AF7" s="37"/>
    </row>
    <row r="8" spans="1:41" ht="16.5" thickBot="1">
      <c r="A8" s="391"/>
      <c r="B8" s="162" t="s">
        <v>145</v>
      </c>
      <c r="C8" s="154" t="s">
        <v>164</v>
      </c>
      <c r="D8" s="267">
        <v>0</v>
      </c>
      <c r="E8" s="267">
        <v>0</v>
      </c>
      <c r="F8" s="267">
        <v>0</v>
      </c>
      <c r="G8" s="267">
        <v>0</v>
      </c>
      <c r="H8" s="267">
        <v>13015000</v>
      </c>
      <c r="I8" s="267">
        <v>13015000</v>
      </c>
      <c r="J8" s="267">
        <v>0</v>
      </c>
      <c r="K8" s="267">
        <v>0</v>
      </c>
      <c r="L8" s="268">
        <v>0</v>
      </c>
      <c r="M8" s="297">
        <v>0</v>
      </c>
      <c r="N8" s="267">
        <v>0</v>
      </c>
      <c r="O8" s="267">
        <v>0</v>
      </c>
      <c r="P8" s="268">
        <v>0</v>
      </c>
      <c r="Q8" s="297">
        <v>0</v>
      </c>
      <c r="R8" s="297">
        <v>300000</v>
      </c>
      <c r="S8" s="297">
        <v>0</v>
      </c>
      <c r="T8" s="297">
        <v>4500000</v>
      </c>
      <c r="U8" s="297">
        <v>4500000</v>
      </c>
      <c r="V8" s="269">
        <f t="shared" si="0"/>
        <v>17815000</v>
      </c>
      <c r="W8" s="313">
        <f>+E8+G8+I8+K8+M8+O8+Q8+S8+U8</f>
        <v>17515000</v>
      </c>
      <c r="X8" s="292">
        <v>0</v>
      </c>
      <c r="Y8" s="292">
        <v>0</v>
      </c>
      <c r="Z8" s="110"/>
      <c r="AA8" s="37"/>
      <c r="AB8" s="37"/>
      <c r="AC8" s="37"/>
      <c r="AD8" s="37"/>
      <c r="AE8" s="37"/>
      <c r="AF8" s="37"/>
    </row>
    <row r="9" spans="1:41" ht="16.5" thickBot="1">
      <c r="A9" s="391"/>
      <c r="B9" s="162" t="s">
        <v>269</v>
      </c>
      <c r="C9" s="154" t="s">
        <v>270</v>
      </c>
      <c r="D9" s="267">
        <v>0</v>
      </c>
      <c r="E9" s="267">
        <v>0</v>
      </c>
      <c r="F9" s="267">
        <v>0</v>
      </c>
      <c r="G9" s="267">
        <v>0</v>
      </c>
      <c r="H9" s="267">
        <v>0</v>
      </c>
      <c r="I9" s="267">
        <v>0</v>
      </c>
      <c r="J9" s="297">
        <v>2340400</v>
      </c>
      <c r="K9" s="297">
        <v>2340400</v>
      </c>
      <c r="L9" s="268">
        <v>0</v>
      </c>
      <c r="M9" s="297">
        <v>0</v>
      </c>
      <c r="N9" s="267">
        <v>0</v>
      </c>
      <c r="O9" s="267">
        <v>0</v>
      </c>
      <c r="P9" s="268">
        <v>0</v>
      </c>
      <c r="Q9" s="297">
        <v>0</v>
      </c>
      <c r="R9" s="297">
        <v>0</v>
      </c>
      <c r="S9" s="297">
        <v>0</v>
      </c>
      <c r="T9" s="297">
        <v>0</v>
      </c>
      <c r="U9" s="297">
        <v>0</v>
      </c>
      <c r="V9" s="269">
        <f t="shared" si="0"/>
        <v>2340400</v>
      </c>
      <c r="W9" s="313">
        <f t="shared" si="1"/>
        <v>2340400</v>
      </c>
      <c r="X9" s="292">
        <v>0</v>
      </c>
      <c r="Y9" s="292">
        <v>0</v>
      </c>
      <c r="Z9" s="110"/>
      <c r="AA9" s="37"/>
      <c r="AB9" s="37"/>
      <c r="AC9" s="37"/>
      <c r="AD9" s="37"/>
      <c r="AE9" s="37"/>
      <c r="AF9" s="37"/>
    </row>
    <row r="10" spans="1:41" ht="16.5" thickBot="1">
      <c r="A10" s="391"/>
      <c r="B10" s="162" t="s">
        <v>147</v>
      </c>
      <c r="C10" s="155" t="s">
        <v>166</v>
      </c>
      <c r="D10" s="267">
        <v>9771000</v>
      </c>
      <c r="E10" s="267">
        <v>24578923</v>
      </c>
      <c r="F10" s="267">
        <v>1017000</v>
      </c>
      <c r="G10" s="267">
        <v>2460772</v>
      </c>
      <c r="H10" s="267">
        <v>0</v>
      </c>
      <c r="I10" s="267">
        <v>1726061</v>
      </c>
      <c r="J10" s="267">
        <v>0</v>
      </c>
      <c r="K10" s="267">
        <v>0</v>
      </c>
      <c r="L10" s="268">
        <v>0</v>
      </c>
      <c r="M10" s="297">
        <v>0</v>
      </c>
      <c r="N10" s="267">
        <v>0</v>
      </c>
      <c r="O10" s="267">
        <v>0</v>
      </c>
      <c r="P10" s="268">
        <v>0</v>
      </c>
      <c r="Q10" s="297">
        <v>0</v>
      </c>
      <c r="R10" s="297">
        <v>0</v>
      </c>
      <c r="S10" s="297">
        <v>0</v>
      </c>
      <c r="T10" s="297">
        <v>0</v>
      </c>
      <c r="U10" s="297">
        <v>0</v>
      </c>
      <c r="V10" s="269">
        <f t="shared" si="0"/>
        <v>10788000</v>
      </c>
      <c r="W10" s="313">
        <f t="shared" si="1"/>
        <v>28765756</v>
      </c>
      <c r="X10" s="292">
        <v>55</v>
      </c>
      <c r="Y10" s="292">
        <v>35</v>
      </c>
      <c r="Z10" s="110"/>
      <c r="AA10" s="37"/>
      <c r="AB10" s="37"/>
      <c r="AC10" s="37"/>
      <c r="AD10" s="37"/>
      <c r="AE10" s="37"/>
      <c r="AF10" s="37"/>
    </row>
    <row r="11" spans="1:41" ht="16.5" thickBot="1">
      <c r="A11" s="391"/>
      <c r="B11" s="162" t="s">
        <v>288</v>
      </c>
      <c r="C11" s="155" t="s">
        <v>289</v>
      </c>
      <c r="D11" s="267"/>
      <c r="E11" s="267">
        <v>12718655</v>
      </c>
      <c r="F11" s="267">
        <v>0</v>
      </c>
      <c r="G11" s="267">
        <v>1240069</v>
      </c>
      <c r="H11" s="267">
        <v>0</v>
      </c>
      <c r="I11" s="267">
        <v>3501922</v>
      </c>
      <c r="J11" s="267">
        <v>0</v>
      </c>
      <c r="K11" s="267">
        <v>0</v>
      </c>
      <c r="L11" s="268">
        <v>0</v>
      </c>
      <c r="M11" s="268">
        <v>0</v>
      </c>
      <c r="N11" s="267">
        <v>0</v>
      </c>
      <c r="O11" s="267">
        <v>0</v>
      </c>
      <c r="P11" s="268">
        <v>0</v>
      </c>
      <c r="Q11" s="268">
        <v>0</v>
      </c>
      <c r="R11" s="297">
        <v>0</v>
      </c>
      <c r="S11" s="297">
        <v>0</v>
      </c>
      <c r="T11" s="297">
        <v>0</v>
      </c>
      <c r="U11" s="297">
        <v>0</v>
      </c>
      <c r="V11" s="269">
        <f t="shared" si="0"/>
        <v>0</v>
      </c>
      <c r="W11" s="313">
        <f t="shared" si="1"/>
        <v>17460646</v>
      </c>
      <c r="X11" s="292">
        <v>0</v>
      </c>
      <c r="Y11" s="292">
        <v>0</v>
      </c>
      <c r="Z11" s="110"/>
      <c r="AA11" s="37"/>
      <c r="AB11" s="37"/>
      <c r="AC11" s="37"/>
      <c r="AD11" s="37"/>
      <c r="AE11" s="37"/>
      <c r="AF11" s="37"/>
    </row>
    <row r="12" spans="1:41" ht="16.5" thickBot="1">
      <c r="A12" s="391"/>
      <c r="B12" s="162" t="s">
        <v>148</v>
      </c>
      <c r="C12" s="155" t="s">
        <v>167</v>
      </c>
      <c r="D12" s="267">
        <v>3180000</v>
      </c>
      <c r="E12" s="267">
        <v>3180000</v>
      </c>
      <c r="F12" s="267">
        <v>324000</v>
      </c>
      <c r="G12" s="267">
        <v>324000</v>
      </c>
      <c r="H12" s="267">
        <v>0</v>
      </c>
      <c r="I12" s="267">
        <v>0</v>
      </c>
      <c r="J12" s="267">
        <v>0</v>
      </c>
      <c r="K12" s="267">
        <v>0</v>
      </c>
      <c r="L12" s="268">
        <v>0</v>
      </c>
      <c r="M12" s="268">
        <v>0</v>
      </c>
      <c r="N12" s="267">
        <v>0</v>
      </c>
      <c r="O12" s="267">
        <v>0</v>
      </c>
      <c r="P12" s="268">
        <v>0</v>
      </c>
      <c r="Q12" s="268">
        <v>0</v>
      </c>
      <c r="R12" s="297">
        <v>0</v>
      </c>
      <c r="S12" s="297">
        <v>0</v>
      </c>
      <c r="T12" s="297">
        <v>0</v>
      </c>
      <c r="U12" s="297">
        <v>0</v>
      </c>
      <c r="V12" s="269">
        <f t="shared" si="0"/>
        <v>3504000</v>
      </c>
      <c r="W12" s="313">
        <f t="shared" si="1"/>
        <v>3504000</v>
      </c>
      <c r="X12" s="292">
        <v>13</v>
      </c>
      <c r="Y12" s="292">
        <v>16</v>
      </c>
      <c r="Z12" s="110"/>
      <c r="AA12" s="37"/>
      <c r="AB12" s="37"/>
      <c r="AC12" s="37"/>
      <c r="AD12" s="37"/>
      <c r="AE12" s="37"/>
      <c r="AF12" s="37"/>
    </row>
    <row r="13" spans="1:41" ht="16.5" thickBot="1">
      <c r="A13" s="391"/>
      <c r="B13" s="165" t="s">
        <v>149</v>
      </c>
      <c r="C13" s="155" t="s">
        <v>226</v>
      </c>
      <c r="D13" s="267">
        <v>0</v>
      </c>
      <c r="E13" s="267">
        <v>0</v>
      </c>
      <c r="F13" s="267">
        <v>0</v>
      </c>
      <c r="G13" s="267">
        <v>0</v>
      </c>
      <c r="H13" s="267">
        <v>4200000</v>
      </c>
      <c r="I13" s="267">
        <v>4200000</v>
      </c>
      <c r="J13" s="267">
        <v>0</v>
      </c>
      <c r="K13" s="267">
        <v>0</v>
      </c>
      <c r="L13" s="268">
        <v>0</v>
      </c>
      <c r="M13" s="268">
        <v>0</v>
      </c>
      <c r="N13" s="267">
        <v>0</v>
      </c>
      <c r="O13" s="267">
        <v>0</v>
      </c>
      <c r="P13" s="268">
        <v>0</v>
      </c>
      <c r="Q13" s="268">
        <v>0</v>
      </c>
      <c r="R13" s="297">
        <v>23447542</v>
      </c>
      <c r="S13" s="297">
        <v>23447542</v>
      </c>
      <c r="T13" s="297">
        <v>41745966</v>
      </c>
      <c r="U13" s="297">
        <v>41745966</v>
      </c>
      <c r="V13" s="269">
        <f t="shared" si="0"/>
        <v>69393508</v>
      </c>
      <c r="W13" s="313">
        <f t="shared" si="1"/>
        <v>69393508</v>
      </c>
      <c r="X13" s="292">
        <v>0</v>
      </c>
      <c r="Y13" s="292">
        <v>0</v>
      </c>
      <c r="Z13" s="110"/>
      <c r="AA13" s="37"/>
      <c r="AB13" s="37"/>
      <c r="AC13" s="37"/>
      <c r="AD13" s="37"/>
      <c r="AE13" s="37"/>
      <c r="AF13" s="37"/>
    </row>
    <row r="14" spans="1:41" ht="16.5" thickBot="1">
      <c r="A14" s="391"/>
      <c r="B14" s="162" t="s">
        <v>150</v>
      </c>
      <c r="C14" s="155" t="s">
        <v>227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267">
        <v>0</v>
      </c>
      <c r="J14" s="267">
        <v>140000</v>
      </c>
      <c r="K14" s="267">
        <v>140000</v>
      </c>
      <c r="L14" s="268">
        <v>0</v>
      </c>
      <c r="M14" s="268">
        <v>0</v>
      </c>
      <c r="N14" s="267">
        <v>0</v>
      </c>
      <c r="O14" s="267">
        <v>0</v>
      </c>
      <c r="P14" s="268">
        <v>0</v>
      </c>
      <c r="Q14" s="268">
        <v>0</v>
      </c>
      <c r="R14" s="297">
        <v>0</v>
      </c>
      <c r="S14" s="297">
        <v>0</v>
      </c>
      <c r="T14" s="297">
        <v>0</v>
      </c>
      <c r="U14" s="297">
        <v>0</v>
      </c>
      <c r="V14" s="269">
        <f t="shared" si="0"/>
        <v>140000</v>
      </c>
      <c r="W14" s="313">
        <f t="shared" si="1"/>
        <v>140000</v>
      </c>
      <c r="X14" s="292">
        <v>0</v>
      </c>
      <c r="Y14" s="292">
        <v>0</v>
      </c>
      <c r="Z14" s="110"/>
      <c r="AA14" s="37"/>
      <c r="AB14" s="37"/>
      <c r="AC14" s="37"/>
      <c r="AD14" s="37"/>
      <c r="AE14" s="37"/>
      <c r="AF14" s="37"/>
    </row>
    <row r="15" spans="1:41" ht="16.5" thickBot="1">
      <c r="A15" s="391"/>
      <c r="B15" s="162" t="s">
        <v>151</v>
      </c>
      <c r="C15" s="155" t="s">
        <v>168</v>
      </c>
      <c r="D15" s="267">
        <v>0</v>
      </c>
      <c r="E15" s="267">
        <v>0</v>
      </c>
      <c r="F15" s="267">
        <v>0</v>
      </c>
      <c r="G15" s="267">
        <v>0</v>
      </c>
      <c r="H15" s="267">
        <v>0</v>
      </c>
      <c r="I15" s="267">
        <v>1782000</v>
      </c>
      <c r="J15" s="267">
        <v>0</v>
      </c>
      <c r="K15" s="267">
        <v>0</v>
      </c>
      <c r="L15" s="268">
        <v>0</v>
      </c>
      <c r="M15" s="268">
        <v>0</v>
      </c>
      <c r="N15" s="267">
        <v>0</v>
      </c>
      <c r="O15" s="267">
        <v>27298156</v>
      </c>
      <c r="P15" s="268">
        <v>0</v>
      </c>
      <c r="Q15" s="268">
        <v>0</v>
      </c>
      <c r="R15" s="297">
        <v>0</v>
      </c>
      <c r="S15" s="297">
        <v>0</v>
      </c>
      <c r="T15" s="297">
        <v>0</v>
      </c>
      <c r="U15" s="297">
        <v>0</v>
      </c>
      <c r="V15" s="269">
        <f t="shared" si="0"/>
        <v>0</v>
      </c>
      <c r="W15" s="313">
        <f t="shared" si="1"/>
        <v>29080156</v>
      </c>
      <c r="X15" s="292">
        <v>0</v>
      </c>
      <c r="Y15" s="292">
        <v>0</v>
      </c>
      <c r="Z15" s="110"/>
      <c r="AA15" s="37"/>
      <c r="AB15" s="37"/>
      <c r="AC15" s="37"/>
      <c r="AD15" s="37"/>
      <c r="AE15" s="37"/>
      <c r="AF15" s="37"/>
    </row>
    <row r="16" spans="1:41" ht="16.5" thickBot="1">
      <c r="A16" s="391"/>
      <c r="B16" s="162" t="s">
        <v>152</v>
      </c>
      <c r="C16" s="155" t="s">
        <v>169</v>
      </c>
      <c r="D16" s="267">
        <v>0</v>
      </c>
      <c r="E16" s="267">
        <v>0</v>
      </c>
      <c r="F16" s="267">
        <v>0</v>
      </c>
      <c r="G16" s="267">
        <v>0</v>
      </c>
      <c r="H16" s="267">
        <v>380000</v>
      </c>
      <c r="I16" s="267">
        <v>380000</v>
      </c>
      <c r="J16" s="267">
        <v>0</v>
      </c>
      <c r="K16" s="267">
        <v>0</v>
      </c>
      <c r="L16" s="268">
        <v>0</v>
      </c>
      <c r="M16" s="268">
        <v>0</v>
      </c>
      <c r="N16" s="267">
        <v>0</v>
      </c>
      <c r="O16" s="267">
        <v>55503410</v>
      </c>
      <c r="P16" s="268">
        <v>0</v>
      </c>
      <c r="Q16" s="268">
        <v>0</v>
      </c>
      <c r="R16" s="297">
        <v>0</v>
      </c>
      <c r="S16" s="297">
        <v>300000</v>
      </c>
      <c r="T16" s="297">
        <v>0</v>
      </c>
      <c r="U16" s="297">
        <v>96462</v>
      </c>
      <c r="V16" s="269">
        <f t="shared" si="0"/>
        <v>380000</v>
      </c>
      <c r="W16" s="313">
        <f t="shared" si="1"/>
        <v>56279872</v>
      </c>
      <c r="X16" s="292">
        <v>0</v>
      </c>
      <c r="Y16" s="292">
        <v>0</v>
      </c>
      <c r="Z16" s="110"/>
      <c r="AA16" s="37"/>
      <c r="AB16" s="37"/>
      <c r="AC16" s="37"/>
      <c r="AD16" s="37"/>
      <c r="AE16" s="37"/>
      <c r="AF16" s="37"/>
    </row>
    <row r="17" spans="1:32" ht="16.5" thickBot="1">
      <c r="A17" s="391"/>
      <c r="B17" s="162" t="s">
        <v>153</v>
      </c>
      <c r="C17" s="155" t="s">
        <v>49</v>
      </c>
      <c r="D17" s="267">
        <v>0</v>
      </c>
      <c r="E17" s="267">
        <v>0</v>
      </c>
      <c r="F17" s="267">
        <v>0</v>
      </c>
      <c r="G17" s="267">
        <v>0</v>
      </c>
      <c r="H17" s="267">
        <v>6400000</v>
      </c>
      <c r="I17" s="267">
        <v>6400000</v>
      </c>
      <c r="J17" s="267">
        <v>0</v>
      </c>
      <c r="K17" s="267">
        <v>0</v>
      </c>
      <c r="L17" s="268">
        <v>0</v>
      </c>
      <c r="M17" s="268">
        <v>0</v>
      </c>
      <c r="N17" s="267">
        <v>0</v>
      </c>
      <c r="O17" s="267">
        <v>0</v>
      </c>
      <c r="P17" s="268">
        <v>0</v>
      </c>
      <c r="Q17" s="268">
        <v>0</v>
      </c>
      <c r="R17" s="297">
        <v>0</v>
      </c>
      <c r="S17" s="297">
        <v>0</v>
      </c>
      <c r="T17" s="297">
        <v>0</v>
      </c>
      <c r="U17" s="297">
        <v>0</v>
      </c>
      <c r="V17" s="269">
        <f t="shared" si="0"/>
        <v>6400000</v>
      </c>
      <c r="W17" s="313">
        <f t="shared" si="1"/>
        <v>6400000</v>
      </c>
      <c r="X17" s="292">
        <v>0</v>
      </c>
      <c r="Y17" s="292">
        <v>0</v>
      </c>
      <c r="Z17" s="110"/>
      <c r="AA17" s="37"/>
      <c r="AB17" s="37"/>
      <c r="AC17" s="37"/>
      <c r="AD17" s="37"/>
      <c r="AE17" s="37"/>
      <c r="AF17" s="37"/>
    </row>
    <row r="18" spans="1:32" ht="16.5" thickBot="1">
      <c r="A18" s="391"/>
      <c r="B18" s="162" t="s">
        <v>128</v>
      </c>
      <c r="C18" s="271" t="s">
        <v>127</v>
      </c>
      <c r="D18" s="267">
        <v>2150000</v>
      </c>
      <c r="E18" s="267">
        <v>2150000</v>
      </c>
      <c r="F18" s="267">
        <v>425000</v>
      </c>
      <c r="G18" s="267">
        <v>425000</v>
      </c>
      <c r="H18" s="267">
        <v>1960000</v>
      </c>
      <c r="I18" s="267">
        <v>1960000</v>
      </c>
      <c r="J18" s="267">
        <v>0</v>
      </c>
      <c r="K18" s="267">
        <v>0</v>
      </c>
      <c r="L18" s="268">
        <v>0</v>
      </c>
      <c r="M18" s="268">
        <v>0</v>
      </c>
      <c r="N18" s="267">
        <v>0</v>
      </c>
      <c r="O18" s="267">
        <v>0</v>
      </c>
      <c r="P18" s="268">
        <v>0</v>
      </c>
      <c r="Q18" s="268">
        <v>0</v>
      </c>
      <c r="R18" s="297">
        <v>0</v>
      </c>
      <c r="S18" s="297">
        <v>0</v>
      </c>
      <c r="T18" s="297">
        <v>0</v>
      </c>
      <c r="U18" s="297">
        <v>0</v>
      </c>
      <c r="V18" s="269">
        <f t="shared" si="0"/>
        <v>4535000</v>
      </c>
      <c r="W18" s="313">
        <f t="shared" si="1"/>
        <v>4535000</v>
      </c>
      <c r="X18" s="292">
        <v>1</v>
      </c>
      <c r="Y18" s="292">
        <v>1</v>
      </c>
      <c r="Z18" s="110"/>
      <c r="AA18" s="37"/>
      <c r="AB18" s="37"/>
      <c r="AC18" s="37"/>
      <c r="AD18" s="37"/>
      <c r="AE18" s="37"/>
      <c r="AF18" s="37"/>
    </row>
    <row r="19" spans="1:32" ht="16.5" thickBot="1">
      <c r="A19" s="391"/>
      <c r="B19" s="162" t="s">
        <v>129</v>
      </c>
      <c r="C19" s="271" t="s">
        <v>170</v>
      </c>
      <c r="D19" s="267">
        <v>18232000</v>
      </c>
      <c r="E19" s="267">
        <v>18232000</v>
      </c>
      <c r="F19" s="267">
        <v>3475000</v>
      </c>
      <c r="G19" s="267">
        <v>3475000</v>
      </c>
      <c r="H19" s="267">
        <v>13970000</v>
      </c>
      <c r="I19" s="267">
        <v>13970000</v>
      </c>
      <c r="J19" s="267">
        <v>3260000</v>
      </c>
      <c r="K19" s="267">
        <v>3260000</v>
      </c>
      <c r="L19" s="268">
        <v>0</v>
      </c>
      <c r="M19" s="268">
        <v>0</v>
      </c>
      <c r="N19" s="267">
        <v>0</v>
      </c>
      <c r="O19" s="267">
        <v>77430</v>
      </c>
      <c r="P19" s="268">
        <v>0</v>
      </c>
      <c r="Q19" s="268">
        <v>0</v>
      </c>
      <c r="R19" s="297">
        <v>570000</v>
      </c>
      <c r="S19" s="297">
        <v>450000</v>
      </c>
      <c r="T19" s="297">
        <v>4189100</v>
      </c>
      <c r="U19" s="297">
        <v>4189100</v>
      </c>
      <c r="V19" s="269">
        <f t="shared" si="0"/>
        <v>43696100</v>
      </c>
      <c r="W19" s="313">
        <f t="shared" si="1"/>
        <v>43653530</v>
      </c>
      <c r="X19" s="292">
        <v>7</v>
      </c>
      <c r="Y19" s="292">
        <v>7</v>
      </c>
      <c r="Z19" s="110"/>
      <c r="AA19" s="37"/>
      <c r="AB19" s="37"/>
      <c r="AC19" s="37"/>
      <c r="AD19" s="37"/>
      <c r="AE19" s="37"/>
      <c r="AF19" s="37"/>
    </row>
    <row r="20" spans="1:32" ht="16.5" thickBot="1">
      <c r="A20" s="391"/>
      <c r="B20" s="162" t="s">
        <v>154</v>
      </c>
      <c r="C20" s="155" t="s">
        <v>171</v>
      </c>
      <c r="D20" s="267">
        <v>0</v>
      </c>
      <c r="E20" s="267">
        <v>0</v>
      </c>
      <c r="F20" s="267">
        <v>0</v>
      </c>
      <c r="G20" s="267">
        <v>0</v>
      </c>
      <c r="H20" s="267">
        <v>1200000</v>
      </c>
      <c r="I20" s="267">
        <v>1200000</v>
      </c>
      <c r="J20" s="267">
        <v>90000</v>
      </c>
      <c r="K20" s="267">
        <v>90000</v>
      </c>
      <c r="L20" s="268">
        <v>0</v>
      </c>
      <c r="M20" s="268">
        <v>0</v>
      </c>
      <c r="N20" s="267">
        <v>0</v>
      </c>
      <c r="O20" s="267">
        <v>0</v>
      </c>
      <c r="P20" s="268">
        <v>0</v>
      </c>
      <c r="Q20" s="268">
        <v>0</v>
      </c>
      <c r="R20" s="297">
        <v>153625000</v>
      </c>
      <c r="S20" s="297">
        <v>153625000</v>
      </c>
      <c r="T20" s="297">
        <v>0</v>
      </c>
      <c r="U20" s="297">
        <v>0</v>
      </c>
      <c r="V20" s="269">
        <f t="shared" si="0"/>
        <v>154915000</v>
      </c>
      <c r="W20" s="313">
        <f t="shared" si="1"/>
        <v>154915000</v>
      </c>
      <c r="X20" s="292">
        <v>0</v>
      </c>
      <c r="Y20" s="292">
        <v>0</v>
      </c>
      <c r="Z20" s="110"/>
      <c r="AA20" s="37"/>
      <c r="AB20" s="37"/>
      <c r="AC20" s="37"/>
      <c r="AD20" s="37"/>
      <c r="AE20" s="37"/>
      <c r="AF20" s="37"/>
    </row>
    <row r="21" spans="1:32" ht="16.5" thickBot="1">
      <c r="A21" s="391"/>
      <c r="B21" s="162" t="s">
        <v>155</v>
      </c>
      <c r="C21" s="155" t="s">
        <v>172</v>
      </c>
      <c r="D21" s="267">
        <v>0</v>
      </c>
      <c r="E21" s="267">
        <v>0</v>
      </c>
      <c r="F21" s="267">
        <v>0</v>
      </c>
      <c r="G21" s="267">
        <v>0</v>
      </c>
      <c r="H21" s="267">
        <v>0</v>
      </c>
      <c r="I21" s="267">
        <v>0</v>
      </c>
      <c r="J21" s="267">
        <v>0</v>
      </c>
      <c r="K21" s="267">
        <v>0</v>
      </c>
      <c r="L21" s="268">
        <v>0</v>
      </c>
      <c r="M21" s="268">
        <v>0</v>
      </c>
      <c r="N21" s="267">
        <v>0</v>
      </c>
      <c r="O21" s="267">
        <v>0</v>
      </c>
      <c r="P21" s="268">
        <v>0</v>
      </c>
      <c r="Q21" s="268">
        <v>0</v>
      </c>
      <c r="R21" s="297">
        <v>0</v>
      </c>
      <c r="S21" s="297">
        <v>0</v>
      </c>
      <c r="T21" s="297">
        <v>0</v>
      </c>
      <c r="U21" s="297">
        <v>0</v>
      </c>
      <c r="V21" s="269">
        <f t="shared" si="0"/>
        <v>0</v>
      </c>
      <c r="W21" s="313">
        <f t="shared" si="1"/>
        <v>0</v>
      </c>
      <c r="X21" s="292">
        <v>0</v>
      </c>
      <c r="Y21" s="292">
        <v>0</v>
      </c>
      <c r="Z21" s="110"/>
      <c r="AA21" s="37"/>
      <c r="AB21" s="37"/>
      <c r="AC21" s="37"/>
      <c r="AD21" s="37"/>
      <c r="AE21" s="37"/>
      <c r="AF21" s="37"/>
    </row>
    <row r="22" spans="1:32" ht="16.5" thickBot="1">
      <c r="A22" s="391"/>
      <c r="B22" s="162" t="s">
        <v>130</v>
      </c>
      <c r="C22" s="154" t="s">
        <v>50</v>
      </c>
      <c r="D22" s="267">
        <v>10750000</v>
      </c>
      <c r="E22" s="267">
        <v>10750000</v>
      </c>
      <c r="F22" s="267">
        <v>2110000</v>
      </c>
      <c r="G22" s="267">
        <v>2110000</v>
      </c>
      <c r="H22" s="267">
        <v>1095000</v>
      </c>
      <c r="I22" s="267">
        <v>1095000</v>
      </c>
      <c r="J22" s="267">
        <v>0</v>
      </c>
      <c r="K22" s="267">
        <v>0</v>
      </c>
      <c r="L22" s="268">
        <v>0</v>
      </c>
      <c r="M22" s="268">
        <v>0</v>
      </c>
      <c r="N22" s="267">
        <v>0</v>
      </c>
      <c r="O22" s="267">
        <v>0</v>
      </c>
      <c r="P22" s="268">
        <v>0</v>
      </c>
      <c r="Q22" s="268">
        <v>0</v>
      </c>
      <c r="R22" s="297">
        <v>0</v>
      </c>
      <c r="S22" s="297">
        <v>0</v>
      </c>
      <c r="T22" s="297">
        <v>0</v>
      </c>
      <c r="U22" s="297">
        <v>0</v>
      </c>
      <c r="V22" s="269">
        <f t="shared" si="0"/>
        <v>13955000</v>
      </c>
      <c r="W22" s="313">
        <f t="shared" si="1"/>
        <v>13955000</v>
      </c>
      <c r="X22" s="292">
        <v>3</v>
      </c>
      <c r="Y22" s="292">
        <v>3</v>
      </c>
      <c r="Z22" s="110"/>
      <c r="AA22" s="37"/>
      <c r="AB22" s="37"/>
      <c r="AC22" s="37"/>
      <c r="AD22" s="37"/>
      <c r="AE22" s="37"/>
      <c r="AF22" s="37"/>
    </row>
    <row r="23" spans="1:32" ht="16.5" thickBot="1">
      <c r="A23" s="391"/>
      <c r="B23" s="164" t="s">
        <v>157</v>
      </c>
      <c r="C23" s="272" t="s">
        <v>174</v>
      </c>
      <c r="D23" s="267">
        <v>320000</v>
      </c>
      <c r="E23" s="267">
        <v>320000</v>
      </c>
      <c r="F23" s="267">
        <v>64000</v>
      </c>
      <c r="G23" s="267">
        <v>64000</v>
      </c>
      <c r="H23" s="267">
        <v>1572000</v>
      </c>
      <c r="I23" s="267">
        <v>1572000</v>
      </c>
      <c r="J23" s="267">
        <v>1500000</v>
      </c>
      <c r="K23" s="267">
        <v>1500000</v>
      </c>
      <c r="L23" s="268">
        <v>0</v>
      </c>
      <c r="M23" s="268">
        <v>0</v>
      </c>
      <c r="N23" s="267">
        <v>0</v>
      </c>
      <c r="O23" s="267">
        <v>0</v>
      </c>
      <c r="P23" s="268">
        <v>0</v>
      </c>
      <c r="Q23" s="268">
        <v>0</v>
      </c>
      <c r="R23" s="297">
        <v>0</v>
      </c>
      <c r="S23" s="297">
        <v>0</v>
      </c>
      <c r="T23" s="297">
        <v>0</v>
      </c>
      <c r="U23" s="297">
        <v>0</v>
      </c>
      <c r="V23" s="269">
        <f t="shared" si="0"/>
        <v>3456000</v>
      </c>
      <c r="W23" s="313">
        <f t="shared" si="1"/>
        <v>3456000</v>
      </c>
      <c r="X23" s="292">
        <v>0</v>
      </c>
      <c r="Y23" s="292">
        <v>0</v>
      </c>
      <c r="Z23" s="110"/>
      <c r="AA23" s="37"/>
      <c r="AB23" s="37"/>
      <c r="AC23" s="37"/>
      <c r="AD23" s="37"/>
      <c r="AE23" s="37"/>
      <c r="AF23" s="37"/>
    </row>
    <row r="24" spans="1:32" ht="16.5" thickBot="1">
      <c r="A24" s="391"/>
      <c r="B24" s="162" t="s">
        <v>228</v>
      </c>
      <c r="C24" s="154" t="s">
        <v>175</v>
      </c>
      <c r="D24" s="267">
        <v>0</v>
      </c>
      <c r="E24" s="267">
        <v>0</v>
      </c>
      <c r="F24" s="267">
        <v>0</v>
      </c>
      <c r="G24" s="267">
        <v>0</v>
      </c>
      <c r="H24" s="267">
        <v>0</v>
      </c>
      <c r="I24" s="267">
        <v>0</v>
      </c>
      <c r="J24" s="267">
        <v>67134309</v>
      </c>
      <c r="K24" s="267">
        <v>80277793</v>
      </c>
      <c r="L24" s="268">
        <v>0</v>
      </c>
      <c r="M24" s="268">
        <v>0</v>
      </c>
      <c r="N24" s="267">
        <v>0</v>
      </c>
      <c r="O24" s="267">
        <v>0</v>
      </c>
      <c r="P24" s="268">
        <v>0</v>
      </c>
      <c r="Q24" s="268">
        <v>0</v>
      </c>
      <c r="R24" s="297">
        <v>0</v>
      </c>
      <c r="S24" s="297">
        <v>0</v>
      </c>
      <c r="T24" s="297">
        <v>0</v>
      </c>
      <c r="U24" s="297">
        <v>0</v>
      </c>
      <c r="V24" s="269">
        <f t="shared" si="0"/>
        <v>67134309</v>
      </c>
      <c r="W24" s="313">
        <f t="shared" si="1"/>
        <v>80277793</v>
      </c>
      <c r="X24" s="292">
        <v>0</v>
      </c>
      <c r="Y24" s="292">
        <v>0</v>
      </c>
      <c r="Z24" s="110"/>
      <c r="AA24" s="37"/>
      <c r="AB24" s="37"/>
      <c r="AC24" s="37"/>
      <c r="AD24" s="37"/>
      <c r="AE24" s="37"/>
      <c r="AF24" s="37"/>
    </row>
    <row r="25" spans="1:32" ht="16.5" thickBot="1">
      <c r="A25" s="391"/>
      <c r="B25" s="162" t="s">
        <v>131</v>
      </c>
      <c r="C25" s="154" t="s">
        <v>176</v>
      </c>
      <c r="D25" s="267">
        <v>0</v>
      </c>
      <c r="E25" s="267">
        <v>0</v>
      </c>
      <c r="F25" s="267">
        <v>0</v>
      </c>
      <c r="G25" s="267">
        <v>0</v>
      </c>
      <c r="H25" s="267">
        <v>0</v>
      </c>
      <c r="I25" s="267">
        <v>0</v>
      </c>
      <c r="J25" s="267">
        <v>0</v>
      </c>
      <c r="K25" s="267">
        <v>0</v>
      </c>
      <c r="L25" s="268">
        <v>0</v>
      </c>
      <c r="M25" s="267">
        <v>0</v>
      </c>
      <c r="N25" s="267">
        <v>0</v>
      </c>
      <c r="O25" s="267">
        <v>0</v>
      </c>
      <c r="P25" s="268">
        <v>0</v>
      </c>
      <c r="Q25" s="297">
        <v>0</v>
      </c>
      <c r="R25" s="297">
        <v>0</v>
      </c>
      <c r="S25" s="297">
        <v>0</v>
      </c>
      <c r="T25" s="297">
        <v>0</v>
      </c>
      <c r="U25" s="297">
        <v>0</v>
      </c>
      <c r="V25" s="269">
        <f t="shared" si="0"/>
        <v>0</v>
      </c>
      <c r="W25" s="313">
        <f t="shared" si="1"/>
        <v>0</v>
      </c>
      <c r="X25" s="292">
        <v>0</v>
      </c>
      <c r="Y25" s="292">
        <v>0</v>
      </c>
      <c r="Z25" s="110"/>
      <c r="AA25" s="37"/>
      <c r="AB25" s="37"/>
      <c r="AC25" s="37"/>
      <c r="AD25" s="37"/>
      <c r="AE25" s="37"/>
      <c r="AF25" s="37"/>
    </row>
    <row r="26" spans="1:32" ht="16.5" thickBot="1">
      <c r="A26" s="391"/>
      <c r="B26" s="162" t="s">
        <v>160</v>
      </c>
      <c r="C26" s="272" t="s">
        <v>132</v>
      </c>
      <c r="D26" s="267">
        <v>4390000</v>
      </c>
      <c r="E26" s="267">
        <v>4390000</v>
      </c>
      <c r="F26" s="267">
        <v>850000</v>
      </c>
      <c r="G26" s="267">
        <v>850000</v>
      </c>
      <c r="H26" s="267">
        <v>2110000</v>
      </c>
      <c r="I26" s="267">
        <v>2110000</v>
      </c>
      <c r="J26" s="267">
        <v>0</v>
      </c>
      <c r="K26" s="267">
        <v>0</v>
      </c>
      <c r="L26" s="268">
        <v>0</v>
      </c>
      <c r="M26" s="267">
        <v>0</v>
      </c>
      <c r="N26" s="267">
        <v>0</v>
      </c>
      <c r="O26" s="267">
        <v>0</v>
      </c>
      <c r="P26" s="268">
        <v>0</v>
      </c>
      <c r="Q26" s="297">
        <v>0</v>
      </c>
      <c r="R26" s="297">
        <v>812024</v>
      </c>
      <c r="S26" s="297">
        <v>932024</v>
      </c>
      <c r="T26" s="297">
        <v>0</v>
      </c>
      <c r="U26" s="297">
        <v>0</v>
      </c>
      <c r="V26" s="269">
        <f t="shared" si="0"/>
        <v>8162024</v>
      </c>
      <c r="W26" s="313">
        <f t="shared" si="1"/>
        <v>8282024</v>
      </c>
      <c r="X26" s="292">
        <v>2</v>
      </c>
      <c r="Y26" s="292">
        <v>2</v>
      </c>
      <c r="Z26" s="110"/>
      <c r="AA26" s="37"/>
      <c r="AB26" s="37"/>
      <c r="AC26" s="37"/>
      <c r="AD26" s="37"/>
      <c r="AE26" s="37"/>
      <c r="AF26" s="37"/>
    </row>
    <row r="27" spans="1:32" ht="16.5" thickBot="1">
      <c r="A27" s="391"/>
      <c r="B27" s="162" t="s">
        <v>161</v>
      </c>
      <c r="C27" s="154" t="s">
        <v>177</v>
      </c>
      <c r="D27" s="267">
        <v>0</v>
      </c>
      <c r="E27" s="267">
        <v>0</v>
      </c>
      <c r="F27" s="267">
        <v>0</v>
      </c>
      <c r="G27" s="267">
        <v>0</v>
      </c>
      <c r="H27" s="267">
        <v>762000</v>
      </c>
      <c r="I27" s="267">
        <v>762000</v>
      </c>
      <c r="J27" s="267">
        <v>0</v>
      </c>
      <c r="K27" s="267">
        <v>0</v>
      </c>
      <c r="L27" s="268">
        <v>0</v>
      </c>
      <c r="M27" s="267">
        <v>0</v>
      </c>
      <c r="N27" s="267">
        <v>0</v>
      </c>
      <c r="O27" s="267">
        <v>6007319</v>
      </c>
      <c r="P27" s="268">
        <v>0</v>
      </c>
      <c r="Q27" s="297">
        <v>0</v>
      </c>
      <c r="R27" s="297">
        <v>292681</v>
      </c>
      <c r="S27" s="297">
        <v>292681</v>
      </c>
      <c r="T27" s="297">
        <v>0</v>
      </c>
      <c r="U27" s="297">
        <v>0</v>
      </c>
      <c r="V27" s="269">
        <f t="shared" si="0"/>
        <v>1054681</v>
      </c>
      <c r="W27" s="313">
        <f t="shared" si="1"/>
        <v>7062000</v>
      </c>
      <c r="X27" s="292">
        <v>0</v>
      </c>
      <c r="Y27" s="292">
        <v>0</v>
      </c>
      <c r="Z27" s="110"/>
      <c r="AA27" s="37"/>
      <c r="AB27" s="37"/>
      <c r="AC27" s="37"/>
      <c r="AD27" s="37"/>
      <c r="AE27" s="37"/>
      <c r="AF27" s="37"/>
    </row>
    <row r="28" spans="1:32" ht="16.5" thickBot="1">
      <c r="A28" s="391"/>
      <c r="B28" s="162" t="s">
        <v>162</v>
      </c>
      <c r="C28" s="154" t="s">
        <v>178</v>
      </c>
      <c r="D28" s="267">
        <v>0</v>
      </c>
      <c r="E28" s="267">
        <v>0</v>
      </c>
      <c r="F28" s="267">
        <v>0</v>
      </c>
      <c r="G28" s="267">
        <v>0</v>
      </c>
      <c r="H28" s="267">
        <v>20000</v>
      </c>
      <c r="I28" s="267">
        <v>95090</v>
      </c>
      <c r="J28" s="267">
        <v>500000</v>
      </c>
      <c r="K28" s="267">
        <v>500000</v>
      </c>
      <c r="L28" s="268">
        <f>700000+1600000</f>
        <v>2300000</v>
      </c>
      <c r="M28" s="268">
        <f>700000+1600000</f>
        <v>2300000</v>
      </c>
      <c r="N28" s="267">
        <v>0</v>
      </c>
      <c r="O28" s="267">
        <v>0</v>
      </c>
      <c r="P28" s="268">
        <v>0</v>
      </c>
      <c r="Q28" s="297">
        <v>0</v>
      </c>
      <c r="R28" s="297">
        <v>0</v>
      </c>
      <c r="S28" s="297">
        <v>0</v>
      </c>
      <c r="T28" s="297">
        <v>0</v>
      </c>
      <c r="U28" s="297">
        <v>0</v>
      </c>
      <c r="V28" s="269">
        <f t="shared" si="0"/>
        <v>2820000</v>
      </c>
      <c r="W28" s="313">
        <f t="shared" si="1"/>
        <v>2895090</v>
      </c>
      <c r="X28" s="292">
        <v>0</v>
      </c>
      <c r="Y28" s="292">
        <v>0</v>
      </c>
      <c r="Z28" s="110"/>
      <c r="AA28" s="37"/>
      <c r="AB28" s="37"/>
      <c r="AC28" s="37"/>
      <c r="AD28" s="37"/>
      <c r="AE28" s="37"/>
      <c r="AF28" s="37"/>
    </row>
    <row r="29" spans="1:32" ht="16.5" thickBot="1">
      <c r="A29" s="391"/>
      <c r="B29" s="162" t="s">
        <v>184</v>
      </c>
      <c r="C29" s="268">
        <v>567000</v>
      </c>
      <c r="D29" s="267">
        <v>0</v>
      </c>
      <c r="E29" s="267">
        <v>0</v>
      </c>
      <c r="F29" s="267">
        <v>0</v>
      </c>
      <c r="G29" s="267">
        <v>0</v>
      </c>
      <c r="H29" s="267">
        <v>0</v>
      </c>
      <c r="I29" s="267">
        <v>0</v>
      </c>
      <c r="J29" s="267">
        <v>0</v>
      </c>
      <c r="K29" s="267">
        <v>0</v>
      </c>
      <c r="L29" s="268">
        <v>0</v>
      </c>
      <c r="M29" s="267">
        <v>0</v>
      </c>
      <c r="N29" s="267">
        <v>0</v>
      </c>
      <c r="O29" s="267">
        <v>0</v>
      </c>
      <c r="P29" s="268">
        <v>0</v>
      </c>
      <c r="Q29" s="297">
        <v>0</v>
      </c>
      <c r="R29" s="297">
        <v>2050000</v>
      </c>
      <c r="S29" s="297">
        <v>2050000</v>
      </c>
      <c r="T29" s="297">
        <v>0</v>
      </c>
      <c r="U29" s="297">
        <v>0</v>
      </c>
      <c r="V29" s="269">
        <f t="shared" si="0"/>
        <v>2050000</v>
      </c>
      <c r="W29" s="313">
        <f t="shared" si="1"/>
        <v>2050000</v>
      </c>
      <c r="X29" s="292">
        <v>0</v>
      </c>
      <c r="Y29" s="292">
        <v>0</v>
      </c>
      <c r="Z29" s="110"/>
      <c r="AA29" s="37"/>
      <c r="AB29" s="37"/>
      <c r="AC29" s="37"/>
      <c r="AD29" s="37"/>
      <c r="AE29" s="37"/>
      <c r="AF29" s="37"/>
    </row>
    <row r="30" spans="1:32" ht="16.5" thickBot="1">
      <c r="A30" s="391"/>
      <c r="B30" s="162" t="s">
        <v>229</v>
      </c>
      <c r="C30" s="154" t="s">
        <v>230</v>
      </c>
      <c r="D30" s="267">
        <v>0</v>
      </c>
      <c r="E30" s="267">
        <v>0</v>
      </c>
      <c r="F30" s="267">
        <v>0</v>
      </c>
      <c r="G30" s="267">
        <v>0</v>
      </c>
      <c r="H30" s="267">
        <v>0</v>
      </c>
      <c r="I30" s="267">
        <v>0</v>
      </c>
      <c r="J30" s="267">
        <v>0</v>
      </c>
      <c r="K30" s="267">
        <v>0</v>
      </c>
      <c r="L30" s="268">
        <v>0</v>
      </c>
      <c r="M30" s="267">
        <v>0</v>
      </c>
      <c r="N30" s="267">
        <v>0</v>
      </c>
      <c r="O30" s="267">
        <v>0</v>
      </c>
      <c r="P30" s="268">
        <v>9649634</v>
      </c>
      <c r="Q30" s="268">
        <v>9649634</v>
      </c>
      <c r="R30" s="267">
        <v>0</v>
      </c>
      <c r="S30" s="297">
        <v>0</v>
      </c>
      <c r="T30" s="267">
        <v>0</v>
      </c>
      <c r="U30" s="297">
        <v>0</v>
      </c>
      <c r="V30" s="269">
        <f t="shared" si="0"/>
        <v>9649634</v>
      </c>
      <c r="W30" s="313">
        <f t="shared" si="1"/>
        <v>9649634</v>
      </c>
      <c r="X30" s="292">
        <v>0</v>
      </c>
      <c r="Y30" s="292">
        <v>0</v>
      </c>
      <c r="Z30" s="110"/>
      <c r="AA30" s="37"/>
      <c r="AB30" s="37"/>
      <c r="AC30" s="37"/>
      <c r="AD30" s="37"/>
      <c r="AE30" s="37"/>
      <c r="AF30" s="37"/>
    </row>
    <row r="31" spans="1:32" ht="16.5" thickBot="1">
      <c r="A31" s="391"/>
      <c r="B31" s="156" t="s">
        <v>51</v>
      </c>
      <c r="C31" s="156"/>
      <c r="D31" s="269">
        <f>SUM(D6:D30)</f>
        <v>64181000</v>
      </c>
      <c r="E31" s="269">
        <f t="shared" ref="E31:U31" si="2">SUM(E6:E30)</f>
        <v>91707578</v>
      </c>
      <c r="F31" s="269">
        <f t="shared" si="2"/>
        <v>11617000</v>
      </c>
      <c r="G31" s="269">
        <f t="shared" si="2"/>
        <v>14300841</v>
      </c>
      <c r="H31" s="269">
        <f t="shared" si="2"/>
        <v>47319000</v>
      </c>
      <c r="I31" s="269">
        <f t="shared" si="2"/>
        <v>54404073</v>
      </c>
      <c r="J31" s="269">
        <f t="shared" si="2"/>
        <v>74964709</v>
      </c>
      <c r="K31" s="269">
        <f t="shared" si="2"/>
        <v>88108193</v>
      </c>
      <c r="L31" s="269">
        <f t="shared" si="2"/>
        <v>2300000</v>
      </c>
      <c r="M31" s="269">
        <f t="shared" si="2"/>
        <v>2300000</v>
      </c>
      <c r="N31" s="269">
        <f t="shared" si="2"/>
        <v>92103299</v>
      </c>
      <c r="O31" s="269">
        <f t="shared" si="2"/>
        <v>88908425</v>
      </c>
      <c r="P31" s="269">
        <f t="shared" si="2"/>
        <v>9649634</v>
      </c>
      <c r="Q31" s="269">
        <f t="shared" si="2"/>
        <v>9649634</v>
      </c>
      <c r="R31" s="269">
        <f t="shared" si="2"/>
        <v>181097247</v>
      </c>
      <c r="S31" s="269">
        <f t="shared" si="2"/>
        <v>181097247</v>
      </c>
      <c r="T31" s="269">
        <f t="shared" si="2"/>
        <v>50435066</v>
      </c>
      <c r="U31" s="269">
        <f t="shared" si="2"/>
        <v>50531528</v>
      </c>
      <c r="V31" s="269">
        <f>SUM(V6:V30)</f>
        <v>533666955</v>
      </c>
      <c r="W31" s="313">
        <f>+SUM(W6:W30)</f>
        <v>581007519</v>
      </c>
      <c r="X31" s="298">
        <f>SUM(X6:X30)</f>
        <v>82</v>
      </c>
      <c r="Y31" s="298">
        <f>SUM(Y6:Y30)</f>
        <v>65</v>
      </c>
      <c r="Z31" s="44"/>
      <c r="AA31" s="37"/>
      <c r="AB31" s="110"/>
      <c r="AC31" s="110"/>
      <c r="AD31" s="37"/>
      <c r="AE31" s="37"/>
      <c r="AF31" s="37"/>
    </row>
    <row r="32" spans="1:32" ht="16.5" thickBot="1">
      <c r="A32" s="391"/>
      <c r="B32" s="162" t="s">
        <v>156</v>
      </c>
      <c r="C32" s="154" t="s">
        <v>173</v>
      </c>
      <c r="D32" s="267">
        <v>771000</v>
      </c>
      <c r="E32" s="267">
        <v>771000</v>
      </c>
      <c r="F32" s="267">
        <v>152000</v>
      </c>
      <c r="G32" s="267">
        <v>152000</v>
      </c>
      <c r="H32" s="267">
        <v>260000</v>
      </c>
      <c r="I32" s="267">
        <v>260000</v>
      </c>
      <c r="J32" s="267">
        <v>0</v>
      </c>
      <c r="K32" s="267">
        <v>0</v>
      </c>
      <c r="L32" s="268">
        <v>0</v>
      </c>
      <c r="M32" s="268">
        <v>0</v>
      </c>
      <c r="N32" s="267">
        <v>0</v>
      </c>
      <c r="O32" s="267">
        <v>0</v>
      </c>
      <c r="P32" s="268">
        <v>0</v>
      </c>
      <c r="Q32" s="268">
        <v>0</v>
      </c>
      <c r="R32" s="267">
        <v>0</v>
      </c>
      <c r="S32" s="267">
        <v>0</v>
      </c>
      <c r="T32" s="267">
        <v>0</v>
      </c>
      <c r="U32" s="267">
        <v>0</v>
      </c>
      <c r="V32" s="269">
        <f>+T32+R32+P32+N32+L32+J32+H32+F32+D32</f>
        <v>1183000</v>
      </c>
      <c r="W32" s="313">
        <f>+U32+S32+Q32+O32+M32+K32+I32+G32+E32</f>
        <v>1183000</v>
      </c>
      <c r="X32" s="292">
        <v>0</v>
      </c>
      <c r="Y32" s="292">
        <v>0</v>
      </c>
      <c r="Z32" s="44"/>
      <c r="AA32" s="37"/>
      <c r="AB32" s="110"/>
      <c r="AC32" s="37"/>
      <c r="AD32" s="37"/>
      <c r="AE32" s="37"/>
      <c r="AF32" s="37"/>
    </row>
    <row r="33" spans="1:32" ht="16.5" thickBot="1">
      <c r="A33" s="391"/>
      <c r="B33" s="162" t="s">
        <v>162</v>
      </c>
      <c r="C33" s="272" t="s">
        <v>134</v>
      </c>
      <c r="D33" s="267">
        <v>0</v>
      </c>
      <c r="E33" s="267">
        <v>0</v>
      </c>
      <c r="F33" s="267">
        <v>0</v>
      </c>
      <c r="G33" s="267">
        <v>0</v>
      </c>
      <c r="H33" s="267">
        <v>0</v>
      </c>
      <c r="I33" s="267">
        <v>0</v>
      </c>
      <c r="J33" s="267">
        <v>0</v>
      </c>
      <c r="K33" s="267">
        <v>0</v>
      </c>
      <c r="L33" s="268">
        <v>567000</v>
      </c>
      <c r="M33" s="268">
        <v>567000</v>
      </c>
      <c r="N33" s="267">
        <v>0</v>
      </c>
      <c r="O33" s="267">
        <v>0</v>
      </c>
      <c r="P33" s="267">
        <v>0</v>
      </c>
      <c r="Q33" s="267">
        <v>0</v>
      </c>
      <c r="R33" s="267">
        <v>0</v>
      </c>
      <c r="S33" s="267">
        <v>0</v>
      </c>
      <c r="T33" s="267">
        <v>0</v>
      </c>
      <c r="U33" s="267">
        <v>0</v>
      </c>
      <c r="V33" s="269">
        <f t="shared" ref="V33:V38" si="3">+T33+R33+P33+N33+L33+J33+H33+F33+D33</f>
        <v>567000</v>
      </c>
      <c r="W33" s="313">
        <f t="shared" ref="W33:W38" si="4">+U33+S33+Q33+O33+M33+K33+I33+G33+E33</f>
        <v>567000</v>
      </c>
      <c r="X33" s="292">
        <v>0</v>
      </c>
      <c r="Y33" s="292">
        <v>0</v>
      </c>
      <c r="Z33" s="44"/>
      <c r="AA33" s="37"/>
      <c r="AB33" s="110"/>
      <c r="AC33" s="37"/>
      <c r="AD33" s="37"/>
      <c r="AE33" s="37"/>
      <c r="AF33" s="37"/>
    </row>
    <row r="34" spans="1:32" ht="16.5" thickBot="1">
      <c r="A34" s="391"/>
      <c r="B34" s="162" t="s">
        <v>162</v>
      </c>
      <c r="C34" s="154" t="s">
        <v>196</v>
      </c>
      <c r="D34" s="267">
        <v>0</v>
      </c>
      <c r="E34" s="267">
        <v>0</v>
      </c>
      <c r="F34" s="267">
        <v>0</v>
      </c>
      <c r="G34" s="267">
        <v>0</v>
      </c>
      <c r="H34" s="267">
        <v>0</v>
      </c>
      <c r="I34" s="267">
        <v>0</v>
      </c>
      <c r="J34" s="267">
        <v>0</v>
      </c>
      <c r="K34" s="267">
        <v>0</v>
      </c>
      <c r="L34" s="268">
        <v>800000</v>
      </c>
      <c r="M34" s="268">
        <v>800000</v>
      </c>
      <c r="N34" s="267">
        <v>0</v>
      </c>
      <c r="O34" s="267">
        <v>0</v>
      </c>
      <c r="P34" s="267">
        <v>0</v>
      </c>
      <c r="Q34" s="267">
        <v>0</v>
      </c>
      <c r="R34" s="267">
        <v>0</v>
      </c>
      <c r="S34" s="267">
        <v>0</v>
      </c>
      <c r="T34" s="267">
        <v>0</v>
      </c>
      <c r="U34" s="267">
        <v>0</v>
      </c>
      <c r="V34" s="269">
        <f t="shared" si="3"/>
        <v>800000</v>
      </c>
      <c r="W34" s="313">
        <f t="shared" si="4"/>
        <v>800000</v>
      </c>
      <c r="X34" s="292">
        <v>0</v>
      </c>
      <c r="Y34" s="292">
        <v>0</v>
      </c>
      <c r="Z34" s="44"/>
      <c r="AA34" s="37"/>
      <c r="AB34" s="37"/>
      <c r="AC34" s="37"/>
      <c r="AD34" s="37"/>
      <c r="AE34" s="37"/>
      <c r="AF34" s="37"/>
    </row>
    <row r="35" spans="1:32" ht="16.5" thickBot="1">
      <c r="A35" s="391"/>
      <c r="B35" s="308" t="s">
        <v>275</v>
      </c>
      <c r="C35" s="154" t="s">
        <v>276</v>
      </c>
      <c r="D35" s="267">
        <v>0</v>
      </c>
      <c r="E35" s="267">
        <v>0</v>
      </c>
      <c r="F35" s="267">
        <v>0</v>
      </c>
      <c r="G35" s="267">
        <v>0</v>
      </c>
      <c r="H35" s="267">
        <v>0</v>
      </c>
      <c r="I35" s="267">
        <v>0</v>
      </c>
      <c r="J35" s="267">
        <v>0</v>
      </c>
      <c r="K35" s="267">
        <v>0</v>
      </c>
      <c r="L35" s="268">
        <v>114000</v>
      </c>
      <c r="M35" s="267">
        <v>122265</v>
      </c>
      <c r="N35" s="267">
        <v>0</v>
      </c>
      <c r="O35" s="267">
        <v>0</v>
      </c>
      <c r="P35" s="267">
        <v>0</v>
      </c>
      <c r="Q35" s="267">
        <v>0</v>
      </c>
      <c r="R35" s="267">
        <v>0</v>
      </c>
      <c r="S35" s="267">
        <v>0</v>
      </c>
      <c r="T35" s="267">
        <v>0</v>
      </c>
      <c r="U35" s="267">
        <v>0</v>
      </c>
      <c r="V35" s="269">
        <f t="shared" si="3"/>
        <v>114000</v>
      </c>
      <c r="W35" s="313">
        <f t="shared" si="4"/>
        <v>122265</v>
      </c>
      <c r="X35" s="292">
        <v>0</v>
      </c>
      <c r="Y35" s="292">
        <v>0</v>
      </c>
      <c r="Z35" s="44"/>
      <c r="AA35" s="37"/>
      <c r="AB35" s="37"/>
      <c r="AC35" s="37"/>
      <c r="AD35" s="37"/>
      <c r="AE35" s="37"/>
      <c r="AF35" s="37"/>
    </row>
    <row r="36" spans="1:32" ht="16.5" thickBot="1">
      <c r="A36" s="391"/>
      <c r="B36" s="163" t="s">
        <v>146</v>
      </c>
      <c r="C36" s="155" t="s">
        <v>165</v>
      </c>
      <c r="D36" s="267">
        <v>0</v>
      </c>
      <c r="E36" s="267">
        <v>0</v>
      </c>
      <c r="F36" s="267">
        <v>0</v>
      </c>
      <c r="G36" s="267">
        <v>0</v>
      </c>
      <c r="H36" s="267">
        <v>0</v>
      </c>
      <c r="I36" s="267">
        <v>0</v>
      </c>
      <c r="J36" s="267">
        <v>0</v>
      </c>
      <c r="K36" s="267">
        <v>0</v>
      </c>
      <c r="L36" s="268">
        <v>0</v>
      </c>
      <c r="M36" s="267">
        <v>0</v>
      </c>
      <c r="N36" s="267">
        <v>0</v>
      </c>
      <c r="O36" s="267">
        <v>0</v>
      </c>
      <c r="P36" s="267">
        <v>0</v>
      </c>
      <c r="Q36" s="267">
        <v>0</v>
      </c>
      <c r="R36" s="267">
        <v>0</v>
      </c>
      <c r="S36" s="267">
        <v>0</v>
      </c>
      <c r="T36" s="267">
        <v>0</v>
      </c>
      <c r="U36" s="267">
        <v>0</v>
      </c>
      <c r="V36" s="269">
        <f t="shared" si="3"/>
        <v>0</v>
      </c>
      <c r="W36" s="313">
        <f t="shared" si="4"/>
        <v>0</v>
      </c>
      <c r="X36" s="292">
        <v>0</v>
      </c>
      <c r="Y36" s="292">
        <v>0</v>
      </c>
      <c r="Z36" s="44"/>
      <c r="AA36" s="37"/>
      <c r="AB36" s="37"/>
      <c r="AC36" s="37"/>
      <c r="AD36" s="37"/>
      <c r="AE36" s="37"/>
      <c r="AF36" s="37"/>
    </row>
    <row r="37" spans="1:32" ht="16.5" thickBot="1">
      <c r="A37" s="391"/>
      <c r="B37" s="273" t="s">
        <v>271</v>
      </c>
      <c r="C37" s="271" t="s">
        <v>273</v>
      </c>
      <c r="D37" s="267">
        <v>0</v>
      </c>
      <c r="E37" s="267">
        <v>0</v>
      </c>
      <c r="F37" s="267">
        <v>0</v>
      </c>
      <c r="G37" s="267">
        <v>0</v>
      </c>
      <c r="H37" s="267">
        <v>0</v>
      </c>
      <c r="I37" s="267">
        <v>3150000</v>
      </c>
      <c r="J37" s="267">
        <v>0</v>
      </c>
      <c r="K37" s="267">
        <v>0</v>
      </c>
      <c r="L37" s="268">
        <v>0</v>
      </c>
      <c r="M37" s="268">
        <v>0</v>
      </c>
      <c r="N37" s="267">
        <v>0</v>
      </c>
      <c r="O37" s="267">
        <v>0</v>
      </c>
      <c r="P37" s="268">
        <v>0</v>
      </c>
      <c r="Q37" s="268">
        <v>0</v>
      </c>
      <c r="R37" s="297">
        <v>48310000</v>
      </c>
      <c r="S37" s="297">
        <v>38382855</v>
      </c>
      <c r="T37" s="267">
        <v>0</v>
      </c>
      <c r="U37" s="267">
        <v>0</v>
      </c>
      <c r="V37" s="269">
        <f t="shared" si="3"/>
        <v>48310000</v>
      </c>
      <c r="W37" s="313">
        <f t="shared" si="4"/>
        <v>41532855</v>
      </c>
      <c r="X37" s="292">
        <v>0</v>
      </c>
      <c r="Y37" s="292">
        <v>0</v>
      </c>
      <c r="Z37" s="44"/>
      <c r="AA37" s="37"/>
      <c r="AB37" s="37"/>
      <c r="AC37" s="37"/>
      <c r="AD37" s="37"/>
      <c r="AE37" s="37"/>
      <c r="AF37" s="37"/>
    </row>
    <row r="38" spans="1:32" ht="16.5" thickBot="1">
      <c r="A38" s="391"/>
      <c r="B38" s="273" t="s">
        <v>272</v>
      </c>
      <c r="C38" s="271" t="s">
        <v>274</v>
      </c>
      <c r="D38" s="267">
        <v>0</v>
      </c>
      <c r="E38" s="267">
        <v>11950000</v>
      </c>
      <c r="F38" s="267">
        <v>0</v>
      </c>
      <c r="G38" s="267">
        <v>675680</v>
      </c>
      <c r="H38" s="267">
        <v>0</v>
      </c>
      <c r="I38" s="267">
        <v>0</v>
      </c>
      <c r="J38" s="267">
        <v>0</v>
      </c>
      <c r="K38" s="267">
        <v>0</v>
      </c>
      <c r="L38" s="268">
        <v>0</v>
      </c>
      <c r="M38" s="268">
        <v>0</v>
      </c>
      <c r="N38" s="267">
        <v>0</v>
      </c>
      <c r="O38" s="267">
        <v>0</v>
      </c>
      <c r="P38" s="268">
        <v>0</v>
      </c>
      <c r="Q38" s="268">
        <v>0</v>
      </c>
      <c r="R38" s="297">
        <v>44590100</v>
      </c>
      <c r="S38" s="297">
        <v>26227170</v>
      </c>
      <c r="T38" s="267">
        <v>0</v>
      </c>
      <c r="U38" s="267">
        <v>0</v>
      </c>
      <c r="V38" s="269">
        <f t="shared" si="3"/>
        <v>44590100</v>
      </c>
      <c r="W38" s="313">
        <f t="shared" si="4"/>
        <v>38852850</v>
      </c>
      <c r="X38" s="292">
        <v>0</v>
      </c>
      <c r="Y38" s="292">
        <v>0</v>
      </c>
      <c r="Z38" s="44"/>
      <c r="AA38" s="37"/>
      <c r="AB38" s="37"/>
      <c r="AC38" s="37"/>
      <c r="AD38" s="37"/>
      <c r="AE38" s="37"/>
      <c r="AF38" s="37"/>
    </row>
    <row r="39" spans="1:32" ht="16.5" thickBot="1">
      <c r="A39" s="391"/>
      <c r="B39" s="156" t="s">
        <v>52</v>
      </c>
      <c r="C39" s="156"/>
      <c r="D39" s="269">
        <f>SUM(D32:D38)</f>
        <v>771000</v>
      </c>
      <c r="E39" s="269">
        <f t="shared" ref="E39:U39" si="5">SUM(E32:E38)</f>
        <v>12721000</v>
      </c>
      <c r="F39" s="269">
        <f t="shared" si="5"/>
        <v>152000</v>
      </c>
      <c r="G39" s="269">
        <f t="shared" si="5"/>
        <v>827680</v>
      </c>
      <c r="H39" s="269">
        <f t="shared" si="5"/>
        <v>260000</v>
      </c>
      <c r="I39" s="269">
        <f t="shared" si="5"/>
        <v>3410000</v>
      </c>
      <c r="J39" s="269">
        <f t="shared" si="5"/>
        <v>0</v>
      </c>
      <c r="K39" s="269">
        <f t="shared" si="5"/>
        <v>0</v>
      </c>
      <c r="L39" s="269">
        <f t="shared" si="5"/>
        <v>1481000</v>
      </c>
      <c r="M39" s="269">
        <f t="shared" si="5"/>
        <v>1489265</v>
      </c>
      <c r="N39" s="269">
        <f t="shared" si="5"/>
        <v>0</v>
      </c>
      <c r="O39" s="269">
        <f t="shared" si="5"/>
        <v>0</v>
      </c>
      <c r="P39" s="269">
        <f t="shared" si="5"/>
        <v>0</v>
      </c>
      <c r="Q39" s="269">
        <f t="shared" si="5"/>
        <v>0</v>
      </c>
      <c r="R39" s="269">
        <f t="shared" si="5"/>
        <v>92900100</v>
      </c>
      <c r="S39" s="269">
        <f t="shared" si="5"/>
        <v>64610025</v>
      </c>
      <c r="T39" s="269">
        <f t="shared" si="5"/>
        <v>0</v>
      </c>
      <c r="U39" s="269">
        <f t="shared" si="5"/>
        <v>0</v>
      </c>
      <c r="V39" s="269">
        <f>SUM(V32:V38)</f>
        <v>95564100</v>
      </c>
      <c r="W39" s="313">
        <f>SUM(W32:W38)</f>
        <v>83057970</v>
      </c>
      <c r="X39" s="290">
        <v>0</v>
      </c>
      <c r="Y39" s="290">
        <v>0</v>
      </c>
      <c r="Z39" s="44"/>
      <c r="AA39" s="37"/>
      <c r="AB39" s="37"/>
      <c r="AC39" s="37"/>
      <c r="AD39" s="37"/>
      <c r="AE39" s="37"/>
      <c r="AF39" s="37"/>
    </row>
    <row r="40" spans="1:32" ht="16.5" thickBot="1">
      <c r="A40" s="391"/>
      <c r="B40" s="392" t="s">
        <v>53</v>
      </c>
      <c r="C40" s="393"/>
      <c r="D40" s="269">
        <f>D31+D39</f>
        <v>64952000</v>
      </c>
      <c r="E40" s="269">
        <f>E31+E39</f>
        <v>104428578</v>
      </c>
      <c r="F40" s="269">
        <f t="shared" ref="F40:U40" si="6">F31+F39</f>
        <v>11769000</v>
      </c>
      <c r="G40" s="269">
        <f t="shared" si="6"/>
        <v>15128521</v>
      </c>
      <c r="H40" s="269">
        <f t="shared" si="6"/>
        <v>47579000</v>
      </c>
      <c r="I40" s="269">
        <f t="shared" si="6"/>
        <v>57814073</v>
      </c>
      <c r="J40" s="269">
        <f t="shared" si="6"/>
        <v>74964709</v>
      </c>
      <c r="K40" s="269">
        <f t="shared" si="6"/>
        <v>88108193</v>
      </c>
      <c r="L40" s="269">
        <f t="shared" si="6"/>
        <v>3781000</v>
      </c>
      <c r="M40" s="269">
        <f t="shared" si="6"/>
        <v>3789265</v>
      </c>
      <c r="N40" s="269">
        <f t="shared" si="6"/>
        <v>92103299</v>
      </c>
      <c r="O40" s="269">
        <f t="shared" si="6"/>
        <v>88908425</v>
      </c>
      <c r="P40" s="269">
        <f t="shared" si="6"/>
        <v>9649634</v>
      </c>
      <c r="Q40" s="269">
        <f t="shared" si="6"/>
        <v>9649634</v>
      </c>
      <c r="R40" s="269">
        <f t="shared" si="6"/>
        <v>273997347</v>
      </c>
      <c r="S40" s="269">
        <f t="shared" si="6"/>
        <v>245707272</v>
      </c>
      <c r="T40" s="269">
        <f t="shared" si="6"/>
        <v>50435066</v>
      </c>
      <c r="U40" s="269">
        <f t="shared" si="6"/>
        <v>50531528</v>
      </c>
      <c r="V40" s="269">
        <f>V31+V39</f>
        <v>629231055</v>
      </c>
      <c r="W40" s="313">
        <f>W31+W39</f>
        <v>664065489</v>
      </c>
      <c r="X40" s="290">
        <f>SUM(X31,X39)</f>
        <v>82</v>
      </c>
      <c r="Y40" s="290">
        <f>SUM(Y31,Y39)</f>
        <v>65</v>
      </c>
      <c r="Z40" s="110"/>
      <c r="AA40" s="37"/>
      <c r="AB40" s="37"/>
      <c r="AC40" s="37"/>
      <c r="AD40" s="37"/>
      <c r="AE40" s="37"/>
      <c r="AF40" s="37"/>
    </row>
    <row r="41" spans="1:32" ht="37.9" customHeight="1" thickBot="1">
      <c r="A41" s="391" t="s">
        <v>40</v>
      </c>
      <c r="B41" s="165" t="s">
        <v>126</v>
      </c>
      <c r="C41" s="154" t="s">
        <v>163</v>
      </c>
      <c r="D41" s="267">
        <v>60095000</v>
      </c>
      <c r="E41" s="267">
        <f>61714790+125523</f>
        <v>61840313</v>
      </c>
      <c r="F41" s="267">
        <v>11710000</v>
      </c>
      <c r="G41" s="267">
        <f>12028610+24477</f>
        <v>12053087</v>
      </c>
      <c r="H41" s="267">
        <v>12210000</v>
      </c>
      <c r="I41" s="267">
        <v>12210000</v>
      </c>
      <c r="J41" s="267">
        <v>0</v>
      </c>
      <c r="K41" s="267">
        <v>0</v>
      </c>
      <c r="L41" s="268">
        <v>0</v>
      </c>
      <c r="M41" s="268">
        <v>0</v>
      </c>
      <c r="N41" s="267">
        <v>0</v>
      </c>
      <c r="O41" s="267">
        <v>0</v>
      </c>
      <c r="P41" s="268">
        <v>0</v>
      </c>
      <c r="Q41" s="268">
        <v>0</v>
      </c>
      <c r="R41" s="267">
        <v>1651000</v>
      </c>
      <c r="S41" s="267">
        <v>1651000</v>
      </c>
      <c r="T41" s="267">
        <v>0</v>
      </c>
      <c r="U41" s="267">
        <v>0</v>
      </c>
      <c r="V41" s="269">
        <f>+D41+F41+H41+J41+L41+N41+P41+R41+T41</f>
        <v>85666000</v>
      </c>
      <c r="W41" s="269">
        <f>+U41+S41+Q41+O41+M41+K41+I41+G41+E41</f>
        <v>87754400</v>
      </c>
      <c r="X41" s="291">
        <v>19</v>
      </c>
      <c r="Y41" s="291">
        <v>18</v>
      </c>
      <c r="AA41" s="37"/>
      <c r="AB41" s="37"/>
      <c r="AC41" s="37"/>
      <c r="AD41" s="37"/>
      <c r="AE41" s="37"/>
      <c r="AF41" s="37"/>
    </row>
    <row r="42" spans="1:32" ht="22.5" customHeight="1" thickBot="1">
      <c r="A42" s="391"/>
      <c r="B42" s="309" t="s">
        <v>313</v>
      </c>
      <c r="C42" s="310" t="s">
        <v>314</v>
      </c>
      <c r="D42" s="267">
        <v>0</v>
      </c>
      <c r="E42" s="267">
        <v>1017867</v>
      </c>
      <c r="F42" s="267">
        <v>0</v>
      </c>
      <c r="G42" s="267">
        <v>216061</v>
      </c>
      <c r="H42" s="267">
        <v>0</v>
      </c>
      <c r="I42" s="267">
        <v>67970</v>
      </c>
      <c r="J42" s="267">
        <v>0</v>
      </c>
      <c r="K42" s="267">
        <v>67585</v>
      </c>
      <c r="L42" s="268">
        <v>0</v>
      </c>
      <c r="M42" s="268">
        <v>0</v>
      </c>
      <c r="N42" s="267">
        <v>0</v>
      </c>
      <c r="O42" s="267">
        <v>0</v>
      </c>
      <c r="P42" s="268">
        <v>0</v>
      </c>
      <c r="Q42" s="268">
        <v>0</v>
      </c>
      <c r="R42" s="267">
        <v>0</v>
      </c>
      <c r="S42" s="267">
        <v>0</v>
      </c>
      <c r="T42" s="267">
        <v>0</v>
      </c>
      <c r="U42" s="267">
        <v>0</v>
      </c>
      <c r="V42" s="269">
        <f>+D42+F42+H42+J42+L42+N42+P42+R42+T42</f>
        <v>0</v>
      </c>
      <c r="W42" s="269">
        <f>+U42+S42+Q42+O42+M42+K42+I42+G42+E42</f>
        <v>1369483</v>
      </c>
      <c r="X42" s="291">
        <v>0</v>
      </c>
      <c r="Y42" s="291">
        <v>0</v>
      </c>
      <c r="Z42" s="37"/>
      <c r="AA42" s="37"/>
      <c r="AB42" s="37"/>
      <c r="AC42" s="37"/>
      <c r="AD42" s="37"/>
      <c r="AE42" s="37"/>
      <c r="AF42" s="37"/>
    </row>
    <row r="43" spans="1:32" ht="22.5" customHeight="1" thickBot="1">
      <c r="A43" s="391"/>
      <c r="B43" s="309" t="s">
        <v>271</v>
      </c>
      <c r="C43" s="271" t="s">
        <v>273</v>
      </c>
      <c r="D43" s="267">
        <v>0</v>
      </c>
      <c r="E43" s="267">
        <v>5761000</v>
      </c>
      <c r="F43" s="267">
        <v>0</v>
      </c>
      <c r="G43" s="267">
        <v>1016145</v>
      </c>
      <c r="H43" s="267">
        <v>0</v>
      </c>
      <c r="I43" s="267">
        <v>0</v>
      </c>
      <c r="J43" s="267">
        <v>0</v>
      </c>
      <c r="K43" s="267">
        <v>0</v>
      </c>
      <c r="L43" s="268">
        <v>0</v>
      </c>
      <c r="M43" s="268">
        <v>0</v>
      </c>
      <c r="N43" s="267">
        <v>0</v>
      </c>
      <c r="O43" s="267">
        <v>0</v>
      </c>
      <c r="P43" s="268">
        <v>0</v>
      </c>
      <c r="Q43" s="268">
        <v>0</v>
      </c>
      <c r="R43" s="267">
        <v>0</v>
      </c>
      <c r="S43" s="267">
        <v>0</v>
      </c>
      <c r="T43" s="267">
        <v>0</v>
      </c>
      <c r="U43" s="267">
        <v>0</v>
      </c>
      <c r="V43" s="269">
        <f t="shared" ref="V43:V44" si="7">+D43+F43+H43+J43+L43+N43+P43+R43+T43</f>
        <v>0</v>
      </c>
      <c r="W43" s="269">
        <f t="shared" ref="W43:W44" si="8">+U43+S43+Q43+O43+M43+K43+I43+G43+E43</f>
        <v>6777145</v>
      </c>
      <c r="X43" s="291">
        <v>0</v>
      </c>
      <c r="Y43" s="291">
        <v>0</v>
      </c>
      <c r="Z43" s="37"/>
      <c r="AA43" s="37"/>
      <c r="AB43" s="37"/>
      <c r="AC43" s="37"/>
      <c r="AD43" s="37"/>
      <c r="AE43" s="37"/>
      <c r="AF43" s="37"/>
    </row>
    <row r="44" spans="1:32" ht="39" customHeight="1" thickBot="1">
      <c r="A44" s="391"/>
      <c r="B44" s="311" t="s">
        <v>315</v>
      </c>
      <c r="C44" s="271" t="s">
        <v>274</v>
      </c>
      <c r="D44" s="267">
        <v>0</v>
      </c>
      <c r="E44" s="267">
        <v>4850000</v>
      </c>
      <c r="F44" s="267">
        <v>0</v>
      </c>
      <c r="G44" s="267">
        <v>887250</v>
      </c>
      <c r="H44" s="267">
        <v>0</v>
      </c>
      <c r="I44" s="267">
        <v>0</v>
      </c>
      <c r="J44" s="267">
        <v>0</v>
      </c>
      <c r="K44" s="267">
        <v>0</v>
      </c>
      <c r="L44" s="268">
        <v>0</v>
      </c>
      <c r="M44" s="268">
        <v>0</v>
      </c>
      <c r="N44" s="267">
        <v>0</v>
      </c>
      <c r="O44" s="267">
        <v>0</v>
      </c>
      <c r="P44" s="268">
        <v>0</v>
      </c>
      <c r="Q44" s="268">
        <v>0</v>
      </c>
      <c r="R44" s="267">
        <v>0</v>
      </c>
      <c r="S44" s="267">
        <v>0</v>
      </c>
      <c r="T44" s="267">
        <v>0</v>
      </c>
      <c r="U44" s="267">
        <v>0</v>
      </c>
      <c r="V44" s="269">
        <f t="shared" si="7"/>
        <v>0</v>
      </c>
      <c r="W44" s="269">
        <f t="shared" si="8"/>
        <v>5737250</v>
      </c>
      <c r="X44" s="291">
        <v>0</v>
      </c>
      <c r="Y44" s="291">
        <v>0</v>
      </c>
      <c r="Z44" s="37"/>
      <c r="AA44" s="37"/>
      <c r="AB44" s="37"/>
      <c r="AC44" s="37"/>
      <c r="AD44" s="37"/>
      <c r="AE44" s="37"/>
      <c r="AF44" s="37"/>
    </row>
    <row r="45" spans="1:32" ht="16.5" thickBot="1">
      <c r="A45" s="391"/>
      <c r="B45" s="392" t="s">
        <v>54</v>
      </c>
      <c r="C45" s="393"/>
      <c r="D45" s="269">
        <f>D41+D42+D43+D44</f>
        <v>60095000</v>
      </c>
      <c r="E45" s="269">
        <f t="shared" ref="E45:U45" si="9">E41+E42+E43+E44</f>
        <v>73469180</v>
      </c>
      <c r="F45" s="269">
        <f t="shared" si="9"/>
        <v>11710000</v>
      </c>
      <c r="G45" s="269">
        <f t="shared" si="9"/>
        <v>14172543</v>
      </c>
      <c r="H45" s="269">
        <f t="shared" si="9"/>
        <v>12210000</v>
      </c>
      <c r="I45" s="269">
        <f t="shared" si="9"/>
        <v>12277970</v>
      </c>
      <c r="J45" s="269">
        <f t="shared" si="9"/>
        <v>0</v>
      </c>
      <c r="K45" s="269">
        <f t="shared" si="9"/>
        <v>67585</v>
      </c>
      <c r="L45" s="269">
        <f t="shared" si="9"/>
        <v>0</v>
      </c>
      <c r="M45" s="269">
        <f t="shared" si="9"/>
        <v>0</v>
      </c>
      <c r="N45" s="269">
        <f t="shared" si="9"/>
        <v>0</v>
      </c>
      <c r="O45" s="269">
        <f t="shared" si="9"/>
        <v>0</v>
      </c>
      <c r="P45" s="269">
        <f t="shared" si="9"/>
        <v>0</v>
      </c>
      <c r="Q45" s="269">
        <f t="shared" si="9"/>
        <v>0</v>
      </c>
      <c r="R45" s="269">
        <f t="shared" si="9"/>
        <v>1651000</v>
      </c>
      <c r="S45" s="269">
        <f t="shared" si="9"/>
        <v>1651000</v>
      </c>
      <c r="T45" s="269">
        <f t="shared" si="9"/>
        <v>0</v>
      </c>
      <c r="U45" s="269">
        <f t="shared" si="9"/>
        <v>0</v>
      </c>
      <c r="V45" s="269">
        <f>V41+V42+V43+V44</f>
        <v>85666000</v>
      </c>
      <c r="W45" s="269">
        <f>W41+W42+W43+W44</f>
        <v>101638278</v>
      </c>
      <c r="X45" s="290">
        <v>19</v>
      </c>
      <c r="Y45" s="290">
        <f>+Y41</f>
        <v>18</v>
      </c>
      <c r="Z45" s="110"/>
      <c r="AA45" s="37"/>
      <c r="AB45" s="37"/>
      <c r="AC45" s="37"/>
      <c r="AD45" s="37"/>
      <c r="AE45" s="37"/>
      <c r="AF45" s="37"/>
    </row>
    <row r="46" spans="1:32" ht="18.95" customHeight="1" thickBot="1">
      <c r="A46" s="391" t="s">
        <v>42</v>
      </c>
      <c r="B46" s="162" t="s">
        <v>184</v>
      </c>
      <c r="C46" s="154" t="s">
        <v>186</v>
      </c>
      <c r="D46" s="267">
        <v>6001000</v>
      </c>
      <c r="E46" s="267">
        <v>6001000</v>
      </c>
      <c r="F46" s="267">
        <v>1180000</v>
      </c>
      <c r="G46" s="267">
        <v>1180000</v>
      </c>
      <c r="H46" s="267">
        <v>7340000</v>
      </c>
      <c r="I46" s="267">
        <v>7340000</v>
      </c>
      <c r="J46" s="267">
        <v>20000</v>
      </c>
      <c r="K46" s="267">
        <v>20000</v>
      </c>
      <c r="L46" s="268">
        <v>0</v>
      </c>
      <c r="M46" s="268">
        <v>0</v>
      </c>
      <c r="N46" s="267">
        <v>0</v>
      </c>
      <c r="O46" s="267">
        <v>0</v>
      </c>
      <c r="P46" s="268">
        <v>0</v>
      </c>
      <c r="Q46" s="268">
        <v>0</v>
      </c>
      <c r="R46" s="267">
        <v>254000</v>
      </c>
      <c r="S46" s="267">
        <v>254000</v>
      </c>
      <c r="T46" s="267">
        <v>0</v>
      </c>
      <c r="U46" s="267">
        <v>0</v>
      </c>
      <c r="V46" s="269">
        <f>+D46+F46+H46+J46+L46+N46+P46+R46+T46</f>
        <v>14795000</v>
      </c>
      <c r="W46" s="269">
        <f>+U46+S46+Q46+O46+M46+K46+I46+G46+E46</f>
        <v>14795000</v>
      </c>
      <c r="X46" s="291">
        <v>2</v>
      </c>
      <c r="Y46" s="291">
        <v>2</v>
      </c>
      <c r="Z46" s="37"/>
      <c r="AA46" s="37"/>
      <c r="AB46" s="37"/>
      <c r="AC46" s="37"/>
      <c r="AD46" s="37"/>
      <c r="AE46" s="37"/>
      <c r="AF46" s="37"/>
    </row>
    <row r="47" spans="1:32" ht="22.5" customHeight="1" thickBot="1">
      <c r="A47" s="391"/>
      <c r="B47" s="392" t="s">
        <v>185</v>
      </c>
      <c r="C47" s="393"/>
      <c r="D47" s="269">
        <f>SUM(D46)</f>
        <v>6001000</v>
      </c>
      <c r="E47" s="269">
        <f t="shared" ref="E47:U47" si="10">SUM(E46)</f>
        <v>6001000</v>
      </c>
      <c r="F47" s="269">
        <f t="shared" si="10"/>
        <v>1180000</v>
      </c>
      <c r="G47" s="269">
        <f t="shared" si="10"/>
        <v>1180000</v>
      </c>
      <c r="H47" s="269">
        <f t="shared" si="10"/>
        <v>7340000</v>
      </c>
      <c r="I47" s="269">
        <f t="shared" si="10"/>
        <v>7340000</v>
      </c>
      <c r="J47" s="269">
        <f t="shared" si="10"/>
        <v>20000</v>
      </c>
      <c r="K47" s="269">
        <f t="shared" si="10"/>
        <v>20000</v>
      </c>
      <c r="L47" s="269">
        <f t="shared" si="10"/>
        <v>0</v>
      </c>
      <c r="M47" s="269">
        <f t="shared" si="10"/>
        <v>0</v>
      </c>
      <c r="N47" s="269">
        <f t="shared" si="10"/>
        <v>0</v>
      </c>
      <c r="O47" s="269">
        <f t="shared" si="10"/>
        <v>0</v>
      </c>
      <c r="P47" s="269">
        <f t="shared" si="10"/>
        <v>0</v>
      </c>
      <c r="Q47" s="269">
        <f t="shared" si="10"/>
        <v>0</v>
      </c>
      <c r="R47" s="269">
        <f t="shared" si="10"/>
        <v>254000</v>
      </c>
      <c r="S47" s="269">
        <f t="shared" si="10"/>
        <v>254000</v>
      </c>
      <c r="T47" s="269">
        <f t="shared" si="10"/>
        <v>0</v>
      </c>
      <c r="U47" s="269">
        <f t="shared" si="10"/>
        <v>0</v>
      </c>
      <c r="V47" s="269">
        <f>SUM(V46)</f>
        <v>14795000</v>
      </c>
      <c r="W47" s="269">
        <f>SUM(W46)</f>
        <v>14795000</v>
      </c>
      <c r="X47" s="290">
        <v>2</v>
      </c>
      <c r="Y47" s="290">
        <v>2</v>
      </c>
      <c r="Z47" s="110"/>
      <c r="AA47" s="37"/>
      <c r="AB47" s="37"/>
      <c r="AC47" s="37"/>
      <c r="AD47" s="37"/>
      <c r="AE47" s="37"/>
      <c r="AF47" s="37"/>
    </row>
    <row r="48" spans="1:32" ht="15.75" customHeight="1" thickBot="1">
      <c r="A48" s="391" t="s">
        <v>44</v>
      </c>
      <c r="B48" s="165" t="s">
        <v>189</v>
      </c>
      <c r="C48" s="154" t="s">
        <v>187</v>
      </c>
      <c r="D48" s="267">
        <v>3725200</v>
      </c>
      <c r="E48" s="267">
        <v>3725200</v>
      </c>
      <c r="F48" s="267">
        <v>733500</v>
      </c>
      <c r="G48" s="267">
        <v>733500</v>
      </c>
      <c r="H48" s="267">
        <v>2160000</v>
      </c>
      <c r="I48" s="267">
        <v>2160000</v>
      </c>
      <c r="J48" s="267">
        <v>0</v>
      </c>
      <c r="K48" s="267">
        <v>0</v>
      </c>
      <c r="L48" s="268">
        <v>0</v>
      </c>
      <c r="M48" s="268">
        <v>0</v>
      </c>
      <c r="N48" s="267">
        <v>0</v>
      </c>
      <c r="O48" s="267">
        <v>0</v>
      </c>
      <c r="P48" s="268">
        <v>0</v>
      </c>
      <c r="Q48" s="268">
        <v>0</v>
      </c>
      <c r="R48" s="267">
        <v>222000</v>
      </c>
      <c r="S48" s="267">
        <v>222000</v>
      </c>
      <c r="T48" s="267">
        <v>0</v>
      </c>
      <c r="U48" s="267">
        <v>0</v>
      </c>
      <c r="V48" s="269">
        <f>+T48+R48+P48+N48+L48+J48+H48+F48+D48</f>
        <v>6840700</v>
      </c>
      <c r="W48" s="269">
        <f>+U48+S48+Q48+O48+M48+K48+I48+G48+E48</f>
        <v>6840700</v>
      </c>
      <c r="X48" s="291">
        <v>1</v>
      </c>
      <c r="Y48" s="291">
        <v>1</v>
      </c>
      <c r="Z48" s="37"/>
      <c r="AA48" s="37"/>
      <c r="AB48" s="37"/>
      <c r="AC48" s="37"/>
      <c r="AD48" s="37"/>
      <c r="AE48" s="37"/>
      <c r="AF48" s="37"/>
    </row>
    <row r="49" spans="1:32" ht="21" customHeight="1" thickBot="1">
      <c r="A49" s="391"/>
      <c r="B49" s="392" t="s">
        <v>188</v>
      </c>
      <c r="C49" s="393"/>
      <c r="D49" s="269">
        <f>SUM(D48)</f>
        <v>3725200</v>
      </c>
      <c r="E49" s="269">
        <f t="shared" ref="E49:U49" si="11">SUM(E48)</f>
        <v>3725200</v>
      </c>
      <c r="F49" s="269">
        <f t="shared" si="11"/>
        <v>733500</v>
      </c>
      <c r="G49" s="269">
        <f t="shared" si="11"/>
        <v>733500</v>
      </c>
      <c r="H49" s="269">
        <f t="shared" si="11"/>
        <v>2160000</v>
      </c>
      <c r="I49" s="269">
        <f t="shared" si="11"/>
        <v>2160000</v>
      </c>
      <c r="J49" s="269">
        <f t="shared" si="11"/>
        <v>0</v>
      </c>
      <c r="K49" s="269">
        <f t="shared" si="11"/>
        <v>0</v>
      </c>
      <c r="L49" s="269">
        <f t="shared" si="11"/>
        <v>0</v>
      </c>
      <c r="M49" s="269">
        <f t="shared" si="11"/>
        <v>0</v>
      </c>
      <c r="N49" s="269">
        <f t="shared" si="11"/>
        <v>0</v>
      </c>
      <c r="O49" s="269">
        <f t="shared" si="11"/>
        <v>0</v>
      </c>
      <c r="P49" s="269">
        <f t="shared" si="11"/>
        <v>0</v>
      </c>
      <c r="Q49" s="269">
        <f t="shared" si="11"/>
        <v>0</v>
      </c>
      <c r="R49" s="269">
        <f t="shared" si="11"/>
        <v>222000</v>
      </c>
      <c r="S49" s="269">
        <f t="shared" si="11"/>
        <v>222000</v>
      </c>
      <c r="T49" s="269">
        <f t="shared" si="11"/>
        <v>0</v>
      </c>
      <c r="U49" s="269">
        <f t="shared" si="11"/>
        <v>0</v>
      </c>
      <c r="V49" s="269">
        <f>V48</f>
        <v>6840700</v>
      </c>
      <c r="W49" s="269">
        <f>W48</f>
        <v>6840700</v>
      </c>
      <c r="X49" s="290">
        <v>1</v>
      </c>
      <c r="Y49" s="290">
        <v>1</v>
      </c>
      <c r="Z49" s="110"/>
      <c r="AA49" s="37"/>
      <c r="AB49" s="37"/>
      <c r="AC49" s="37"/>
      <c r="AD49" s="37"/>
      <c r="AE49" s="37"/>
      <c r="AF49" s="37"/>
    </row>
    <row r="50" spans="1:32" ht="21" customHeight="1" thickBot="1">
      <c r="A50" s="394" t="s">
        <v>118</v>
      </c>
      <c r="B50" s="166" t="s">
        <v>190</v>
      </c>
      <c r="C50" s="167" t="s">
        <v>180</v>
      </c>
      <c r="D50" s="287">
        <v>7745000</v>
      </c>
      <c r="E50" s="287">
        <v>7745000</v>
      </c>
      <c r="F50" s="287">
        <v>1517000</v>
      </c>
      <c r="G50" s="287">
        <v>1517000</v>
      </c>
      <c r="H50" s="287">
        <v>1000000</v>
      </c>
      <c r="I50" s="287">
        <v>1000000</v>
      </c>
      <c r="J50" s="287">
        <v>0</v>
      </c>
      <c r="K50" s="287">
        <v>0</v>
      </c>
      <c r="L50" s="288">
        <v>0</v>
      </c>
      <c r="M50" s="287">
        <v>0</v>
      </c>
      <c r="N50" s="287">
        <v>0</v>
      </c>
      <c r="O50" s="287"/>
      <c r="P50" s="288">
        <v>0</v>
      </c>
      <c r="Q50" s="288">
        <v>0</v>
      </c>
      <c r="R50" s="287">
        <v>0</v>
      </c>
      <c r="S50" s="288">
        <v>0</v>
      </c>
      <c r="T50" s="287">
        <v>0</v>
      </c>
      <c r="U50" s="288">
        <v>0</v>
      </c>
      <c r="V50" s="270">
        <f>+T50+R50+P50+N50+L50+J50+H50+F50+D50</f>
        <v>10262000</v>
      </c>
      <c r="W50" s="270">
        <f>+U50+S50+Q50+O50+M50+K50+I50+G50+E50</f>
        <v>10262000</v>
      </c>
      <c r="X50" s="289">
        <v>6</v>
      </c>
      <c r="Y50" s="289">
        <v>6</v>
      </c>
      <c r="Z50" s="37"/>
      <c r="AA50" s="37"/>
      <c r="AB50" s="37"/>
      <c r="AC50" s="37"/>
      <c r="AD50" s="37"/>
      <c r="AE50" s="37"/>
      <c r="AF50" s="37"/>
    </row>
    <row r="51" spans="1:32" ht="21" customHeight="1" thickBot="1">
      <c r="A51" s="395"/>
      <c r="B51" s="166" t="s">
        <v>191</v>
      </c>
      <c r="C51" s="167" t="s">
        <v>181</v>
      </c>
      <c r="D51" s="287">
        <v>2640000</v>
      </c>
      <c r="E51" s="287">
        <v>2640000</v>
      </c>
      <c r="F51" s="287">
        <v>482000</v>
      </c>
      <c r="G51" s="287">
        <v>482000</v>
      </c>
      <c r="H51" s="287">
        <v>1700000</v>
      </c>
      <c r="I51" s="287">
        <v>1700000</v>
      </c>
      <c r="J51" s="287">
        <v>0</v>
      </c>
      <c r="K51" s="287">
        <v>0</v>
      </c>
      <c r="L51" s="288">
        <v>0</v>
      </c>
      <c r="M51" s="287">
        <v>0</v>
      </c>
      <c r="N51" s="287">
        <v>0</v>
      </c>
      <c r="O51" s="287"/>
      <c r="P51" s="288">
        <v>0</v>
      </c>
      <c r="Q51" s="288">
        <v>0</v>
      </c>
      <c r="R51" s="287">
        <v>0</v>
      </c>
      <c r="S51" s="288">
        <v>0</v>
      </c>
      <c r="T51" s="287">
        <v>0</v>
      </c>
      <c r="U51" s="288">
        <v>0</v>
      </c>
      <c r="V51" s="270">
        <f t="shared" ref="V51:V56" si="12">+T51+R51+P51+N51+L51+J51+H51+F51+D51</f>
        <v>4822000</v>
      </c>
      <c r="W51" s="270">
        <f t="shared" ref="W51:W56" si="13">+U51+S51+Q51+O51+M51+K51+I51+G51+E51</f>
        <v>4822000</v>
      </c>
      <c r="X51" s="289">
        <v>1</v>
      </c>
      <c r="Y51" s="289">
        <v>1</v>
      </c>
      <c r="Z51" s="37"/>
      <c r="AA51" s="37"/>
      <c r="AB51" s="37"/>
      <c r="AC51" s="37"/>
      <c r="AD51" s="37"/>
      <c r="AE51" s="37"/>
      <c r="AF51" s="37"/>
    </row>
    <row r="52" spans="1:32" ht="21" customHeight="1" thickBot="1">
      <c r="A52" s="395"/>
      <c r="B52" s="166" t="s">
        <v>192</v>
      </c>
      <c r="C52" s="167" t="s">
        <v>182</v>
      </c>
      <c r="D52" s="287">
        <v>6170000</v>
      </c>
      <c r="E52" s="287">
        <v>6170000</v>
      </c>
      <c r="F52" s="287">
        <v>1228000</v>
      </c>
      <c r="G52" s="287">
        <v>1228000</v>
      </c>
      <c r="H52" s="287">
        <v>2000000</v>
      </c>
      <c r="I52" s="287">
        <v>2000000</v>
      </c>
      <c r="J52" s="287">
        <v>0</v>
      </c>
      <c r="K52" s="287">
        <v>0</v>
      </c>
      <c r="L52" s="288">
        <v>0</v>
      </c>
      <c r="M52" s="287">
        <v>0</v>
      </c>
      <c r="N52" s="287">
        <v>0</v>
      </c>
      <c r="O52" s="287"/>
      <c r="P52" s="288">
        <v>0</v>
      </c>
      <c r="Q52" s="288">
        <v>0</v>
      </c>
      <c r="R52" s="287">
        <v>889000</v>
      </c>
      <c r="S52" s="288">
        <v>889000</v>
      </c>
      <c r="T52" s="287">
        <v>0</v>
      </c>
      <c r="U52" s="288">
        <v>0</v>
      </c>
      <c r="V52" s="270">
        <f t="shared" si="12"/>
        <v>10287000</v>
      </c>
      <c r="W52" s="270">
        <f t="shared" si="13"/>
        <v>10287000</v>
      </c>
      <c r="X52" s="289">
        <v>2</v>
      </c>
      <c r="Y52" s="289">
        <v>2</v>
      </c>
      <c r="Z52" s="37"/>
      <c r="AA52" s="37"/>
      <c r="AB52" s="37"/>
      <c r="AC52" s="37"/>
      <c r="AD52" s="37"/>
      <c r="AE52" s="37"/>
      <c r="AF52" s="37"/>
    </row>
    <row r="53" spans="1:32" ht="21" customHeight="1" thickBot="1">
      <c r="A53" s="395"/>
      <c r="B53" s="166" t="s">
        <v>193</v>
      </c>
      <c r="C53" s="167" t="s">
        <v>183</v>
      </c>
      <c r="D53" s="287">
        <v>2220000</v>
      </c>
      <c r="E53" s="287">
        <v>2220000</v>
      </c>
      <c r="F53" s="287">
        <v>443000</v>
      </c>
      <c r="G53" s="287">
        <v>443000</v>
      </c>
      <c r="H53" s="287">
        <v>17000000</v>
      </c>
      <c r="I53" s="287">
        <v>17000000</v>
      </c>
      <c r="J53" s="287">
        <v>0</v>
      </c>
      <c r="K53" s="287">
        <v>0</v>
      </c>
      <c r="L53" s="288">
        <v>0</v>
      </c>
      <c r="M53" s="287">
        <v>0</v>
      </c>
      <c r="N53" s="287">
        <v>0</v>
      </c>
      <c r="O53" s="287"/>
      <c r="P53" s="288">
        <v>0</v>
      </c>
      <c r="Q53" s="288">
        <v>0</v>
      </c>
      <c r="R53" s="287">
        <v>0</v>
      </c>
      <c r="S53" s="288">
        <v>0</v>
      </c>
      <c r="T53" s="287">
        <v>0</v>
      </c>
      <c r="U53" s="288">
        <v>0</v>
      </c>
      <c r="V53" s="270">
        <f t="shared" si="12"/>
        <v>19663000</v>
      </c>
      <c r="W53" s="270">
        <f t="shared" si="13"/>
        <v>19663000</v>
      </c>
      <c r="X53" s="289">
        <v>1</v>
      </c>
      <c r="Y53" s="289">
        <v>1</v>
      </c>
      <c r="Z53" s="37"/>
      <c r="AA53" s="37"/>
      <c r="AB53" s="37"/>
      <c r="AC53" s="37"/>
      <c r="AD53" s="37"/>
      <c r="AE53" s="37"/>
      <c r="AF53" s="37"/>
    </row>
    <row r="54" spans="1:32" ht="21" customHeight="1" thickBot="1">
      <c r="A54" s="395"/>
      <c r="B54" s="166" t="s">
        <v>159</v>
      </c>
      <c r="C54" s="167" t="s">
        <v>232</v>
      </c>
      <c r="D54" s="287">
        <v>0</v>
      </c>
      <c r="E54" s="287">
        <v>0</v>
      </c>
      <c r="F54" s="287">
        <v>0</v>
      </c>
      <c r="G54" s="287">
        <v>0</v>
      </c>
      <c r="H54" s="287">
        <v>1200000</v>
      </c>
      <c r="I54" s="287">
        <v>1200000</v>
      </c>
      <c r="J54" s="287">
        <v>0</v>
      </c>
      <c r="K54" s="287">
        <v>0</v>
      </c>
      <c r="L54" s="288">
        <v>0</v>
      </c>
      <c r="M54" s="288">
        <v>0</v>
      </c>
      <c r="N54" s="287">
        <v>0</v>
      </c>
      <c r="O54" s="287"/>
      <c r="P54" s="288">
        <v>0</v>
      </c>
      <c r="Q54" s="288">
        <v>0</v>
      </c>
      <c r="R54" s="287">
        <v>0</v>
      </c>
      <c r="S54" s="288">
        <v>0</v>
      </c>
      <c r="T54" s="287">
        <v>0</v>
      </c>
      <c r="U54" s="288">
        <v>0</v>
      </c>
      <c r="V54" s="270">
        <f>+T54+R54+P54+N54+L54+J54+H54+F54+D54</f>
        <v>1200000</v>
      </c>
      <c r="W54" s="270">
        <f t="shared" si="13"/>
        <v>1200000</v>
      </c>
      <c r="X54" s="289">
        <v>0</v>
      </c>
      <c r="Y54" s="289">
        <v>0</v>
      </c>
      <c r="Z54" s="37"/>
      <c r="AA54" s="37"/>
      <c r="AB54" s="37"/>
      <c r="AC54" s="37"/>
      <c r="AD54" s="37"/>
      <c r="AE54" s="37"/>
      <c r="AF54" s="37"/>
    </row>
    <row r="55" spans="1:32" ht="21" customHeight="1" thickBot="1">
      <c r="A55" s="395"/>
      <c r="B55" s="166" t="s">
        <v>158</v>
      </c>
      <c r="C55" s="167" t="s">
        <v>231</v>
      </c>
      <c r="D55" s="287">
        <v>0</v>
      </c>
      <c r="E55" s="287">
        <v>0</v>
      </c>
      <c r="F55" s="287">
        <v>0</v>
      </c>
      <c r="G55" s="287">
        <v>0</v>
      </c>
      <c r="H55" s="287">
        <v>1700000</v>
      </c>
      <c r="I55" s="287">
        <v>1700000</v>
      </c>
      <c r="J55" s="287">
        <v>0</v>
      </c>
      <c r="K55" s="287">
        <v>0</v>
      </c>
      <c r="L55" s="288">
        <v>0</v>
      </c>
      <c r="M55" s="288">
        <v>0</v>
      </c>
      <c r="N55" s="287">
        <v>0</v>
      </c>
      <c r="O55" s="287"/>
      <c r="P55" s="288">
        <v>0</v>
      </c>
      <c r="Q55" s="288">
        <v>0</v>
      </c>
      <c r="R55" s="287">
        <v>0</v>
      </c>
      <c r="S55" s="288">
        <v>0</v>
      </c>
      <c r="T55" s="287">
        <v>0</v>
      </c>
      <c r="U55" s="288">
        <v>0</v>
      </c>
      <c r="V55" s="270">
        <f t="shared" si="12"/>
        <v>1700000</v>
      </c>
      <c r="W55" s="270">
        <f t="shared" si="13"/>
        <v>1700000</v>
      </c>
      <c r="X55" s="289">
        <v>0</v>
      </c>
      <c r="Y55" s="289">
        <v>0</v>
      </c>
      <c r="Z55" s="37"/>
      <c r="AA55" s="37"/>
      <c r="AB55" s="37"/>
      <c r="AC55" s="37"/>
      <c r="AD55" s="37"/>
      <c r="AE55" s="37"/>
      <c r="AF55" s="37"/>
    </row>
    <row r="56" spans="1:32" ht="21" customHeight="1" thickBot="1">
      <c r="A56" s="395"/>
      <c r="B56" s="166" t="s">
        <v>131</v>
      </c>
      <c r="C56" s="167" t="s">
        <v>176</v>
      </c>
      <c r="D56" s="287">
        <v>19056000</v>
      </c>
      <c r="E56" s="287">
        <v>19056000</v>
      </c>
      <c r="F56" s="287">
        <v>3633000</v>
      </c>
      <c r="G56" s="287">
        <v>3633000</v>
      </c>
      <c r="H56" s="287">
        <v>41740000</v>
      </c>
      <c r="I56" s="287">
        <v>41740000</v>
      </c>
      <c r="J56" s="287">
        <v>0</v>
      </c>
      <c r="K56" s="287">
        <v>0</v>
      </c>
      <c r="L56" s="288">
        <v>0</v>
      </c>
      <c r="M56" s="288">
        <v>0</v>
      </c>
      <c r="N56" s="287">
        <v>0</v>
      </c>
      <c r="O56" s="287">
        <v>0</v>
      </c>
      <c r="P56" s="288">
        <v>0</v>
      </c>
      <c r="Q56" s="288">
        <v>0</v>
      </c>
      <c r="R56" s="287">
        <v>0</v>
      </c>
      <c r="S56" s="287">
        <v>0</v>
      </c>
      <c r="T56" s="287">
        <v>0</v>
      </c>
      <c r="U56" s="287">
        <v>709433</v>
      </c>
      <c r="V56" s="270">
        <f t="shared" si="12"/>
        <v>64429000</v>
      </c>
      <c r="W56" s="270">
        <f t="shared" si="13"/>
        <v>65138433</v>
      </c>
      <c r="X56" s="289">
        <v>9</v>
      </c>
      <c r="Y56" s="289">
        <v>9</v>
      </c>
      <c r="Z56" s="37"/>
      <c r="AA56" s="37"/>
      <c r="AB56" s="37"/>
      <c r="AC56" s="37"/>
      <c r="AD56" s="37"/>
      <c r="AE56" s="37"/>
      <c r="AF56" s="37"/>
    </row>
    <row r="57" spans="1:32" ht="33" customHeight="1" thickBot="1">
      <c r="A57" s="396"/>
      <c r="B57" s="397" t="s">
        <v>194</v>
      </c>
      <c r="C57" s="398"/>
      <c r="D57" s="269">
        <f>SUM(D50:D56)</f>
        <v>37831000</v>
      </c>
      <c r="E57" s="269">
        <f t="shared" ref="E57:U57" si="14">SUM(E50:E56)</f>
        <v>37831000</v>
      </c>
      <c r="F57" s="269">
        <f t="shared" si="14"/>
        <v>7303000</v>
      </c>
      <c r="G57" s="269">
        <f t="shared" si="14"/>
        <v>7303000</v>
      </c>
      <c r="H57" s="269">
        <f t="shared" si="14"/>
        <v>66340000</v>
      </c>
      <c r="I57" s="269">
        <f t="shared" si="14"/>
        <v>66340000</v>
      </c>
      <c r="J57" s="269">
        <f t="shared" si="14"/>
        <v>0</v>
      </c>
      <c r="K57" s="269">
        <f t="shared" si="14"/>
        <v>0</v>
      </c>
      <c r="L57" s="269">
        <f t="shared" si="14"/>
        <v>0</v>
      </c>
      <c r="M57" s="269">
        <f t="shared" si="14"/>
        <v>0</v>
      </c>
      <c r="N57" s="269">
        <f t="shared" si="14"/>
        <v>0</v>
      </c>
      <c r="O57" s="269">
        <f t="shared" si="14"/>
        <v>0</v>
      </c>
      <c r="P57" s="269">
        <f t="shared" si="14"/>
        <v>0</v>
      </c>
      <c r="Q57" s="269">
        <f t="shared" si="14"/>
        <v>0</v>
      </c>
      <c r="R57" s="269">
        <f t="shared" si="14"/>
        <v>889000</v>
      </c>
      <c r="S57" s="269">
        <f t="shared" si="14"/>
        <v>889000</v>
      </c>
      <c r="T57" s="269">
        <f t="shared" si="14"/>
        <v>0</v>
      </c>
      <c r="U57" s="269">
        <f t="shared" si="14"/>
        <v>709433</v>
      </c>
      <c r="V57" s="269">
        <f>SUM(V50:V56)</f>
        <v>112363000</v>
      </c>
      <c r="W57" s="269">
        <f>SUM(W50:W56)</f>
        <v>113072433</v>
      </c>
      <c r="X57" s="290">
        <f>SUM(X50:X56)</f>
        <v>19</v>
      </c>
      <c r="Y57" s="290">
        <f>SUM(Y50:Y56)</f>
        <v>19</v>
      </c>
      <c r="Z57" s="110">
        <f>+V57-W57</f>
        <v>-709433</v>
      </c>
      <c r="AA57" s="37"/>
      <c r="AB57" s="37"/>
      <c r="AC57" s="37"/>
      <c r="AD57" s="37"/>
      <c r="AE57" s="37"/>
      <c r="AF57" s="37"/>
    </row>
    <row r="58" spans="1:32" ht="26.25" customHeight="1" thickBot="1">
      <c r="A58" s="388" t="s">
        <v>55</v>
      </c>
      <c r="B58" s="388"/>
      <c r="C58" s="388"/>
      <c r="D58" s="269">
        <f>SUM(D40,D45,D47,D49,D57)</f>
        <v>172604200</v>
      </c>
      <c r="E58" s="269">
        <f t="shared" ref="E58:U58" si="15">SUM(E40,E45,E47,E49,E57)</f>
        <v>225454958</v>
      </c>
      <c r="F58" s="269">
        <f t="shared" si="15"/>
        <v>32695500</v>
      </c>
      <c r="G58" s="269">
        <f t="shared" si="15"/>
        <v>38517564</v>
      </c>
      <c r="H58" s="269">
        <f t="shared" si="15"/>
        <v>135629000</v>
      </c>
      <c r="I58" s="269">
        <f t="shared" si="15"/>
        <v>145932043</v>
      </c>
      <c r="J58" s="269">
        <f t="shared" si="15"/>
        <v>74984709</v>
      </c>
      <c r="K58" s="269">
        <f t="shared" si="15"/>
        <v>88195778</v>
      </c>
      <c r="L58" s="269">
        <f t="shared" si="15"/>
        <v>3781000</v>
      </c>
      <c r="M58" s="269">
        <f t="shared" si="15"/>
        <v>3789265</v>
      </c>
      <c r="N58" s="269">
        <f t="shared" si="15"/>
        <v>92103299</v>
      </c>
      <c r="O58" s="269">
        <f t="shared" si="15"/>
        <v>88908425</v>
      </c>
      <c r="P58" s="269">
        <f t="shared" si="15"/>
        <v>9649634</v>
      </c>
      <c r="Q58" s="269">
        <f t="shared" si="15"/>
        <v>9649634</v>
      </c>
      <c r="R58" s="269">
        <f t="shared" si="15"/>
        <v>277013347</v>
      </c>
      <c r="S58" s="269">
        <f t="shared" si="15"/>
        <v>248723272</v>
      </c>
      <c r="T58" s="269">
        <f t="shared" si="15"/>
        <v>50435066</v>
      </c>
      <c r="U58" s="269">
        <f t="shared" si="15"/>
        <v>51240961</v>
      </c>
      <c r="V58" s="269">
        <f>SUM(V40,V45,V47,V49,V57)</f>
        <v>848895755</v>
      </c>
      <c r="W58" s="269">
        <f>SUM(W40,W45,W47,W49,W57)</f>
        <v>900411900</v>
      </c>
      <c r="X58" s="290">
        <f>SUM(X40,X45,X47,X49,X57)</f>
        <v>123</v>
      </c>
      <c r="Y58" s="290">
        <f>SUM(Y40,Y45,Y47,Y49,Y57)</f>
        <v>105</v>
      </c>
      <c r="Z58" s="37"/>
      <c r="AA58" s="37"/>
      <c r="AB58" s="37"/>
      <c r="AC58" s="37"/>
      <c r="AD58" s="37"/>
      <c r="AE58" s="37"/>
      <c r="AF58" s="37"/>
    </row>
    <row r="60" spans="1:32">
      <c r="W60" s="44"/>
    </row>
    <row r="61" spans="1:32">
      <c r="W61" s="44"/>
    </row>
    <row r="62" spans="1:32">
      <c r="V62" s="293"/>
      <c r="W62" s="312"/>
    </row>
  </sheetData>
  <mergeCells count="21">
    <mergeCell ref="Y4:Y5"/>
    <mergeCell ref="A48:A49"/>
    <mergeCell ref="B49:C49"/>
    <mergeCell ref="A50:A57"/>
    <mergeCell ref="B57:C57"/>
    <mergeCell ref="A58:C58"/>
    <mergeCell ref="W4:W5"/>
    <mergeCell ref="A6:A40"/>
    <mergeCell ref="B40:C40"/>
    <mergeCell ref="A41:A45"/>
    <mergeCell ref="B45:C45"/>
    <mergeCell ref="A46:A47"/>
    <mergeCell ref="B47:C47"/>
    <mergeCell ref="A1:X1"/>
    <mergeCell ref="A2:X2"/>
    <mergeCell ref="A4:A5"/>
    <mergeCell ref="B4:B5"/>
    <mergeCell ref="C4:C5"/>
    <mergeCell ref="D4:T4"/>
    <mergeCell ref="V4:V5"/>
    <mergeCell ref="X4:X5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52" orientation="landscape" r:id="rId1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E121"/>
  <sheetViews>
    <sheetView view="pageBreakPreview" zoomScale="60" workbookViewId="0">
      <selection activeCell="H43" sqref="H43"/>
    </sheetView>
  </sheetViews>
  <sheetFormatPr defaultRowHeight="15.75"/>
  <cols>
    <col min="1" max="1" width="5.85546875" style="46" customWidth="1"/>
    <col min="2" max="2" width="57.140625" style="56" customWidth="1"/>
    <col min="3" max="3" width="30.85546875" style="56" customWidth="1"/>
    <col min="4" max="4" width="18.5703125" style="62" customWidth="1"/>
    <col min="5" max="5" width="18.42578125" style="46" customWidth="1"/>
    <col min="6" max="16384" width="9.140625" style="46"/>
  </cols>
  <sheetData>
    <row r="1" spans="1:5" ht="30" customHeight="1">
      <c r="A1" s="347" t="s">
        <v>380</v>
      </c>
      <c r="B1" s="347"/>
      <c r="C1" s="347"/>
      <c r="D1" s="347"/>
      <c r="E1" s="347"/>
    </row>
    <row r="2" spans="1:5" ht="30" customHeight="1">
      <c r="A2" s="168"/>
      <c r="B2" s="168"/>
      <c r="C2" s="168"/>
      <c r="D2" s="168"/>
      <c r="E2" s="168"/>
    </row>
    <row r="3" spans="1:5" ht="49.5" customHeight="1">
      <c r="A3" s="399" t="s">
        <v>250</v>
      </c>
      <c r="B3" s="399"/>
      <c r="C3" s="399"/>
      <c r="D3" s="399"/>
      <c r="E3" s="399"/>
    </row>
    <row r="4" spans="1:5">
      <c r="B4" s="50"/>
      <c r="C4" s="50"/>
      <c r="D4" s="51"/>
    </row>
    <row r="5" spans="1:5" ht="19.5" customHeight="1" thickBot="1">
      <c r="B5" s="50"/>
      <c r="C5" s="50"/>
      <c r="D5" s="51" t="s">
        <v>211</v>
      </c>
    </row>
    <row r="6" spans="1:5" s="47" customFormat="1" ht="39" customHeight="1" thickBot="1">
      <c r="B6" s="169" t="s">
        <v>207</v>
      </c>
      <c r="C6" s="170" t="s">
        <v>200</v>
      </c>
      <c r="D6" s="319" t="s">
        <v>321</v>
      </c>
      <c r="E6" s="319" t="s">
        <v>322</v>
      </c>
    </row>
    <row r="7" spans="1:5">
      <c r="B7" s="52" t="s">
        <v>58</v>
      </c>
      <c r="C7" s="52"/>
      <c r="D7" s="172">
        <f>+D8+D9+D10</f>
        <v>246525100</v>
      </c>
      <c r="E7" s="172">
        <f>+E8+E9+E10</f>
        <v>215580025</v>
      </c>
    </row>
    <row r="8" spans="1:5">
      <c r="B8" s="276" t="s">
        <v>277</v>
      </c>
      <c r="C8" s="52"/>
      <c r="D8" s="275">
        <v>153625000</v>
      </c>
      <c r="E8" s="275">
        <v>153625000</v>
      </c>
    </row>
    <row r="9" spans="1:5" ht="31.5">
      <c r="B9" s="234" t="s">
        <v>373</v>
      </c>
      <c r="C9" s="232" t="s">
        <v>201</v>
      </c>
      <c r="D9" s="233">
        <v>44590100</v>
      </c>
      <c r="E9" s="233">
        <v>26227170</v>
      </c>
    </row>
    <row r="10" spans="1:5" ht="31.5">
      <c r="B10" s="234" t="s">
        <v>372</v>
      </c>
      <c r="C10" s="232" t="s">
        <v>201</v>
      </c>
      <c r="D10" s="283">
        <v>48310000</v>
      </c>
      <c r="E10" s="283">
        <f>41532855-3150000-2655000</f>
        <v>35727855</v>
      </c>
    </row>
    <row r="11" spans="1:5">
      <c r="B11" s="53" t="s">
        <v>59</v>
      </c>
      <c r="C11" s="52"/>
      <c r="D11" s="284">
        <f>+SUM(D12:D30)</f>
        <v>80923313</v>
      </c>
      <c r="E11" s="284">
        <f>+SUM(E12+E13+E14+E15+E16+E17+E18+E19+E20+E21+E22+E23+E24+E25+E26+E27+E28+E29+E30)</f>
        <v>81729208</v>
      </c>
    </row>
    <row r="12" spans="1:5">
      <c r="B12" s="231" t="s">
        <v>199</v>
      </c>
      <c r="C12" s="171" t="s">
        <v>201</v>
      </c>
      <c r="D12" s="277">
        <v>1651000</v>
      </c>
      <c r="E12" s="277">
        <v>1651000</v>
      </c>
    </row>
    <row r="13" spans="1:5">
      <c r="B13" s="231" t="s">
        <v>208</v>
      </c>
      <c r="C13" s="171" t="s">
        <v>201</v>
      </c>
      <c r="D13" s="277">
        <v>254000</v>
      </c>
      <c r="E13" s="277">
        <v>254000</v>
      </c>
    </row>
    <row r="14" spans="1:5">
      <c r="B14" s="231" t="s">
        <v>221</v>
      </c>
      <c r="C14" s="171" t="s">
        <v>201</v>
      </c>
      <c r="D14" s="277">
        <v>222000</v>
      </c>
      <c r="E14" s="277">
        <v>222000</v>
      </c>
    </row>
    <row r="15" spans="1:5">
      <c r="B15" s="231" t="s">
        <v>222</v>
      </c>
      <c r="C15" s="171" t="s">
        <v>201</v>
      </c>
      <c r="D15" s="277">
        <v>889000</v>
      </c>
      <c r="E15" s="277">
        <v>889000</v>
      </c>
    </row>
    <row r="16" spans="1:5">
      <c r="B16" s="231" t="s">
        <v>375</v>
      </c>
      <c r="C16" s="171" t="s">
        <v>202</v>
      </c>
      <c r="D16" s="277">
        <v>0</v>
      </c>
      <c r="E16" s="277">
        <v>96462</v>
      </c>
    </row>
    <row r="17" spans="2:5">
      <c r="B17" s="231" t="s">
        <v>223</v>
      </c>
      <c r="C17" s="171" t="s">
        <v>201</v>
      </c>
      <c r="D17" s="277">
        <v>1100000</v>
      </c>
      <c r="E17" s="277">
        <v>1100000</v>
      </c>
    </row>
    <row r="18" spans="2:5">
      <c r="B18" s="231" t="s">
        <v>259</v>
      </c>
      <c r="C18" s="171" t="s">
        <v>201</v>
      </c>
      <c r="D18" s="277">
        <v>600000</v>
      </c>
      <c r="E18" s="277">
        <v>600000</v>
      </c>
    </row>
    <row r="19" spans="2:5">
      <c r="B19" s="231" t="s">
        <v>279</v>
      </c>
      <c r="C19" s="171" t="s">
        <v>201</v>
      </c>
      <c r="D19" s="277">
        <v>350000</v>
      </c>
      <c r="E19" s="277">
        <v>350000</v>
      </c>
    </row>
    <row r="20" spans="2:5">
      <c r="B20" s="231" t="s">
        <v>261</v>
      </c>
      <c r="C20" s="171" t="s">
        <v>201</v>
      </c>
      <c r="D20" s="277">
        <v>300000</v>
      </c>
      <c r="E20" s="277">
        <v>300000</v>
      </c>
    </row>
    <row r="21" spans="2:5">
      <c r="B21" s="231" t="s">
        <v>262</v>
      </c>
      <c r="C21" s="171" t="s">
        <v>201</v>
      </c>
      <c r="D21" s="277">
        <v>23447542</v>
      </c>
      <c r="E21" s="277">
        <v>23447542</v>
      </c>
    </row>
    <row r="22" spans="2:5">
      <c r="B22" s="231" t="s">
        <v>280</v>
      </c>
      <c r="C22" s="171" t="s">
        <v>201</v>
      </c>
      <c r="D22" s="277">
        <v>292681</v>
      </c>
      <c r="E22" s="277">
        <v>292681</v>
      </c>
    </row>
    <row r="23" spans="2:5">
      <c r="B23" s="231" t="s">
        <v>265</v>
      </c>
      <c r="C23" s="171" t="s">
        <v>201</v>
      </c>
      <c r="D23" s="277">
        <v>130000</v>
      </c>
      <c r="E23" s="277">
        <v>130000</v>
      </c>
    </row>
    <row r="24" spans="2:5">
      <c r="B24" s="231" t="s">
        <v>266</v>
      </c>
      <c r="C24" s="171" t="s">
        <v>201</v>
      </c>
      <c r="D24" s="277">
        <v>440000</v>
      </c>
      <c r="E24" s="277">
        <v>320000</v>
      </c>
    </row>
    <row r="25" spans="2:5">
      <c r="B25" s="231" t="s">
        <v>267</v>
      </c>
      <c r="C25" s="171" t="s">
        <v>202</v>
      </c>
      <c r="D25" s="277">
        <v>4189100</v>
      </c>
      <c r="E25" s="277">
        <v>4189100</v>
      </c>
    </row>
    <row r="26" spans="2:5">
      <c r="B26" s="231" t="s">
        <v>258</v>
      </c>
      <c r="C26" s="171" t="s">
        <v>201</v>
      </c>
      <c r="D26" s="277">
        <v>812024</v>
      </c>
      <c r="E26" s="277">
        <v>932024</v>
      </c>
    </row>
    <row r="27" spans="2:5">
      <c r="B27" s="231" t="s">
        <v>374</v>
      </c>
      <c r="C27" s="171" t="s">
        <v>202</v>
      </c>
      <c r="D27" s="277">
        <v>0</v>
      </c>
      <c r="E27" s="277">
        <v>709433</v>
      </c>
    </row>
    <row r="28" spans="2:5">
      <c r="B28" s="231" t="s">
        <v>260</v>
      </c>
      <c r="C28" s="171" t="s">
        <v>202</v>
      </c>
      <c r="D28" s="277">
        <v>4500000</v>
      </c>
      <c r="E28" s="277">
        <v>4500000</v>
      </c>
    </row>
    <row r="29" spans="2:5">
      <c r="B29" s="231" t="s">
        <v>263</v>
      </c>
      <c r="C29" s="171" t="s">
        <v>202</v>
      </c>
      <c r="D29" s="277">
        <v>14136116</v>
      </c>
      <c r="E29" s="277">
        <v>14136116</v>
      </c>
    </row>
    <row r="30" spans="2:5">
      <c r="B30" s="231" t="s">
        <v>264</v>
      </c>
      <c r="C30" s="171" t="s">
        <v>202</v>
      </c>
      <c r="D30" s="277">
        <v>27609850</v>
      </c>
      <c r="E30" s="277">
        <v>27609850</v>
      </c>
    </row>
    <row r="31" spans="2:5">
      <c r="B31" s="49" t="s">
        <v>56</v>
      </c>
      <c r="C31" s="49"/>
      <c r="D31" s="230">
        <f>+D11+D7</f>
        <v>327448413</v>
      </c>
      <c r="E31" s="230">
        <f>+E11+E7</f>
        <v>297309233</v>
      </c>
    </row>
    <row r="32" spans="2:5" s="47" customFormat="1">
      <c r="B32" s="54"/>
      <c r="C32" s="54"/>
      <c r="D32" s="55"/>
      <c r="E32" s="322"/>
    </row>
    <row r="33" spans="2:4" ht="24.75" customHeight="1">
      <c r="B33" s="54"/>
      <c r="C33" s="54"/>
      <c r="D33" s="55"/>
    </row>
    <row r="34" spans="2:4" ht="11.25" customHeight="1">
      <c r="B34" s="54"/>
      <c r="C34" s="54"/>
      <c r="D34" s="55"/>
    </row>
    <row r="35" spans="2:4" s="47" customFormat="1">
      <c r="B35" s="54"/>
      <c r="C35" s="54"/>
      <c r="D35" s="54"/>
    </row>
    <row r="36" spans="2:4" s="47" customFormat="1">
      <c r="B36" s="56"/>
      <c r="C36" s="56"/>
      <c r="D36" s="56"/>
    </row>
    <row r="37" spans="2:4">
      <c r="D37" s="56"/>
    </row>
    <row r="38" spans="2:4" s="47" customFormat="1">
      <c r="B38" s="56"/>
      <c r="C38" s="56"/>
      <c r="D38" s="56"/>
    </row>
    <row r="39" spans="2:4">
      <c r="D39" s="56"/>
    </row>
    <row r="40" spans="2:4">
      <c r="D40" s="56"/>
    </row>
    <row r="41" spans="2:4">
      <c r="D41" s="56"/>
    </row>
    <row r="42" spans="2:4">
      <c r="D42" s="56"/>
    </row>
    <row r="43" spans="2:4">
      <c r="D43" s="56"/>
    </row>
    <row r="44" spans="2:4">
      <c r="D44" s="56"/>
    </row>
    <row r="45" spans="2:4">
      <c r="D45" s="56"/>
    </row>
    <row r="46" spans="2:4">
      <c r="D46" s="56"/>
    </row>
    <row r="47" spans="2:4">
      <c r="D47" s="56"/>
    </row>
    <row r="48" spans="2:4">
      <c r="D48" s="56"/>
    </row>
    <row r="49" spans="2:4">
      <c r="B49" s="57"/>
      <c r="C49" s="57"/>
      <c r="D49" s="58"/>
    </row>
    <row r="50" spans="2:4">
      <c r="B50" s="57"/>
      <c r="C50" s="57"/>
      <c r="D50" s="58"/>
    </row>
    <row r="51" spans="2:4">
      <c r="B51" s="57"/>
      <c r="C51" s="57"/>
      <c r="D51" s="58"/>
    </row>
    <row r="52" spans="2:4">
      <c r="B52" s="57"/>
      <c r="C52" s="57"/>
      <c r="D52" s="58"/>
    </row>
    <row r="53" spans="2:4" s="48" customFormat="1">
      <c r="B53" s="57"/>
      <c r="C53" s="57"/>
      <c r="D53" s="58"/>
    </row>
    <row r="54" spans="2:4" s="47" customFormat="1">
      <c r="B54" s="57"/>
      <c r="C54" s="57"/>
      <c r="D54" s="58"/>
    </row>
    <row r="55" spans="2:4" s="59" customFormat="1">
      <c r="B55" s="57"/>
      <c r="C55" s="57"/>
      <c r="D55" s="58"/>
    </row>
    <row r="56" spans="2:4">
      <c r="B56" s="57"/>
      <c r="C56" s="57"/>
      <c r="D56" s="58"/>
    </row>
    <row r="57" spans="2:4">
      <c r="B57" s="57"/>
      <c r="C57" s="57"/>
      <c r="D57" s="58"/>
    </row>
    <row r="58" spans="2:4">
      <c r="B58" s="57"/>
      <c r="C58" s="57"/>
      <c r="D58" s="58"/>
    </row>
    <row r="59" spans="2:4">
      <c r="B59" s="57"/>
      <c r="C59" s="57"/>
      <c r="D59" s="58"/>
    </row>
    <row r="60" spans="2:4">
      <c r="B60" s="57"/>
      <c r="C60" s="57"/>
      <c r="D60" s="58"/>
    </row>
    <row r="61" spans="2:4">
      <c r="B61" s="57"/>
      <c r="C61" s="57"/>
      <c r="D61" s="58"/>
    </row>
    <row r="62" spans="2:4">
      <c r="B62" s="57"/>
      <c r="C62" s="57"/>
      <c r="D62" s="58"/>
    </row>
    <row r="63" spans="2:4">
      <c r="B63" s="57"/>
      <c r="C63" s="57"/>
      <c r="D63" s="58"/>
    </row>
    <row r="64" spans="2:4">
      <c r="B64" s="57"/>
      <c r="C64" s="57"/>
      <c r="D64" s="58"/>
    </row>
    <row r="65" spans="2:4">
      <c r="B65" s="57"/>
      <c r="C65" s="57"/>
      <c r="D65" s="58"/>
    </row>
    <row r="66" spans="2:4">
      <c r="B66" s="57"/>
      <c r="C66" s="57"/>
      <c r="D66" s="58"/>
    </row>
    <row r="67" spans="2:4">
      <c r="B67" s="54"/>
      <c r="C67" s="54"/>
      <c r="D67" s="60"/>
    </row>
    <row r="68" spans="2:4">
      <c r="D68" s="56"/>
    </row>
    <row r="69" spans="2:4">
      <c r="D69" s="56"/>
    </row>
    <row r="70" spans="2:4" s="47" customFormat="1">
      <c r="B70" s="54"/>
      <c r="C70" s="54"/>
      <c r="D70" s="54"/>
    </row>
    <row r="71" spans="2:4">
      <c r="D71" s="56"/>
    </row>
    <row r="72" spans="2:4">
      <c r="D72" s="56"/>
    </row>
    <row r="73" spans="2:4" s="47" customFormat="1">
      <c r="B73" s="54"/>
      <c r="C73" s="54"/>
      <c r="D73" s="56"/>
    </row>
    <row r="74" spans="2:4">
      <c r="B74" s="57"/>
      <c r="C74" s="57"/>
      <c r="D74" s="61"/>
    </row>
    <row r="75" spans="2:4">
      <c r="B75" s="57"/>
      <c r="C75" s="57"/>
      <c r="D75" s="61"/>
    </row>
    <row r="76" spans="2:4">
      <c r="B76" s="57"/>
      <c r="C76" s="57"/>
      <c r="D76" s="61"/>
    </row>
    <row r="77" spans="2:4">
      <c r="B77" s="57"/>
      <c r="C77" s="57"/>
      <c r="D77" s="61"/>
    </row>
    <row r="78" spans="2:4">
      <c r="B78" s="57"/>
      <c r="C78" s="57"/>
      <c r="D78" s="61"/>
    </row>
    <row r="79" spans="2:4">
      <c r="B79" s="57"/>
      <c r="C79" s="57"/>
      <c r="D79" s="61"/>
    </row>
    <row r="80" spans="2:4">
      <c r="B80" s="57"/>
      <c r="C80" s="57"/>
      <c r="D80" s="61"/>
    </row>
    <row r="81" spans="2:4">
      <c r="B81" s="57"/>
      <c r="C81" s="57"/>
      <c r="D81" s="61"/>
    </row>
    <row r="82" spans="2:4">
      <c r="B82" s="54"/>
      <c r="C82" s="54"/>
      <c r="D82" s="55"/>
    </row>
    <row r="83" spans="2:4">
      <c r="B83" s="54"/>
      <c r="C83" s="54"/>
    </row>
    <row r="84" spans="2:4">
      <c r="D84" s="55"/>
    </row>
    <row r="85" spans="2:4">
      <c r="B85" s="54"/>
      <c r="C85" s="54"/>
    </row>
    <row r="87" spans="2:4">
      <c r="D87" s="55"/>
    </row>
    <row r="88" spans="2:4">
      <c r="B88" s="54"/>
      <c r="C88" s="54"/>
      <c r="D88" s="55"/>
    </row>
    <row r="89" spans="2:4">
      <c r="B89" s="54"/>
      <c r="C89" s="54"/>
    </row>
    <row r="90" spans="2:4">
      <c r="D90" s="55"/>
    </row>
    <row r="91" spans="2:4">
      <c r="B91" s="54"/>
      <c r="C91" s="54"/>
      <c r="D91" s="61"/>
    </row>
    <row r="92" spans="2:4">
      <c r="B92" s="63"/>
      <c r="C92" s="63"/>
      <c r="D92" s="61"/>
    </row>
    <row r="93" spans="2:4">
      <c r="B93" s="63"/>
      <c r="C93" s="63"/>
      <c r="D93" s="61"/>
    </row>
    <row r="94" spans="2:4">
      <c r="B94" s="63"/>
      <c r="C94" s="63"/>
      <c r="D94" s="61"/>
    </row>
    <row r="95" spans="2:4">
      <c r="B95" s="63"/>
      <c r="C95" s="63"/>
      <c r="D95" s="61"/>
    </row>
    <row r="96" spans="2:4">
      <c r="B96" s="63"/>
      <c r="C96" s="63"/>
      <c r="D96" s="61"/>
    </row>
    <row r="97" spans="2:4">
      <c r="B97" s="63"/>
      <c r="C97" s="63"/>
      <c r="D97" s="61"/>
    </row>
    <row r="98" spans="2:4">
      <c r="B98" s="63"/>
      <c r="C98" s="63"/>
      <c r="D98" s="61"/>
    </row>
    <row r="99" spans="2:4">
      <c r="B99" s="63"/>
      <c r="C99" s="63"/>
      <c r="D99" s="61"/>
    </row>
    <row r="100" spans="2:4">
      <c r="B100" s="63"/>
      <c r="C100" s="63"/>
    </row>
    <row r="107" spans="2:4">
      <c r="D107" s="55"/>
    </row>
    <row r="108" spans="2:4">
      <c r="B108" s="54"/>
      <c r="C108" s="54"/>
    </row>
    <row r="109" spans="2:4">
      <c r="D109" s="55"/>
    </row>
    <row r="110" spans="2:4">
      <c r="B110" s="54"/>
      <c r="C110" s="54"/>
    </row>
    <row r="113" spans="2:4">
      <c r="D113" s="55"/>
    </row>
    <row r="114" spans="2:4">
      <c r="D114" s="56"/>
    </row>
    <row r="115" spans="2:4">
      <c r="D115" s="55"/>
    </row>
    <row r="116" spans="2:4">
      <c r="B116" s="54"/>
      <c r="C116" s="54"/>
      <c r="D116" s="61"/>
    </row>
    <row r="117" spans="2:4">
      <c r="B117" s="63"/>
      <c r="C117" s="63"/>
    </row>
    <row r="118" spans="2:4">
      <c r="D118" s="55"/>
    </row>
    <row r="119" spans="2:4">
      <c r="B119" s="54"/>
      <c r="C119" s="54"/>
    </row>
    <row r="120" spans="2:4">
      <c r="D120" s="55"/>
    </row>
    <row r="121" spans="2:4">
      <c r="B121" s="54"/>
      <c r="C121" s="54"/>
    </row>
  </sheetData>
  <mergeCells count="2">
    <mergeCell ref="A3:E3"/>
    <mergeCell ref="A1:E1"/>
  </mergeCells>
  <phoneticPr fontId="0" type="noConversion"/>
  <printOptions horizontalCentered="1"/>
  <pageMargins left="0.39370078740157483" right="0.39370078740157483" top="0.35433070866141736" bottom="0.6692913385826772" header="0.35433070866141736" footer="0.27559055118110237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L19"/>
  <sheetViews>
    <sheetView topLeftCell="B1" workbookViewId="0">
      <selection activeCell="L25" sqref="L25"/>
    </sheetView>
  </sheetViews>
  <sheetFormatPr defaultColWidth="8.85546875" defaultRowHeight="15.75"/>
  <cols>
    <col min="1" max="2" width="8.85546875" style="37"/>
    <col min="3" max="3" width="8.85546875" style="65"/>
    <col min="4" max="4" width="38.42578125" style="65" customWidth="1"/>
    <col min="5" max="5" width="9.140625" style="64" hidden="1" customWidth="1"/>
    <col min="6" max="6" width="9.140625" style="65" hidden="1" customWidth="1"/>
    <col min="7" max="12" width="8.85546875" style="65"/>
    <col min="13" max="16384" width="8.85546875" style="37"/>
  </cols>
  <sheetData>
    <row r="1" spans="1:9">
      <c r="A1" s="401" t="s">
        <v>383</v>
      </c>
      <c r="B1" s="401"/>
      <c r="C1" s="401"/>
      <c r="D1" s="401"/>
      <c r="E1" s="401"/>
      <c r="F1" s="401"/>
      <c r="G1" s="401"/>
      <c r="H1" s="401"/>
      <c r="I1" s="401"/>
    </row>
    <row r="4" spans="1:9" ht="37.5" customHeight="1">
      <c r="A4" s="400" t="s">
        <v>251</v>
      </c>
      <c r="B4" s="400"/>
      <c r="C4" s="400"/>
      <c r="D4" s="400"/>
      <c r="E4" s="400"/>
      <c r="F4" s="400"/>
      <c r="G4" s="400"/>
      <c r="H4" s="400"/>
      <c r="I4" s="400"/>
    </row>
    <row r="5" spans="1:9" ht="37.5" customHeight="1">
      <c r="B5" s="208"/>
      <c r="C5" s="208"/>
      <c r="D5" s="208"/>
      <c r="E5" s="208"/>
      <c r="F5" s="208"/>
      <c r="G5" s="208"/>
      <c r="H5" s="208"/>
      <c r="I5" s="208"/>
    </row>
    <row r="7" spans="1:9" ht="20.25">
      <c r="B7" s="278"/>
      <c r="C7" s="279" t="s">
        <v>166</v>
      </c>
      <c r="D7" s="279"/>
      <c r="E7" s="280"/>
      <c r="F7" s="279"/>
      <c r="H7" s="279">
        <v>35</v>
      </c>
      <c r="I7" s="279" t="s">
        <v>323</v>
      </c>
    </row>
    <row r="8" spans="1:9" ht="20.25">
      <c r="B8" s="278"/>
      <c r="C8" s="279"/>
      <c r="D8" s="279"/>
      <c r="E8" s="280"/>
      <c r="F8" s="279"/>
      <c r="H8" s="279"/>
    </row>
    <row r="9" spans="1:9" ht="20.25">
      <c r="B9" s="278"/>
      <c r="C9" s="279"/>
      <c r="D9" s="279"/>
      <c r="E9" s="280"/>
      <c r="F9" s="279"/>
      <c r="H9" s="279"/>
    </row>
    <row r="10" spans="1:9" ht="20.25">
      <c r="B10" s="278"/>
      <c r="C10" s="279" t="s">
        <v>240</v>
      </c>
      <c r="D10" s="279"/>
      <c r="E10" s="280"/>
      <c r="F10" s="279"/>
      <c r="H10" s="279">
        <v>16</v>
      </c>
      <c r="I10" s="279" t="s">
        <v>323</v>
      </c>
    </row>
    <row r="11" spans="1:9" ht="20.25">
      <c r="B11" s="278"/>
      <c r="C11" s="279"/>
      <c r="D11" s="279"/>
      <c r="E11" s="280"/>
      <c r="F11" s="279"/>
      <c r="H11" s="279"/>
    </row>
    <row r="12" spans="1:9" ht="20.25">
      <c r="B12" s="278"/>
      <c r="C12" s="279"/>
      <c r="D12" s="279"/>
      <c r="E12" s="280"/>
      <c r="F12" s="279"/>
      <c r="H12" s="279"/>
    </row>
    <row r="13" spans="1:9" ht="20.25">
      <c r="B13" s="278"/>
      <c r="C13" s="279"/>
      <c r="D13" s="279"/>
      <c r="E13" s="280"/>
      <c r="F13" s="279"/>
      <c r="H13" s="279"/>
    </row>
    <row r="14" spans="1:9" ht="20.25">
      <c r="B14" s="278"/>
      <c r="C14" s="279"/>
      <c r="D14" s="279" t="s">
        <v>45</v>
      </c>
      <c r="E14" s="280"/>
      <c r="F14" s="279"/>
      <c r="H14" s="279">
        <f>+H10+H7</f>
        <v>51</v>
      </c>
      <c r="I14" s="279" t="s">
        <v>323</v>
      </c>
    </row>
    <row r="15" spans="1:9" ht="20.25">
      <c r="B15" s="278"/>
      <c r="C15" s="279"/>
      <c r="D15" s="279"/>
      <c r="E15" s="280"/>
      <c r="F15" s="279"/>
      <c r="G15" s="279"/>
    </row>
    <row r="16" spans="1:9" ht="13.5" customHeight="1"/>
    <row r="19" ht="18" customHeight="1"/>
  </sheetData>
  <mergeCells count="2">
    <mergeCell ref="A1:I1"/>
    <mergeCell ref="A4:I4"/>
  </mergeCells>
  <phoneticPr fontId="0" type="noConversion"/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J13"/>
  <sheetViews>
    <sheetView view="pageBreakPreview" topLeftCell="B1" zoomScale="60" workbookViewId="0">
      <selection activeCell="K43" sqref="K43"/>
    </sheetView>
  </sheetViews>
  <sheetFormatPr defaultColWidth="8.85546875" defaultRowHeight="15.75"/>
  <cols>
    <col min="1" max="1" width="12.28515625" style="37" hidden="1" customWidth="1"/>
    <col min="2" max="2" width="47.28515625" style="37" customWidth="1"/>
    <col min="3" max="3" width="25.7109375" style="65" customWidth="1"/>
    <col min="4" max="4" width="20.7109375" style="65" customWidth="1"/>
    <col min="5" max="5" width="8.85546875" style="65"/>
    <col min="6" max="8" width="9.140625" style="65" customWidth="1"/>
    <col min="9" max="10" width="8.85546875" style="72"/>
    <col min="11" max="16384" width="8.85546875" style="37"/>
  </cols>
  <sheetData>
    <row r="1" spans="1:10">
      <c r="A1" s="350" t="s">
        <v>384</v>
      </c>
      <c r="B1" s="350"/>
      <c r="C1" s="350"/>
      <c r="D1" s="350"/>
      <c r="E1" s="157"/>
      <c r="F1" s="157"/>
      <c r="G1" s="157"/>
      <c r="H1" s="157"/>
    </row>
    <row r="4" spans="1:10" ht="38.25" customHeight="1">
      <c r="A4" s="402" t="s">
        <v>252</v>
      </c>
      <c r="B4" s="402"/>
      <c r="C4" s="402"/>
      <c r="D4" s="402"/>
      <c r="E4" s="402"/>
      <c r="F4" s="281"/>
      <c r="G4" s="281"/>
      <c r="H4" s="281"/>
    </row>
    <row r="6" spans="1:10" ht="16.5" thickBot="1">
      <c r="C6" s="73" t="s">
        <v>224</v>
      </c>
    </row>
    <row r="7" spans="1:10" ht="16.5" customHeight="1" thickBot="1">
      <c r="C7" s="324" t="s">
        <v>309</v>
      </c>
      <c r="D7" s="324" t="s">
        <v>376</v>
      </c>
    </row>
    <row r="8" spans="1:10" s="39" customFormat="1" ht="35.1" customHeight="1" thickBot="1">
      <c r="B8" s="327" t="s">
        <v>62</v>
      </c>
      <c r="C8" s="325">
        <f>+C9+C10+C11</f>
        <v>90687347</v>
      </c>
      <c r="D8" s="323">
        <f>+D9+D10+D11</f>
        <v>88808885</v>
      </c>
      <c r="E8" s="76"/>
      <c r="F8" s="74"/>
      <c r="G8" s="74"/>
      <c r="H8" s="74"/>
      <c r="I8" s="75"/>
      <c r="J8" s="75"/>
    </row>
    <row r="9" spans="1:10">
      <c r="B9" s="326" t="s">
        <v>281</v>
      </c>
      <c r="C9" s="235">
        <v>29080156</v>
      </c>
      <c r="D9" s="235">
        <v>27298156</v>
      </c>
    </row>
    <row r="10" spans="1:10" ht="47.25">
      <c r="B10" s="109" t="s">
        <v>282</v>
      </c>
      <c r="C10" s="235">
        <v>55599872</v>
      </c>
      <c r="D10" s="235">
        <v>55503410</v>
      </c>
    </row>
    <row r="11" spans="1:10" ht="47.25">
      <c r="B11" s="109" t="s">
        <v>283</v>
      </c>
      <c r="C11" s="235">
        <v>6007319</v>
      </c>
      <c r="D11" s="235">
        <v>6007319</v>
      </c>
    </row>
    <row r="12" spans="1:10" s="39" customFormat="1" ht="28.5" customHeight="1">
      <c r="B12" s="300" t="s">
        <v>284</v>
      </c>
      <c r="C12" s="299">
        <v>1415952</v>
      </c>
      <c r="D12" s="299">
        <v>99540</v>
      </c>
      <c r="E12" s="76"/>
      <c r="F12" s="74"/>
      <c r="G12" s="74"/>
      <c r="H12" s="74"/>
      <c r="I12" s="75"/>
      <c r="J12" s="75"/>
    </row>
    <row r="13" spans="1:10" ht="20.25">
      <c r="B13" s="285" t="s">
        <v>133</v>
      </c>
      <c r="C13" s="286">
        <f>SUM(C8,C12)</f>
        <v>92103299</v>
      </c>
      <c r="D13" s="286">
        <f>+D12+D8</f>
        <v>88908425</v>
      </c>
    </row>
  </sheetData>
  <mergeCells count="2">
    <mergeCell ref="A4:E4"/>
    <mergeCell ref="A1:D1"/>
  </mergeCells>
  <phoneticPr fontId="0" type="noConversion"/>
  <printOptions horizontalCentered="1"/>
  <pageMargins left="0.55118110236220474" right="0.27559055118110237" top="0.74803149606299213" bottom="0.74803149606299213" header="0.31496062992125984" footer="0.31496062992125984"/>
  <pageSetup paperSize="9" orientation="portrait" r:id="rId1"/>
  <colBreaks count="1" manualBreakCount="1">
    <brk id="3" max="12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AD23"/>
  <sheetViews>
    <sheetView zoomScale="80" zoomScaleNormal="80" zoomScaleSheetLayoutView="8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N26" sqref="N26"/>
    </sheetView>
  </sheetViews>
  <sheetFormatPr defaultRowHeight="15.75"/>
  <cols>
    <col min="1" max="1" width="36.85546875" style="83" customWidth="1"/>
    <col min="2" max="2" width="12.5703125" style="83" customWidth="1"/>
    <col min="3" max="3" width="13.5703125" style="83" customWidth="1"/>
    <col min="4" max="5" width="10.7109375" style="83" customWidth="1"/>
    <col min="6" max="6" width="11.5703125" style="83" customWidth="1"/>
    <col min="7" max="7" width="13" style="83" customWidth="1"/>
    <col min="8" max="8" width="11.85546875" style="83" customWidth="1"/>
    <col min="9" max="12" width="12" style="83" bestFit="1" customWidth="1"/>
    <col min="13" max="13" width="13.85546875" style="97" bestFit="1" customWidth="1"/>
    <col min="14" max="14" width="14" style="98" bestFit="1" customWidth="1"/>
    <col min="15" max="15" width="13.85546875" style="98" customWidth="1"/>
    <col min="16" max="16" width="14" style="78" bestFit="1" customWidth="1"/>
    <col min="17" max="17" width="14.28515625" style="78" customWidth="1"/>
    <col min="18" max="18" width="12.85546875" style="79" customWidth="1"/>
    <col min="19" max="19" width="12" style="79" bestFit="1" customWidth="1"/>
    <col min="20" max="20" width="11.5703125" style="78" bestFit="1" customWidth="1"/>
    <col min="21" max="21" width="12.140625" style="78" customWidth="1"/>
    <col min="22" max="22" width="11.5703125" style="78" bestFit="1" customWidth="1"/>
    <col min="23" max="23" width="13.28515625" style="78" customWidth="1"/>
    <col min="24" max="24" width="11.5703125" style="78" bestFit="1" customWidth="1"/>
    <col min="25" max="25" width="13.28515625" style="78" customWidth="1"/>
    <col min="26" max="27" width="13.140625" style="78" bestFit="1" customWidth="1"/>
    <col min="28" max="28" width="16.85546875" style="78" customWidth="1"/>
    <col min="29" max="29" width="20.28515625" style="78" customWidth="1"/>
    <col min="30" max="16384" width="9.140625" style="78"/>
  </cols>
  <sheetData>
    <row r="1" spans="1:30">
      <c r="A1" s="404" t="s">
        <v>385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77"/>
      <c r="O1" s="77"/>
    </row>
    <row r="2" spans="1:30" s="81" customFormat="1" ht="28.5" customHeight="1">
      <c r="A2" s="405" t="s">
        <v>253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80"/>
      <c r="O2" s="80"/>
      <c r="R2" s="82"/>
      <c r="S2" s="82"/>
    </row>
    <row r="3" spans="1:30" ht="26.25" customHeight="1" thickBot="1">
      <c r="M3" s="84" t="s">
        <v>211</v>
      </c>
      <c r="N3" s="85"/>
      <c r="O3" s="85"/>
    </row>
    <row r="4" spans="1:30" s="88" customFormat="1" ht="24.95" customHeight="1" thickBot="1">
      <c r="A4" s="86"/>
      <c r="B4" s="406" t="s">
        <v>63</v>
      </c>
      <c r="C4" s="407"/>
      <c r="D4" s="406" t="s">
        <v>64</v>
      </c>
      <c r="E4" s="407"/>
      <c r="F4" s="406" t="s">
        <v>65</v>
      </c>
      <c r="G4" s="407"/>
      <c r="H4" s="406" t="s">
        <v>66</v>
      </c>
      <c r="I4" s="407"/>
      <c r="J4" s="406" t="s">
        <v>67</v>
      </c>
      <c r="K4" s="407"/>
      <c r="L4" s="406" t="s">
        <v>68</v>
      </c>
      <c r="M4" s="407"/>
      <c r="N4" s="406" t="s">
        <v>69</v>
      </c>
      <c r="O4" s="407"/>
      <c r="P4" s="406" t="s">
        <v>70</v>
      </c>
      <c r="Q4" s="407"/>
      <c r="R4" s="406" t="s">
        <v>71</v>
      </c>
      <c r="S4" s="407"/>
      <c r="T4" s="406" t="s">
        <v>72</v>
      </c>
      <c r="U4" s="407"/>
      <c r="V4" s="406" t="s">
        <v>73</v>
      </c>
      <c r="W4" s="407"/>
      <c r="X4" s="406" t="s">
        <v>74</v>
      </c>
      <c r="Y4" s="409"/>
      <c r="Z4" s="408" t="s">
        <v>61</v>
      </c>
      <c r="AA4" s="408"/>
      <c r="AB4" s="87"/>
      <c r="AD4" s="89"/>
    </row>
    <row r="5" spans="1:30" s="88" customFormat="1" ht="45.75" customHeight="1">
      <c r="A5" s="86"/>
      <c r="B5" s="328" t="s">
        <v>309</v>
      </c>
      <c r="C5" s="328" t="s">
        <v>376</v>
      </c>
      <c r="D5" s="328" t="s">
        <v>309</v>
      </c>
      <c r="E5" s="328" t="s">
        <v>376</v>
      </c>
      <c r="F5" s="328" t="s">
        <v>309</v>
      </c>
      <c r="G5" s="328" t="s">
        <v>376</v>
      </c>
      <c r="H5" s="328" t="s">
        <v>309</v>
      </c>
      <c r="I5" s="328" t="s">
        <v>376</v>
      </c>
      <c r="J5" s="328" t="s">
        <v>309</v>
      </c>
      <c r="K5" s="328" t="s">
        <v>376</v>
      </c>
      <c r="L5" s="328" t="s">
        <v>309</v>
      </c>
      <c r="M5" s="328" t="s">
        <v>376</v>
      </c>
      <c r="N5" s="328" t="s">
        <v>309</v>
      </c>
      <c r="O5" s="328" t="s">
        <v>376</v>
      </c>
      <c r="P5" s="328" t="s">
        <v>309</v>
      </c>
      <c r="Q5" s="328" t="s">
        <v>376</v>
      </c>
      <c r="R5" s="328" t="s">
        <v>309</v>
      </c>
      <c r="S5" s="328" t="s">
        <v>376</v>
      </c>
      <c r="T5" s="328" t="s">
        <v>309</v>
      </c>
      <c r="U5" s="328" t="s">
        <v>376</v>
      </c>
      <c r="V5" s="328" t="s">
        <v>309</v>
      </c>
      <c r="W5" s="328" t="s">
        <v>376</v>
      </c>
      <c r="X5" s="328" t="s">
        <v>309</v>
      </c>
      <c r="Y5" s="328" t="s">
        <v>376</v>
      </c>
      <c r="Z5" s="329" t="s">
        <v>309</v>
      </c>
      <c r="AA5" s="329" t="s">
        <v>376</v>
      </c>
      <c r="AB5" s="87"/>
      <c r="AD5" s="89"/>
    </row>
    <row r="6" spans="1:30" ht="24.95" customHeight="1">
      <c r="A6" s="90" t="s">
        <v>86</v>
      </c>
      <c r="B6" s="263">
        <v>24300000</v>
      </c>
      <c r="C6" s="263">
        <v>27453224</v>
      </c>
      <c r="D6" s="263">
        <v>24300000</v>
      </c>
      <c r="E6" s="263">
        <v>27453224</v>
      </c>
      <c r="F6" s="263">
        <v>24300000</v>
      </c>
      <c r="G6" s="263">
        <v>27453224</v>
      </c>
      <c r="H6" s="263">
        <v>24300000</v>
      </c>
      <c r="I6" s="263">
        <v>27453224</v>
      </c>
      <c r="J6" s="263">
        <v>24300000</v>
      </c>
      <c r="K6" s="263">
        <v>27453224</v>
      </c>
      <c r="L6" s="263">
        <v>24300000</v>
      </c>
      <c r="M6" s="263">
        <v>27453224</v>
      </c>
      <c r="N6" s="263">
        <v>24300000</v>
      </c>
      <c r="O6" s="263">
        <v>27453224</v>
      </c>
      <c r="P6" s="263">
        <v>24300000</v>
      </c>
      <c r="Q6" s="263">
        <v>27453224</v>
      </c>
      <c r="R6" s="263">
        <v>24300000</v>
      </c>
      <c r="S6" s="263">
        <v>27453224</v>
      </c>
      <c r="T6" s="263">
        <v>24300000</v>
      </c>
      <c r="U6" s="263">
        <v>27453224</v>
      </c>
      <c r="V6" s="263">
        <v>24300000</v>
      </c>
      <c r="W6" s="263">
        <v>27453224</v>
      </c>
      <c r="X6" s="263">
        <v>25330808</v>
      </c>
      <c r="Y6" s="263">
        <f>27453224+5</f>
        <v>27453229</v>
      </c>
      <c r="Z6" s="264">
        <f>+X6+V6+T6+R6+P6+N6+L6+J6+H6+F6+D6+B6</f>
        <v>292630808</v>
      </c>
      <c r="AA6" s="264">
        <f>+Y6+W6+U6+S6+Q6+O6+M6+K6+I6+G6+E6+C6</f>
        <v>329438693</v>
      </c>
      <c r="AB6" s="91"/>
      <c r="AC6" s="262"/>
      <c r="AD6" s="79"/>
    </row>
    <row r="7" spans="1:30" ht="24.95" customHeight="1">
      <c r="A7" s="90" t="s">
        <v>75</v>
      </c>
      <c r="B7" s="263">
        <v>120000</v>
      </c>
      <c r="C7" s="263">
        <v>120000</v>
      </c>
      <c r="D7" s="263">
        <v>320000</v>
      </c>
      <c r="E7" s="263">
        <v>320000</v>
      </c>
      <c r="F7" s="263">
        <v>4700000</v>
      </c>
      <c r="G7" s="263">
        <v>4700000</v>
      </c>
      <c r="H7" s="263">
        <v>1950000</v>
      </c>
      <c r="I7" s="263">
        <v>1950000</v>
      </c>
      <c r="J7" s="263">
        <v>19300000</v>
      </c>
      <c r="K7" s="263">
        <v>19300000</v>
      </c>
      <c r="L7" s="263">
        <v>1850000</v>
      </c>
      <c r="M7" s="263">
        <v>1850000</v>
      </c>
      <c r="N7" s="263">
        <v>850000</v>
      </c>
      <c r="O7" s="263">
        <v>850000</v>
      </c>
      <c r="P7" s="263">
        <v>1400000</v>
      </c>
      <c r="Q7" s="263">
        <v>1400000</v>
      </c>
      <c r="R7" s="263">
        <v>7500000</v>
      </c>
      <c r="S7" s="263">
        <v>7500000</v>
      </c>
      <c r="T7" s="263">
        <v>2200000</v>
      </c>
      <c r="U7" s="263">
        <v>2200000</v>
      </c>
      <c r="V7" s="263">
        <v>1900000</v>
      </c>
      <c r="W7" s="263">
        <v>1900000</v>
      </c>
      <c r="X7" s="263">
        <v>17180000</v>
      </c>
      <c r="Y7" s="263">
        <v>17180000</v>
      </c>
      <c r="Z7" s="264">
        <f>+X7+V7+T7+R7+P7+N7+L7+J7+H7+F7+D7+B7</f>
        <v>59270000</v>
      </c>
      <c r="AA7" s="264">
        <f t="shared" ref="AA7:AA23" si="0">+Y7+W7+U7+S7+Q7+O7+M7+K7+I7+G7+E7+C7</f>
        <v>59270000</v>
      </c>
      <c r="AB7" s="91"/>
      <c r="AD7" s="79"/>
    </row>
    <row r="8" spans="1:30" ht="24.95" customHeight="1">
      <c r="A8" s="90" t="s">
        <v>76</v>
      </c>
      <c r="B8" s="263">
        <v>4350000</v>
      </c>
      <c r="C8" s="263">
        <v>5570012</v>
      </c>
      <c r="D8" s="263">
        <v>4350000</v>
      </c>
      <c r="E8" s="263">
        <v>5570012</v>
      </c>
      <c r="F8" s="263">
        <v>4350000</v>
      </c>
      <c r="G8" s="263">
        <v>5570012</v>
      </c>
      <c r="H8" s="263">
        <v>4350000</v>
      </c>
      <c r="I8" s="263">
        <v>5570012</v>
      </c>
      <c r="J8" s="263">
        <v>4350000</v>
      </c>
      <c r="K8" s="263">
        <v>5570012</v>
      </c>
      <c r="L8" s="263">
        <v>4350000</v>
      </c>
      <c r="M8" s="263">
        <v>5570012</v>
      </c>
      <c r="N8" s="263">
        <v>4350000</v>
      </c>
      <c r="O8" s="263">
        <v>5570012</v>
      </c>
      <c r="P8" s="263">
        <v>4350000</v>
      </c>
      <c r="Q8" s="263">
        <v>5570012</v>
      </c>
      <c r="R8" s="263">
        <v>4350000</v>
      </c>
      <c r="S8" s="263">
        <v>5570012</v>
      </c>
      <c r="T8" s="263">
        <v>4350000</v>
      </c>
      <c r="U8" s="263">
        <v>5570012</v>
      </c>
      <c r="V8" s="263">
        <v>4350000</v>
      </c>
      <c r="W8" s="263">
        <v>5570012</v>
      </c>
      <c r="X8" s="263">
        <v>4359000</v>
      </c>
      <c r="Y8" s="263">
        <f>5570012+1</f>
        <v>5570013</v>
      </c>
      <c r="Z8" s="264">
        <f>+X8+V8+T8+R8+P8+N8+L8+J8+H8+F8+D8+B8</f>
        <v>52209000</v>
      </c>
      <c r="AA8" s="264">
        <f t="shared" si="0"/>
        <v>66840145</v>
      </c>
      <c r="AB8" s="91"/>
      <c r="AC8" s="92"/>
      <c r="AD8" s="79"/>
    </row>
    <row r="9" spans="1:30" ht="24.95" customHeight="1">
      <c r="A9" s="90" t="s">
        <v>77</v>
      </c>
      <c r="B9" s="263">
        <v>0</v>
      </c>
      <c r="C9" s="263">
        <v>0</v>
      </c>
      <c r="D9" s="263">
        <v>0</v>
      </c>
      <c r="E9" s="263">
        <v>0</v>
      </c>
      <c r="F9" s="263">
        <v>812024</v>
      </c>
      <c r="G9" s="263">
        <v>812024</v>
      </c>
      <c r="H9" s="263">
        <v>48310000</v>
      </c>
      <c r="I9" s="263">
        <v>48310000</v>
      </c>
      <c r="J9" s="263">
        <v>19930411</v>
      </c>
      <c r="K9" s="263">
        <v>19930411</v>
      </c>
      <c r="L9" s="263">
        <v>153625000</v>
      </c>
      <c r="M9" s="263">
        <v>153625000</v>
      </c>
      <c r="N9" s="263">
        <v>12015699</v>
      </c>
      <c r="O9" s="263">
        <v>12015699</v>
      </c>
      <c r="P9" s="263">
        <v>44590100</v>
      </c>
      <c r="Q9" s="263">
        <v>44590100</v>
      </c>
      <c r="R9" s="263">
        <v>0</v>
      </c>
      <c r="S9" s="263">
        <v>0</v>
      </c>
      <c r="T9" s="263">
        <v>0</v>
      </c>
      <c r="U9" s="263">
        <v>0</v>
      </c>
      <c r="V9" s="263">
        <v>0</v>
      </c>
      <c r="W9" s="263">
        <v>0</v>
      </c>
      <c r="X9" s="263">
        <v>0</v>
      </c>
      <c r="Y9" s="263">
        <v>0</v>
      </c>
      <c r="Z9" s="264">
        <f t="shared" ref="Z9:Z12" si="1">+X9+V9+T9+R9+P9+N9+L9+J9+H9+F9+D9+B9</f>
        <v>279283234</v>
      </c>
      <c r="AA9" s="264">
        <f t="shared" si="0"/>
        <v>279283234</v>
      </c>
      <c r="AB9" s="91"/>
      <c r="AD9" s="79"/>
    </row>
    <row r="10" spans="1:30" ht="24.95" customHeight="1">
      <c r="A10" s="90" t="s">
        <v>241</v>
      </c>
      <c r="B10" s="263">
        <v>0</v>
      </c>
      <c r="C10" s="263">
        <v>0</v>
      </c>
      <c r="D10" s="263">
        <v>0</v>
      </c>
      <c r="E10" s="263">
        <v>0</v>
      </c>
      <c r="F10" s="263">
        <v>0</v>
      </c>
      <c r="G10" s="263">
        <v>0</v>
      </c>
      <c r="H10" s="263">
        <v>0</v>
      </c>
      <c r="I10" s="263">
        <v>0</v>
      </c>
      <c r="J10" s="263">
        <v>0</v>
      </c>
      <c r="K10" s="263">
        <v>0</v>
      </c>
      <c r="L10" s="263">
        <v>0</v>
      </c>
      <c r="M10" s="263">
        <v>0</v>
      </c>
      <c r="N10" s="263">
        <v>0</v>
      </c>
      <c r="O10" s="263">
        <v>0</v>
      </c>
      <c r="P10" s="263">
        <v>0</v>
      </c>
      <c r="Q10" s="263">
        <v>0</v>
      </c>
      <c r="R10" s="263">
        <v>0</v>
      </c>
      <c r="S10" s="263">
        <v>0</v>
      </c>
      <c r="T10" s="263">
        <v>0</v>
      </c>
      <c r="U10" s="263">
        <v>0</v>
      </c>
      <c r="V10" s="263">
        <v>0</v>
      </c>
      <c r="W10" s="263">
        <v>0</v>
      </c>
      <c r="X10" s="263">
        <v>0</v>
      </c>
      <c r="Y10" s="263">
        <v>0</v>
      </c>
      <c r="Z10" s="264">
        <f t="shared" si="1"/>
        <v>0</v>
      </c>
      <c r="AA10" s="264">
        <f t="shared" si="0"/>
        <v>0</v>
      </c>
      <c r="AB10" s="91"/>
      <c r="AD10" s="79"/>
    </row>
    <row r="11" spans="1:30" ht="24.95" customHeight="1">
      <c r="A11" s="90" t="s">
        <v>203</v>
      </c>
      <c r="B11" s="263">
        <v>0</v>
      </c>
      <c r="C11" s="263">
        <v>0</v>
      </c>
      <c r="D11" s="266">
        <v>0</v>
      </c>
      <c r="E11" s="266">
        <v>0</v>
      </c>
      <c r="F11" s="263">
        <v>0</v>
      </c>
      <c r="G11" s="263">
        <v>0</v>
      </c>
      <c r="H11" s="266">
        <v>0</v>
      </c>
      <c r="I11" s="266">
        <v>0</v>
      </c>
      <c r="J11" s="263">
        <v>55000000</v>
      </c>
      <c r="K11" s="263">
        <v>55000000</v>
      </c>
      <c r="L11" s="263">
        <v>55000000</v>
      </c>
      <c r="M11" s="263">
        <v>55000000</v>
      </c>
      <c r="N11" s="263">
        <v>0</v>
      </c>
      <c r="O11" s="263">
        <v>0</v>
      </c>
      <c r="P11" s="263">
        <v>0</v>
      </c>
      <c r="Q11" s="263">
        <v>0</v>
      </c>
      <c r="R11" s="263">
        <f>55502713</f>
        <v>55502713</v>
      </c>
      <c r="S11" s="263">
        <f>55502713+77115</f>
        <v>55579828</v>
      </c>
      <c r="T11" s="263">
        <v>0</v>
      </c>
      <c r="U11" s="263">
        <v>0</v>
      </c>
      <c r="V11" s="263">
        <v>0</v>
      </c>
      <c r="W11" s="263">
        <v>0</v>
      </c>
      <c r="X11" s="263">
        <v>0</v>
      </c>
      <c r="Y11" s="263">
        <v>0</v>
      </c>
      <c r="Z11" s="264">
        <f t="shared" si="1"/>
        <v>165502713</v>
      </c>
      <c r="AA11" s="264">
        <f t="shared" si="0"/>
        <v>165579828</v>
      </c>
      <c r="AB11" s="91"/>
      <c r="AC11" s="92"/>
      <c r="AD11" s="79"/>
    </row>
    <row r="12" spans="1:30" ht="24.95" customHeight="1">
      <c r="A12" s="93" t="s">
        <v>78</v>
      </c>
      <c r="B12" s="265">
        <f>SUM(B6:B11)</f>
        <v>28770000</v>
      </c>
      <c r="C12" s="265">
        <f t="shared" ref="C12:Y12" si="2">SUM(C6:C11)</f>
        <v>33143236</v>
      </c>
      <c r="D12" s="265">
        <f t="shared" si="2"/>
        <v>28970000</v>
      </c>
      <c r="E12" s="265">
        <f t="shared" si="2"/>
        <v>33343236</v>
      </c>
      <c r="F12" s="265">
        <f t="shared" si="2"/>
        <v>34162024</v>
      </c>
      <c r="G12" s="265">
        <f t="shared" si="2"/>
        <v>38535260</v>
      </c>
      <c r="H12" s="265">
        <f t="shared" si="2"/>
        <v>78910000</v>
      </c>
      <c r="I12" s="265">
        <f t="shared" si="2"/>
        <v>83283236</v>
      </c>
      <c r="J12" s="265">
        <f t="shared" si="2"/>
        <v>122880411</v>
      </c>
      <c r="K12" s="265">
        <f t="shared" si="2"/>
        <v>127253647</v>
      </c>
      <c r="L12" s="265">
        <f t="shared" si="2"/>
        <v>239125000</v>
      </c>
      <c r="M12" s="265">
        <f t="shared" si="2"/>
        <v>243498236</v>
      </c>
      <c r="N12" s="265">
        <f t="shared" si="2"/>
        <v>41515699</v>
      </c>
      <c r="O12" s="265">
        <f t="shared" si="2"/>
        <v>45888935</v>
      </c>
      <c r="P12" s="265">
        <f t="shared" si="2"/>
        <v>74640100</v>
      </c>
      <c r="Q12" s="265">
        <f t="shared" si="2"/>
        <v>79013336</v>
      </c>
      <c r="R12" s="265">
        <f t="shared" si="2"/>
        <v>91652713</v>
      </c>
      <c r="S12" s="265">
        <f t="shared" si="2"/>
        <v>96103064</v>
      </c>
      <c r="T12" s="265">
        <f t="shared" si="2"/>
        <v>30850000</v>
      </c>
      <c r="U12" s="265">
        <f t="shared" si="2"/>
        <v>35223236</v>
      </c>
      <c r="V12" s="265">
        <f t="shared" si="2"/>
        <v>30550000</v>
      </c>
      <c r="W12" s="265">
        <f t="shared" si="2"/>
        <v>34923236</v>
      </c>
      <c r="X12" s="265">
        <f t="shared" si="2"/>
        <v>46869808</v>
      </c>
      <c r="Y12" s="265">
        <f t="shared" si="2"/>
        <v>50203242</v>
      </c>
      <c r="Z12" s="264">
        <f t="shared" si="1"/>
        <v>848895755</v>
      </c>
      <c r="AA12" s="264">
        <f t="shared" si="0"/>
        <v>900411900</v>
      </c>
      <c r="AB12" s="91"/>
      <c r="AC12" s="92"/>
      <c r="AD12" s="79"/>
    </row>
    <row r="13" spans="1:30" ht="24.95" customHeight="1">
      <c r="A13" s="94"/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1"/>
      <c r="AA13" s="264"/>
      <c r="AB13" s="91"/>
      <c r="AD13" s="79"/>
    </row>
    <row r="14" spans="1:30" s="95" customFormat="1" ht="24.95" customHeight="1">
      <c r="A14" s="90" t="s">
        <v>17</v>
      </c>
      <c r="B14" s="263">
        <v>14383680</v>
      </c>
      <c r="C14" s="263"/>
      <c r="D14" s="263">
        <v>14383680</v>
      </c>
      <c r="E14" s="263"/>
      <c r="F14" s="263">
        <v>14383680</v>
      </c>
      <c r="G14" s="263"/>
      <c r="H14" s="263">
        <v>14383680</v>
      </c>
      <c r="I14" s="263"/>
      <c r="J14" s="263">
        <v>14383680</v>
      </c>
      <c r="K14" s="263"/>
      <c r="L14" s="263">
        <v>14383680</v>
      </c>
      <c r="M14" s="263">
        <v>14870300</v>
      </c>
      <c r="N14" s="263">
        <v>14383680</v>
      </c>
      <c r="O14" s="263">
        <v>14870300</v>
      </c>
      <c r="P14" s="263">
        <v>14383680</v>
      </c>
      <c r="Q14" s="263">
        <v>14870300</v>
      </c>
      <c r="R14" s="263">
        <v>14383680</v>
      </c>
      <c r="S14" s="263">
        <v>14870300</v>
      </c>
      <c r="T14" s="263">
        <v>14383680</v>
      </c>
      <c r="U14" s="263">
        <v>14870300</v>
      </c>
      <c r="V14" s="263">
        <v>14383680</v>
      </c>
      <c r="W14" s="263">
        <v>14870300</v>
      </c>
      <c r="X14" s="263">
        <v>14383720</v>
      </c>
      <c r="Y14" s="263">
        <f>226443658-89221800</f>
        <v>137221858</v>
      </c>
      <c r="Z14" s="265">
        <f>+X14+V14+T14+R14+P14+N14+L14+J14+H14+F14+D14+B14</f>
        <v>172604200</v>
      </c>
      <c r="AA14" s="264">
        <f>+Y14+W14+U14+S14+Q14+O14+M14+K14+I14+G14+E14+C14</f>
        <v>226443658</v>
      </c>
      <c r="AB14" s="91"/>
      <c r="AD14" s="96"/>
    </row>
    <row r="15" spans="1:30" s="95" customFormat="1" ht="24.95" customHeight="1">
      <c r="A15" s="90" t="s">
        <v>79</v>
      </c>
      <c r="B15" s="263">
        <v>2724000</v>
      </c>
      <c r="C15" s="263"/>
      <c r="D15" s="263">
        <v>2724000</v>
      </c>
      <c r="E15" s="263"/>
      <c r="F15" s="263">
        <v>2724000</v>
      </c>
      <c r="G15" s="263"/>
      <c r="H15" s="263">
        <v>2724000</v>
      </c>
      <c r="I15" s="263"/>
      <c r="J15" s="263">
        <v>2724000</v>
      </c>
      <c r="K15" s="263"/>
      <c r="L15" s="263">
        <v>2724000</v>
      </c>
      <c r="M15" s="263">
        <v>3356047</v>
      </c>
      <c r="N15" s="263">
        <v>2724000</v>
      </c>
      <c r="O15" s="263">
        <v>3356047</v>
      </c>
      <c r="P15" s="263">
        <v>2724000</v>
      </c>
      <c r="Q15" s="263">
        <v>3356047</v>
      </c>
      <c r="R15" s="263">
        <v>2724000</v>
      </c>
      <c r="S15" s="263">
        <v>3356047</v>
      </c>
      <c r="T15" s="263">
        <v>2724000</v>
      </c>
      <c r="U15" s="263">
        <v>3356047</v>
      </c>
      <c r="V15" s="263">
        <v>2724000</v>
      </c>
      <c r="W15" s="263">
        <v>3356047</v>
      </c>
      <c r="X15" s="263">
        <v>2731500</v>
      </c>
      <c r="Y15" s="263">
        <f>40272465-20136283</f>
        <v>20136182</v>
      </c>
      <c r="Z15" s="265">
        <f t="shared" ref="Z15:Z21" si="3">+X15+V15+T15+R15+P15+N15+L15+J15+H15+F15+D15+B15</f>
        <v>32695500</v>
      </c>
      <c r="AA15" s="264">
        <f t="shared" ref="Z15:AA22" si="4">+Y15+W15+U15+S15+Q15+O15+M15+K15+I15+G15+E15+C15</f>
        <v>40272464</v>
      </c>
      <c r="AB15" s="91"/>
      <c r="AD15" s="96"/>
    </row>
    <row r="16" spans="1:30" s="95" customFormat="1" ht="24.95" customHeight="1">
      <c r="A16" s="90" t="s">
        <v>80</v>
      </c>
      <c r="B16" s="263">
        <v>11300000</v>
      </c>
      <c r="C16" s="263"/>
      <c r="D16" s="263">
        <v>11300000</v>
      </c>
      <c r="E16" s="263"/>
      <c r="F16" s="263">
        <v>11300000</v>
      </c>
      <c r="G16" s="263"/>
      <c r="H16" s="263">
        <v>11300000</v>
      </c>
      <c r="I16" s="263"/>
      <c r="J16" s="263">
        <v>11300000</v>
      </c>
      <c r="K16" s="263"/>
      <c r="L16" s="263">
        <v>11300000</v>
      </c>
      <c r="M16" s="263">
        <v>12153611</v>
      </c>
      <c r="N16" s="263">
        <v>11300000</v>
      </c>
      <c r="O16" s="263">
        <v>12153611</v>
      </c>
      <c r="P16" s="263">
        <v>11300000</v>
      </c>
      <c r="Q16" s="263">
        <v>12153611</v>
      </c>
      <c r="R16" s="263">
        <v>11300000</v>
      </c>
      <c r="S16" s="263">
        <v>12153611</v>
      </c>
      <c r="T16" s="263">
        <v>11300000</v>
      </c>
      <c r="U16" s="263">
        <v>12153611</v>
      </c>
      <c r="V16" s="263">
        <v>11300000</v>
      </c>
      <c r="W16" s="263">
        <v>12153611</v>
      </c>
      <c r="X16" s="263">
        <v>11329000</v>
      </c>
      <c r="Y16" s="263">
        <f>145843343-72921666</f>
        <v>72921677</v>
      </c>
      <c r="Z16" s="265">
        <f t="shared" si="3"/>
        <v>135629000</v>
      </c>
      <c r="AA16" s="264">
        <f t="shared" si="4"/>
        <v>145843343</v>
      </c>
      <c r="AB16" s="91"/>
      <c r="AD16" s="96"/>
    </row>
    <row r="17" spans="1:30" s="95" customFormat="1" ht="24.95" customHeight="1">
      <c r="A17" s="90" t="s">
        <v>85</v>
      </c>
      <c r="B17" s="263">
        <v>315000</v>
      </c>
      <c r="C17" s="263">
        <v>315000</v>
      </c>
      <c r="D17" s="263">
        <v>315000</v>
      </c>
      <c r="E17" s="263">
        <v>315000</v>
      </c>
      <c r="F17" s="263">
        <v>315000</v>
      </c>
      <c r="G17" s="263">
        <v>315000</v>
      </c>
      <c r="H17" s="263">
        <v>315000</v>
      </c>
      <c r="I17" s="263">
        <v>315000</v>
      </c>
      <c r="J17" s="263">
        <v>315000</v>
      </c>
      <c r="K17" s="263">
        <v>315000</v>
      </c>
      <c r="L17" s="263">
        <v>315000</v>
      </c>
      <c r="M17" s="263">
        <v>315000</v>
      </c>
      <c r="N17" s="263">
        <v>315000</v>
      </c>
      <c r="O17" s="263">
        <v>315000</v>
      </c>
      <c r="P17" s="263">
        <v>315000</v>
      </c>
      <c r="Q17" s="263">
        <v>315000</v>
      </c>
      <c r="R17" s="263">
        <v>315000</v>
      </c>
      <c r="S17" s="263">
        <v>315000</v>
      </c>
      <c r="T17" s="263">
        <v>315000</v>
      </c>
      <c r="U17" s="263">
        <v>315000</v>
      </c>
      <c r="V17" s="263">
        <v>315000</v>
      </c>
      <c r="W17" s="263">
        <v>315000</v>
      </c>
      <c r="X17" s="263">
        <v>316000</v>
      </c>
      <c r="Y17" s="263">
        <f>+X17+8265</f>
        <v>324265</v>
      </c>
      <c r="Z17" s="265">
        <f t="shared" si="3"/>
        <v>3781000</v>
      </c>
      <c r="AA17" s="264">
        <f t="shared" si="4"/>
        <v>3789265</v>
      </c>
      <c r="AB17" s="91"/>
      <c r="AC17" s="330"/>
      <c r="AD17" s="96"/>
    </row>
    <row r="18" spans="1:30" s="95" customFormat="1" ht="24.95" customHeight="1">
      <c r="A18" s="90" t="s">
        <v>81</v>
      </c>
      <c r="B18" s="263">
        <v>6200000</v>
      </c>
      <c r="C18" s="263">
        <v>7349000</v>
      </c>
      <c r="D18" s="263">
        <v>6200000</v>
      </c>
      <c r="E18" s="263">
        <v>7349000</v>
      </c>
      <c r="F18" s="263">
        <v>6200000</v>
      </c>
      <c r="G18" s="263">
        <v>7349000</v>
      </c>
      <c r="H18" s="263">
        <v>6200000</v>
      </c>
      <c r="I18" s="263">
        <v>7349000</v>
      </c>
      <c r="J18" s="263">
        <v>6200000</v>
      </c>
      <c r="K18" s="263">
        <v>7349000</v>
      </c>
      <c r="L18" s="263">
        <v>6200000</v>
      </c>
      <c r="M18" s="263">
        <v>7349000</v>
      </c>
      <c r="N18" s="263">
        <v>6200000</v>
      </c>
      <c r="O18" s="263">
        <v>7349000</v>
      </c>
      <c r="P18" s="263">
        <v>6200000</v>
      </c>
      <c r="Q18" s="263">
        <v>7349000</v>
      </c>
      <c r="R18" s="263">
        <v>6200000</v>
      </c>
      <c r="S18" s="263">
        <v>7349000</v>
      </c>
      <c r="T18" s="263">
        <v>6200000</v>
      </c>
      <c r="U18" s="263">
        <v>7349000</v>
      </c>
      <c r="V18" s="263">
        <v>6200000</v>
      </c>
      <c r="W18" s="263">
        <v>7349000</v>
      </c>
      <c r="X18" s="263">
        <v>6784709</v>
      </c>
      <c r="Y18" s="263">
        <f>88195778-80839000+100</f>
        <v>7356878</v>
      </c>
      <c r="Z18" s="265">
        <f t="shared" si="3"/>
        <v>74984709</v>
      </c>
      <c r="AA18" s="264">
        <f t="shared" si="4"/>
        <v>88195878</v>
      </c>
      <c r="AB18" s="91"/>
      <c r="AC18" s="330"/>
      <c r="AD18" s="96"/>
    </row>
    <row r="19" spans="1:30" s="95" customFormat="1" ht="24.95" customHeight="1">
      <c r="A19" s="90" t="s">
        <v>242</v>
      </c>
      <c r="B19" s="263">
        <v>9649634</v>
      </c>
      <c r="C19" s="263">
        <v>9649634</v>
      </c>
      <c r="D19" s="266">
        <v>0</v>
      </c>
      <c r="E19" s="266">
        <v>0</v>
      </c>
      <c r="F19" s="266">
        <v>0</v>
      </c>
      <c r="G19" s="266">
        <v>0</v>
      </c>
      <c r="H19" s="266">
        <v>0</v>
      </c>
      <c r="I19" s="266">
        <v>0</v>
      </c>
      <c r="J19" s="266">
        <v>0</v>
      </c>
      <c r="K19" s="266">
        <v>0</v>
      </c>
      <c r="L19" s="266">
        <v>0</v>
      </c>
      <c r="M19" s="266">
        <v>0</v>
      </c>
      <c r="N19" s="266">
        <v>0</v>
      </c>
      <c r="O19" s="266">
        <v>0</v>
      </c>
      <c r="P19" s="266">
        <v>0</v>
      </c>
      <c r="Q19" s="266">
        <v>0</v>
      </c>
      <c r="R19" s="266">
        <v>0</v>
      </c>
      <c r="S19" s="266">
        <v>0</v>
      </c>
      <c r="T19" s="266">
        <v>0</v>
      </c>
      <c r="U19" s="266">
        <v>0</v>
      </c>
      <c r="V19" s="266">
        <v>0</v>
      </c>
      <c r="W19" s="266">
        <v>0</v>
      </c>
      <c r="X19" s="266">
        <v>0</v>
      </c>
      <c r="Y19" s="266">
        <v>0</v>
      </c>
      <c r="Z19" s="265">
        <f t="shared" si="3"/>
        <v>9649634</v>
      </c>
      <c r="AA19" s="264">
        <f t="shared" si="4"/>
        <v>9649634</v>
      </c>
      <c r="AB19" s="91"/>
      <c r="AC19" s="330"/>
      <c r="AD19" s="96"/>
    </row>
    <row r="20" spans="1:30" ht="24.95" customHeight="1">
      <c r="A20" s="90" t="s">
        <v>82</v>
      </c>
      <c r="B20" s="266">
        <v>0</v>
      </c>
      <c r="C20" s="266">
        <v>0</v>
      </c>
      <c r="D20" s="266">
        <v>0</v>
      </c>
      <c r="E20" s="266">
        <v>0</v>
      </c>
      <c r="F20" s="263">
        <v>0</v>
      </c>
      <c r="G20" s="263">
        <v>0</v>
      </c>
      <c r="H20" s="263">
        <v>0</v>
      </c>
      <c r="I20" s="263">
        <v>0</v>
      </c>
      <c r="J20" s="263">
        <v>20000000</v>
      </c>
      <c r="K20" s="263">
        <f>+J20-3194874</f>
        <v>16805126</v>
      </c>
      <c r="L20" s="263">
        <f>30000000-14425000</f>
        <v>15575000</v>
      </c>
      <c r="M20" s="263">
        <f>30000000-14425000</f>
        <v>15575000</v>
      </c>
      <c r="N20" s="263">
        <v>30000000</v>
      </c>
      <c r="O20" s="263">
        <v>30000000</v>
      </c>
      <c r="P20" s="263">
        <v>0</v>
      </c>
      <c r="Q20" s="263">
        <v>0</v>
      </c>
      <c r="R20" s="263">
        <v>15000000</v>
      </c>
      <c r="S20" s="263">
        <v>15000000</v>
      </c>
      <c r="T20" s="263">
        <v>0</v>
      </c>
      <c r="U20" s="263">
        <v>0</v>
      </c>
      <c r="V20" s="263">
        <v>0</v>
      </c>
      <c r="W20" s="263">
        <v>0</v>
      </c>
      <c r="X20" s="263">
        <v>11528299</v>
      </c>
      <c r="Y20" s="263">
        <v>11528299</v>
      </c>
      <c r="Z20" s="265">
        <f t="shared" si="3"/>
        <v>92103299</v>
      </c>
      <c r="AA20" s="264">
        <f t="shared" si="4"/>
        <v>88908425</v>
      </c>
      <c r="AB20" s="91"/>
      <c r="AC20" s="92"/>
      <c r="AD20" s="79"/>
    </row>
    <row r="21" spans="1:30" ht="24.95" customHeight="1">
      <c r="A21" s="90" t="s">
        <v>57</v>
      </c>
      <c r="B21" s="266">
        <v>0</v>
      </c>
      <c r="C21" s="266">
        <v>0</v>
      </c>
      <c r="D21" s="266">
        <v>0</v>
      </c>
      <c r="E21" s="266">
        <v>0</v>
      </c>
      <c r="F21" s="266">
        <v>0</v>
      </c>
      <c r="G21" s="266">
        <v>0</v>
      </c>
      <c r="H21" s="266">
        <v>812024</v>
      </c>
      <c r="I21" s="266">
        <v>812024</v>
      </c>
      <c r="J21" s="263">
        <v>20000000</v>
      </c>
      <c r="K21" s="263">
        <f>+J21-15069590</f>
        <v>4930410</v>
      </c>
      <c r="L21" s="266">
        <v>19930411</v>
      </c>
      <c r="M21" s="266">
        <f>+L21-15069590</f>
        <v>4860821</v>
      </c>
      <c r="N21" s="266">
        <v>42000000</v>
      </c>
      <c r="O21" s="266">
        <v>42000000</v>
      </c>
      <c r="P21" s="266">
        <v>68000000</v>
      </c>
      <c r="Q21" s="266">
        <v>68000000</v>
      </c>
      <c r="R21" s="263">
        <v>72000000</v>
      </c>
      <c r="S21" s="263">
        <v>72000000</v>
      </c>
      <c r="T21" s="263">
        <v>32015699</v>
      </c>
      <c r="U21" s="263">
        <v>32015699</v>
      </c>
      <c r="V21" s="263">
        <v>40642681</v>
      </c>
      <c r="W21" s="263">
        <v>40642681</v>
      </c>
      <c r="X21" s="263">
        <v>32047598</v>
      </c>
      <c r="Y21" s="263">
        <v>32047598</v>
      </c>
      <c r="Z21" s="265">
        <f t="shared" si="3"/>
        <v>327448413</v>
      </c>
      <c r="AA21" s="264">
        <f t="shared" si="4"/>
        <v>297309233</v>
      </c>
      <c r="AB21" s="91"/>
      <c r="AC21" s="92"/>
      <c r="AD21" s="79"/>
    </row>
    <row r="22" spans="1:30" ht="24.95" customHeight="1">
      <c r="A22" s="93" t="s">
        <v>83</v>
      </c>
      <c r="B22" s="265">
        <f>SUM(B14:B21)</f>
        <v>44572314</v>
      </c>
      <c r="C22" s="265">
        <f t="shared" ref="C22:Y22" si="5">SUM(C14:C21)</f>
        <v>17313634</v>
      </c>
      <c r="D22" s="265">
        <f t="shared" si="5"/>
        <v>34922680</v>
      </c>
      <c r="E22" s="265">
        <f t="shared" si="5"/>
        <v>7664000</v>
      </c>
      <c r="F22" s="265">
        <f t="shared" si="5"/>
        <v>34922680</v>
      </c>
      <c r="G22" s="265">
        <f t="shared" si="5"/>
        <v>7664000</v>
      </c>
      <c r="H22" s="265">
        <f t="shared" si="5"/>
        <v>35734704</v>
      </c>
      <c r="I22" s="265">
        <f t="shared" si="5"/>
        <v>8476024</v>
      </c>
      <c r="J22" s="265">
        <f t="shared" si="5"/>
        <v>74922680</v>
      </c>
      <c r="K22" s="265">
        <f t="shared" si="5"/>
        <v>29399536</v>
      </c>
      <c r="L22" s="265">
        <f t="shared" si="5"/>
        <v>70428091</v>
      </c>
      <c r="M22" s="265">
        <f t="shared" si="5"/>
        <v>58479779</v>
      </c>
      <c r="N22" s="265">
        <f t="shared" si="5"/>
        <v>106922680</v>
      </c>
      <c r="O22" s="265">
        <f t="shared" si="5"/>
        <v>110043958</v>
      </c>
      <c r="P22" s="265">
        <f t="shared" si="5"/>
        <v>102922680</v>
      </c>
      <c r="Q22" s="265">
        <f t="shared" si="5"/>
        <v>106043958</v>
      </c>
      <c r="R22" s="265">
        <f t="shared" si="5"/>
        <v>121922680</v>
      </c>
      <c r="S22" s="265">
        <f t="shared" si="5"/>
        <v>125043958</v>
      </c>
      <c r="T22" s="265">
        <f t="shared" si="5"/>
        <v>66938379</v>
      </c>
      <c r="U22" s="265">
        <f t="shared" si="5"/>
        <v>70059657</v>
      </c>
      <c r="V22" s="265">
        <f t="shared" si="5"/>
        <v>75565361</v>
      </c>
      <c r="W22" s="265">
        <f t="shared" si="5"/>
        <v>78686639</v>
      </c>
      <c r="X22" s="265">
        <f t="shared" si="5"/>
        <v>79120826</v>
      </c>
      <c r="Y22" s="265">
        <f t="shared" si="5"/>
        <v>281536757</v>
      </c>
      <c r="Z22" s="264">
        <f t="shared" si="4"/>
        <v>848895755</v>
      </c>
      <c r="AA22" s="264">
        <f t="shared" si="4"/>
        <v>900411900</v>
      </c>
      <c r="AB22" s="91"/>
      <c r="AD22" s="79"/>
    </row>
    <row r="23" spans="1:30" ht="24.95" customHeight="1">
      <c r="A23" s="93" t="s">
        <v>84</v>
      </c>
      <c r="B23" s="265">
        <f>B12-B22</f>
        <v>-15802314</v>
      </c>
      <c r="C23" s="265">
        <f t="shared" ref="C23:Y23" si="6">C12-C22</f>
        <v>15829602</v>
      </c>
      <c r="D23" s="265">
        <f t="shared" si="6"/>
        <v>-5952680</v>
      </c>
      <c r="E23" s="265">
        <f t="shared" si="6"/>
        <v>25679236</v>
      </c>
      <c r="F23" s="265">
        <f t="shared" si="6"/>
        <v>-760656</v>
      </c>
      <c r="G23" s="265">
        <f t="shared" si="6"/>
        <v>30871260</v>
      </c>
      <c r="H23" s="265">
        <f t="shared" si="6"/>
        <v>43175296</v>
      </c>
      <c r="I23" s="265">
        <f t="shared" si="6"/>
        <v>74807212</v>
      </c>
      <c r="J23" s="265">
        <f t="shared" si="6"/>
        <v>47957731</v>
      </c>
      <c r="K23" s="265">
        <f t="shared" si="6"/>
        <v>97854111</v>
      </c>
      <c r="L23" s="265">
        <f t="shared" si="6"/>
        <v>168696909</v>
      </c>
      <c r="M23" s="265">
        <f t="shared" si="6"/>
        <v>185018457</v>
      </c>
      <c r="N23" s="265">
        <f t="shared" si="6"/>
        <v>-65406981</v>
      </c>
      <c r="O23" s="265">
        <f t="shared" si="6"/>
        <v>-64155023</v>
      </c>
      <c r="P23" s="265">
        <f t="shared" si="6"/>
        <v>-28282580</v>
      </c>
      <c r="Q23" s="265">
        <f t="shared" si="6"/>
        <v>-27030622</v>
      </c>
      <c r="R23" s="265">
        <f t="shared" si="6"/>
        <v>-30269967</v>
      </c>
      <c r="S23" s="265">
        <f t="shared" si="6"/>
        <v>-28940894</v>
      </c>
      <c r="T23" s="265">
        <f t="shared" si="6"/>
        <v>-36088379</v>
      </c>
      <c r="U23" s="265">
        <f t="shared" si="6"/>
        <v>-34836421</v>
      </c>
      <c r="V23" s="265">
        <f t="shared" si="6"/>
        <v>-45015361</v>
      </c>
      <c r="W23" s="265">
        <f t="shared" si="6"/>
        <v>-43763403</v>
      </c>
      <c r="X23" s="265">
        <f t="shared" si="6"/>
        <v>-32251018</v>
      </c>
      <c r="Y23" s="265">
        <f t="shared" si="6"/>
        <v>-231333515</v>
      </c>
      <c r="Z23" s="265">
        <f>Z12-Z22</f>
        <v>0</v>
      </c>
      <c r="AA23" s="264">
        <f t="shared" si="0"/>
        <v>0</v>
      </c>
      <c r="AB23" s="91"/>
      <c r="AD23" s="79"/>
    </row>
  </sheetData>
  <mergeCells count="15">
    <mergeCell ref="Z4:AA4"/>
    <mergeCell ref="R4:S4"/>
    <mergeCell ref="P4:Q4"/>
    <mergeCell ref="N4:O4"/>
    <mergeCell ref="X4:Y4"/>
    <mergeCell ref="V4:W4"/>
    <mergeCell ref="T4:U4"/>
    <mergeCell ref="A1:M1"/>
    <mergeCell ref="A2:M2"/>
    <mergeCell ref="F4:G4"/>
    <mergeCell ref="D4:E4"/>
    <mergeCell ref="B4:C4"/>
    <mergeCell ref="H4:I4"/>
    <mergeCell ref="L4:M4"/>
    <mergeCell ref="J4:K4"/>
  </mergeCells>
  <phoneticPr fontId="0" type="noConversion"/>
  <printOptions horizontalCentered="1"/>
  <pageMargins left="0.15748031496062992" right="0.15748031496062992" top="0.35433070866141736" bottom="0.31496062992125984" header="0.78740157480314965" footer="0.15748031496062992"/>
  <pageSetup paperSize="8" scale="5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H30"/>
  <sheetViews>
    <sheetView view="pageBreakPreview" zoomScale="60" workbookViewId="0">
      <selection activeCell="M13" sqref="M13"/>
    </sheetView>
  </sheetViews>
  <sheetFormatPr defaultColWidth="8.85546875" defaultRowHeight="15"/>
  <cols>
    <col min="1" max="1" width="8.85546875" style="37"/>
    <col min="2" max="2" width="8.85546875" style="39" customWidth="1"/>
    <col min="3" max="3" width="45.5703125" style="75" customWidth="1"/>
    <col min="4" max="4" width="16.28515625" style="102" customWidth="1"/>
    <col min="5" max="5" width="21.5703125" style="39" customWidth="1"/>
    <col min="6" max="8" width="8.85546875" style="39"/>
    <col min="9" max="16384" width="8.85546875" style="37"/>
  </cols>
  <sheetData>
    <row r="1" spans="1:6" ht="15.75">
      <c r="A1" s="403" t="s">
        <v>386</v>
      </c>
      <c r="B1" s="403"/>
      <c r="C1" s="403"/>
      <c r="D1" s="403"/>
      <c r="E1" s="403"/>
      <c r="F1" s="301"/>
    </row>
    <row r="2" spans="1:6" ht="15.75">
      <c r="C2" s="101"/>
    </row>
    <row r="3" spans="1:6" ht="42" customHeight="1">
      <c r="A3" s="400" t="s">
        <v>254</v>
      </c>
      <c r="B3" s="400"/>
      <c r="C3" s="400"/>
      <c r="D3" s="400"/>
      <c r="E3" s="400"/>
      <c r="F3" s="209"/>
    </row>
    <row r="4" spans="1:6" ht="24.75" customHeight="1"/>
    <row r="5" spans="1:6" ht="25.5" customHeight="1">
      <c r="B5" s="410" t="s">
        <v>87</v>
      </c>
      <c r="C5" s="410"/>
      <c r="D5" s="410"/>
      <c r="E5" s="410"/>
      <c r="F5" s="410"/>
    </row>
    <row r="6" spans="1:6" ht="17.25" customHeight="1">
      <c r="C6" s="103"/>
      <c r="D6" s="186" t="s">
        <v>211</v>
      </c>
    </row>
    <row r="7" spans="1:6" ht="17.25" customHeight="1">
      <c r="C7" s="67" t="s">
        <v>88</v>
      </c>
      <c r="D7" s="68" t="s">
        <v>309</v>
      </c>
      <c r="E7" s="68" t="s">
        <v>376</v>
      </c>
    </row>
    <row r="8" spans="1:6" ht="17.25" customHeight="1">
      <c r="C8" s="66" t="s">
        <v>268</v>
      </c>
      <c r="D8" s="236">
        <v>1722000</v>
      </c>
      <c r="E8" s="236">
        <v>1722000</v>
      </c>
    </row>
    <row r="9" spans="1:6" ht="17.25" customHeight="1">
      <c r="C9" s="66" t="s">
        <v>285</v>
      </c>
      <c r="D9" s="236">
        <v>618400</v>
      </c>
      <c r="E9" s="236">
        <v>618400</v>
      </c>
    </row>
    <row r="10" spans="1:6" ht="17.25" customHeight="1">
      <c r="C10" s="66" t="s">
        <v>89</v>
      </c>
      <c r="D10" s="236">
        <v>90000</v>
      </c>
      <c r="E10" s="236">
        <v>90000</v>
      </c>
    </row>
    <row r="11" spans="1:6" ht="17.25" customHeight="1">
      <c r="C11" s="66" t="s">
        <v>90</v>
      </c>
      <c r="D11" s="236">
        <v>140000</v>
      </c>
      <c r="E11" s="236">
        <v>140000</v>
      </c>
    </row>
    <row r="12" spans="1:6" ht="17.25" customHeight="1">
      <c r="C12" s="66" t="s">
        <v>91</v>
      </c>
      <c r="D12" s="236">
        <v>250000</v>
      </c>
      <c r="E12" s="236">
        <v>250000</v>
      </c>
    </row>
    <row r="13" spans="1:6" ht="17.25" customHeight="1">
      <c r="C13" s="66" t="s">
        <v>204</v>
      </c>
      <c r="D13" s="236">
        <v>2400000</v>
      </c>
      <c r="E13" s="236">
        <v>2400000</v>
      </c>
    </row>
    <row r="14" spans="1:6" ht="17.25" customHeight="1">
      <c r="C14" s="66" t="s">
        <v>233</v>
      </c>
      <c r="D14" s="236">
        <v>1500000</v>
      </c>
      <c r="E14" s="236">
        <v>1500000</v>
      </c>
    </row>
    <row r="15" spans="1:6" ht="17.25" customHeight="1">
      <c r="C15" s="66" t="s">
        <v>205</v>
      </c>
      <c r="D15" s="236">
        <v>500000</v>
      </c>
      <c r="E15" s="236">
        <v>500000</v>
      </c>
    </row>
    <row r="16" spans="1:6" ht="17.25" customHeight="1">
      <c r="C16" s="66" t="s">
        <v>206</v>
      </c>
      <c r="D16" s="236">
        <v>67134309</v>
      </c>
      <c r="E16" s="236">
        <v>80277793</v>
      </c>
    </row>
    <row r="17" spans="3:5" ht="17.25" customHeight="1">
      <c r="C17" s="66" t="s">
        <v>234</v>
      </c>
      <c r="D17" s="236">
        <v>175000</v>
      </c>
      <c r="E17" s="236">
        <v>175000</v>
      </c>
    </row>
    <row r="18" spans="3:5" ht="17.25" customHeight="1">
      <c r="C18" s="66" t="s">
        <v>235</v>
      </c>
      <c r="D18" s="236">
        <v>65000</v>
      </c>
      <c r="E18" s="236">
        <v>65000</v>
      </c>
    </row>
    <row r="19" spans="3:5" ht="17.25" customHeight="1">
      <c r="C19" s="66" t="s">
        <v>236</v>
      </c>
      <c r="D19" s="236">
        <v>20000</v>
      </c>
      <c r="E19" s="236">
        <v>20000</v>
      </c>
    </row>
    <row r="20" spans="3:5" ht="17.25" customHeight="1">
      <c r="C20" s="173" t="s">
        <v>237</v>
      </c>
      <c r="D20" s="236">
        <v>200000</v>
      </c>
      <c r="E20" s="236">
        <v>200000</v>
      </c>
    </row>
    <row r="21" spans="3:5" ht="20.25" customHeight="1">
      <c r="C21" s="173" t="s">
        <v>239</v>
      </c>
      <c r="D21" s="236">
        <v>150000</v>
      </c>
      <c r="E21" s="236">
        <v>170000</v>
      </c>
    </row>
    <row r="22" spans="3:5" ht="20.25" customHeight="1">
      <c r="C22" s="173" t="s">
        <v>377</v>
      </c>
      <c r="D22" s="236">
        <v>0</v>
      </c>
      <c r="E22" s="236">
        <v>67585</v>
      </c>
    </row>
    <row r="23" spans="3:5" ht="17.25" customHeight="1">
      <c r="C23" s="104" t="s">
        <v>56</v>
      </c>
      <c r="D23" s="174">
        <f>SUM(D8:D22)</f>
        <v>74964709</v>
      </c>
      <c r="E23" s="174">
        <f>SUM(E8:E22)</f>
        <v>88195778</v>
      </c>
    </row>
    <row r="24" spans="3:5" ht="30" customHeight="1">
      <c r="C24" s="105"/>
      <c r="D24" s="175"/>
    </row>
    <row r="25" spans="3:5" ht="25.5" customHeight="1">
      <c r="C25" s="106" t="s">
        <v>92</v>
      </c>
      <c r="D25" s="176">
        <v>0</v>
      </c>
      <c r="E25" s="176">
        <v>0</v>
      </c>
    </row>
    <row r="26" spans="3:5" ht="24.75" customHeight="1">
      <c r="C26" s="104" t="s">
        <v>56</v>
      </c>
      <c r="D26" s="174">
        <v>0</v>
      </c>
      <c r="E26" s="174">
        <v>0</v>
      </c>
    </row>
    <row r="27" spans="3:5" ht="18" customHeight="1">
      <c r="C27" s="107"/>
      <c r="D27" s="177"/>
    </row>
    <row r="28" spans="3:5" ht="18" customHeight="1">
      <c r="C28" s="108" t="s">
        <v>93</v>
      </c>
      <c r="D28" s="174">
        <f>SUM(D23,D26)</f>
        <v>74964709</v>
      </c>
      <c r="E28" s="174">
        <f>SUM(E23,E26)</f>
        <v>88195778</v>
      </c>
    </row>
    <row r="29" spans="3:5" ht="18" customHeight="1"/>
    <row r="30" spans="3:5">
      <c r="E30" s="44"/>
    </row>
  </sheetData>
  <mergeCells count="3">
    <mergeCell ref="B5:F5"/>
    <mergeCell ref="A3:E3"/>
    <mergeCell ref="A1:E1"/>
  </mergeCells>
  <phoneticPr fontId="0" type="noConversion"/>
  <pageMargins left="0.75" right="0.75" top="0.75" bottom="1" header="0.5" footer="0.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8</vt:i4>
      </vt:variant>
    </vt:vector>
  </HeadingPairs>
  <TitlesOfParts>
    <vt:vector size="19" baseType="lpstr">
      <vt:lpstr>1.sz.mell.</vt:lpstr>
      <vt:lpstr>2.sz.mell.</vt:lpstr>
      <vt:lpstr>3.sz.mell.</vt:lpstr>
      <vt:lpstr>4.sz.mell.</vt:lpstr>
      <vt:lpstr>5.sz.mell.</vt:lpstr>
      <vt:lpstr>6.sz.mell.</vt:lpstr>
      <vt:lpstr>7.sz.mell.</vt:lpstr>
      <vt:lpstr>8. sz.mell.</vt:lpstr>
      <vt:lpstr>9.sz.mell.</vt:lpstr>
      <vt:lpstr>10.sz.m.</vt:lpstr>
      <vt:lpstr>Munka1</vt:lpstr>
      <vt:lpstr>'1.sz.mell.'!Nyomtatási_terület</vt:lpstr>
      <vt:lpstr>'2.sz.mell.'!Nyomtatási_terület</vt:lpstr>
      <vt:lpstr>'3.sz.mell.'!Nyomtatási_terület</vt:lpstr>
      <vt:lpstr>'4.sz.mell.'!Nyomtatási_terület</vt:lpstr>
      <vt:lpstr>'5.sz.mell.'!Nyomtatási_terület</vt:lpstr>
      <vt:lpstr>'7.sz.mell.'!Nyomtatási_terület</vt:lpstr>
      <vt:lpstr>'8. sz.mell.'!Nyomtatási_terület</vt:lpstr>
      <vt:lpstr>'9.sz.mell.'!Nyomtatási_terület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Iroda48</cp:lastModifiedBy>
  <cp:lastPrinted>2018-06-27T09:47:53Z</cp:lastPrinted>
  <dcterms:created xsi:type="dcterms:W3CDTF">2015-02-02T07:42:02Z</dcterms:created>
  <dcterms:modified xsi:type="dcterms:W3CDTF">2018-06-27T09:57:35Z</dcterms:modified>
</cp:coreProperties>
</file>